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M:\Research\Experience Studies\Educational Tools\GS115, Credibility POG\Report\"/>
    </mc:Choice>
  </mc:AlternateContent>
  <xr:revisionPtr revIDLastSave="0" documentId="13_ncr:1_{CDAFF9F5-A9DE-4F51-A9D0-99E0A16D54CC}" xr6:coauthVersionLast="36" xr6:coauthVersionMax="40" xr10:uidLastSave="{00000000-0000-0000-0000-000000000000}"/>
  <bookViews>
    <workbookView xWindow="0" yWindow="0" windowWidth="15290" windowHeight="7170" xr2:uid="{793247DC-A55E-43D2-AB93-AC43506B6A92}"/>
  </bookViews>
  <sheets>
    <sheet name="Sheet1" sheetId="1" r:id="rId1"/>
  </sheets>
  <definedNames>
    <definedName name="Amount">Sheet1!$E$8:$E$11</definedName>
    <definedName name="Count">Sheet1!$C$8:$C$11</definedName>
    <definedName name="Mortality_Rate_by_Amount">Sheet1!$D$17:$D$20</definedName>
    <definedName name="PolSz">Sheet1!$B$8:$B$11</definedName>
    <definedName name="_xlnm.Print_Area" localSheetId="0">Sheet1!$A$5:$G$29</definedName>
    <definedName name="qa">Sheet1!$D$21</definedName>
    <definedName name="qc">Sheet1!$C$21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35" i="1" l="1"/>
  <c r="F45" i="1"/>
  <c r="F27" i="1" l="1"/>
  <c r="E27" i="1"/>
  <c r="K27" i="1"/>
  <c r="K28" i="1" s="1"/>
  <c r="L26" i="1"/>
  <c r="L27" i="1" l="1"/>
  <c r="L28" i="1"/>
  <c r="K29" i="1"/>
  <c r="L29" i="1" l="1"/>
  <c r="K30" i="1"/>
  <c r="F38" i="1"/>
  <c r="L30" i="1" l="1"/>
  <c r="K31" i="1"/>
  <c r="D12" i="1"/>
  <c r="E46" i="1" s="1"/>
  <c r="K32" i="1" l="1"/>
  <c r="L31" i="1"/>
  <c r="E32" i="1"/>
  <c r="J70" i="1"/>
  <c r="E8" i="1"/>
  <c r="E9" i="1"/>
  <c r="E10" i="1"/>
  <c r="E11" i="1"/>
  <c r="C17" i="1"/>
  <c r="C18" i="1"/>
  <c r="C19" i="1"/>
  <c r="C20" i="1"/>
  <c r="E68" i="1"/>
  <c r="C12" i="1"/>
  <c r="F8" i="1"/>
  <c r="F9" i="1"/>
  <c r="F10" i="1"/>
  <c r="F11" i="1"/>
  <c r="L32" i="1" l="1"/>
  <c r="K33" i="1"/>
  <c r="L33" i="1" s="1"/>
  <c r="D17" i="1"/>
  <c r="I70" i="1"/>
  <c r="D20" i="1"/>
  <c r="D18" i="1"/>
  <c r="D19" i="1"/>
  <c r="E12" i="1"/>
  <c r="C21" i="1"/>
  <c r="F12" i="1"/>
  <c r="F46" i="1" s="1"/>
  <c r="E44" i="1" l="1"/>
  <c r="E17" i="1"/>
  <c r="F32" i="1"/>
  <c r="E19" i="1"/>
  <c r="E20" i="1"/>
  <c r="E18" i="1"/>
  <c r="E37" i="1"/>
  <c r="D21" i="1"/>
  <c r="F44" i="1" s="1"/>
  <c r="I65" i="1"/>
  <c r="D68" i="1"/>
  <c r="E69" i="1" s="1"/>
  <c r="F19" i="1" l="1"/>
  <c r="F20" i="1"/>
  <c r="F17" i="1"/>
  <c r="F18" i="1"/>
  <c r="F37" i="1"/>
  <c r="E21" i="1"/>
  <c r="E25" i="1" s="1"/>
  <c r="E26" i="1" s="1"/>
  <c r="E30" i="1" s="1"/>
  <c r="E31" i="1" s="1"/>
  <c r="E33" i="1" s="1"/>
  <c r="I66" i="1"/>
  <c r="E47" i="1" l="1"/>
  <c r="E48" i="1" s="1"/>
  <c r="E49" i="1" s="1"/>
  <c r="E39" i="1"/>
  <c r="E40" i="1" s="1"/>
  <c r="E41" i="1" s="1"/>
  <c r="F21" i="1"/>
  <c r="F25" i="1" s="1"/>
  <c r="F26" i="1" l="1"/>
  <c r="F30" i="1" s="1"/>
  <c r="F31" i="1" s="1"/>
  <c r="F33" i="1" l="1"/>
  <c r="F39" i="1" l="1"/>
  <c r="F47" i="1"/>
  <c r="F48" i="1" s="1"/>
  <c r="F49" i="1" s="1"/>
  <c r="I35" i="1"/>
  <c r="F40" i="1"/>
  <c r="F41" i="1" s="1"/>
</calcChain>
</file>

<file path=xl/sharedStrings.xml><?xml version="1.0" encoding="utf-8"?>
<sst xmlns="http://schemas.openxmlformats.org/spreadsheetml/2006/main" count="77" uniqueCount="62">
  <si>
    <t>Limited Fluctuation Method Example</t>
  </si>
  <si>
    <t>Data used: Individual life policies issued from 1975 through 1979, durations 26 and later, observed from 2004 policy anniversary through 2009 policy anniversary.</t>
  </si>
  <si>
    <t>Policy Size</t>
  </si>
  <si>
    <t>Amount Exposed</t>
  </si>
  <si>
    <t>Amount of Deaths</t>
  </si>
  <si>
    <t>Prior Mean:</t>
  </si>
  <si>
    <t>Based on 2001 VBT Ultimate Table for Male, Composite* Age 65.</t>
  </si>
  <si>
    <t xml:space="preserve">* Composite indicates a blend of nonsmokers and smokers. </t>
  </si>
  <si>
    <t>Prior to 1980, the company did not offer smoker/nonsmoker rates.</t>
  </si>
  <si>
    <t>Large company mortality study focused on age 65 male ultimate mortality.</t>
  </si>
  <si>
    <t>To apply the Limited Fluctuation Method, we first arbitrarily choose a probability of 90% and a confidence interval of plus and minus 5%; these are common choices.</t>
  </si>
  <si>
    <t>Next, we will calculate the observed mean by count and by amount, shown in the first table as "Mortality Rate by Count" and "Mortality Rate by Amount."</t>
  </si>
  <si>
    <t>We will assume there is sufficient data for the Central Limit Theorem to hold and that all lives share the same underlying true mortality rate.</t>
  </si>
  <si>
    <t>This is a bit of a stretch because mortality increases by age (we are combining data for attained ages 63 to 67) and mortality often decreases with increasing policy size.</t>
  </si>
  <si>
    <t>However, we will proceed with those assumptions because they allow us to utilize the normal distribution which requires the calculation of variance, shown in the second table.</t>
  </si>
  <si>
    <t>To use the normal distribution, we will assume that the true underlying mortality rate by count and by amount are equal to those shown in the total row  of the first table.</t>
  </si>
  <si>
    <t xml:space="preserve"> and qa, the mortality rate by amount, of</t>
  </si>
  <si>
    <t>This results in values for qc, the mortality rate by count, of</t>
  </si>
  <si>
    <t>In the second and third tables, we calculate variance by count and by amount based on all the prior assumptions.</t>
  </si>
  <si>
    <t xml:space="preserve"> </t>
  </si>
  <si>
    <t>Count Exposed</t>
  </si>
  <si>
    <t>Z</t>
  </si>
  <si>
    <t>1 - Z</t>
  </si>
  <si>
    <t>Prior Mean</t>
  </si>
  <si>
    <t>=</t>
  </si>
  <si>
    <t>Compromise Estimate =</t>
  </si>
  <si>
    <t>Count of Deaths</t>
  </si>
  <si>
    <t>Mortality Rates</t>
  </si>
  <si>
    <t>by Count</t>
  </si>
  <si>
    <t>by Amount</t>
  </si>
  <si>
    <t>by 
Count</t>
  </si>
  <si>
    <t>(in millions)</t>
  </si>
  <si>
    <t>Total</t>
  </si>
  <si>
    <t>Actual Deaths / Full Cred Deaths</t>
  </si>
  <si>
    <t>N = Observed count or amount</t>
  </si>
  <si>
    <t>K = 50% of Full Cred Deaths</t>
  </si>
  <si>
    <t xml:space="preserve"> Z = N / (N + K)</t>
  </si>
  <si>
    <t>Full Cred Std Dev as % of Deaths</t>
  </si>
  <si>
    <t>Study to Full Cred Ratio</t>
  </si>
  <si>
    <t>Study to Full Cred Ratio squared</t>
  </si>
  <si>
    <t>Study Death Count and Amount</t>
  </si>
  <si>
    <t>Full Cred Death Count and Amount</t>
  </si>
  <si>
    <t>`</t>
  </si>
  <si>
    <t>Credibility-Weighted Rate</t>
  </si>
  <si>
    <t>Observed Rate</t>
  </si>
  <si>
    <t>Prior Rate</t>
  </si>
  <si>
    <t>Variance</t>
  </si>
  <si>
    <t xml:space="preserve">
by Count</t>
  </si>
  <si>
    <t>Obsrvd Mean</t>
  </si>
  <si>
    <t>Confidence. Norm</t>
  </si>
  <si>
    <t>Sample Size</t>
  </si>
  <si>
    <r>
      <t>(q</t>
    </r>
    <r>
      <rPr>
        <b/>
        <vertAlign val="subscript"/>
        <sz val="11"/>
        <color theme="1"/>
        <rFont val="Calibri Light"/>
        <family val="2"/>
      </rPr>
      <t>cnt</t>
    </r>
    <r>
      <rPr>
        <b/>
        <sz val="11"/>
        <color theme="1"/>
        <rFont val="Calibri Light"/>
        <family val="2"/>
      </rPr>
      <t>)</t>
    </r>
  </si>
  <si>
    <r>
      <t>(q</t>
    </r>
    <r>
      <rPr>
        <b/>
        <vertAlign val="subscript"/>
        <sz val="11"/>
        <color theme="1"/>
        <rFont val="Calibri Light"/>
        <family val="2"/>
      </rPr>
      <t>amt</t>
    </r>
    <r>
      <rPr>
        <b/>
        <sz val="11"/>
        <color theme="1"/>
        <rFont val="Calibri Light"/>
        <family val="2"/>
      </rPr>
      <t>)</t>
    </r>
  </si>
  <si>
    <t>Std Dev as % of Deaths</t>
  </si>
  <si>
    <t>SQUARE ROOT FORMULA</t>
  </si>
  <si>
    <t>STANDARD DEVIATIONS</t>
  </si>
  <si>
    <t>MORTALITY STUDY RESULTS</t>
  </si>
  <si>
    <t>MORTALITY STUDY DATA</t>
  </si>
  <si>
    <t>ASYMPTOTIC FORMULA</t>
  </si>
  <si>
    <t>Z = sqrt of Actual to Full Cred</t>
  </si>
  <si>
    <r>
      <t>Standard Deviation (=</t>
    </r>
    <r>
      <rPr>
        <sz val="11"/>
        <rFont val="Sylfaen"/>
        <family val="1"/>
      </rPr>
      <t>√</t>
    </r>
    <r>
      <rPr>
        <sz val="11"/>
        <rFont val="Calibri Light"/>
        <family val="2"/>
      </rPr>
      <t xml:space="preserve"> Variance)</t>
    </r>
  </si>
  <si>
    <t>DEATHS REQUIRED FOR FULL CREDIBILITY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</si>
</sst>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_(&quot;$&quot;* \(#,##0.00\);_(&quot;$&quot;* &quot;-&quot;??_);_(@_)"/>
    <numFmt numFmtId="43" formatCode="_(* #,##0.00_);_(* \(#,##0.00\);_(* &quot;-&quot;??_);_(@_)"/>
    <numFmt numFmtId="164" formatCode="_(* #,##0_);_(* \(#,##0\);_(* &quot;-&quot;??_);_(@_)"/>
    <numFmt numFmtId="165" formatCode="0.00000"/>
    <numFmt numFmtId="166" formatCode="0.0000"/>
    <numFmt numFmtId="167" formatCode="_(* #,##0.000_);_(* \(#,##0.000\);_(* &quot;-&quot;??_);_(@_)"/>
    <numFmt numFmtId="168" formatCode="_(* #,##0.00000_);_(* \(#,##0.00000\);_(* &quot;-&quot;??_);_(@_)"/>
    <numFmt numFmtId="169" formatCode="0.000000"/>
    <numFmt numFmtId="170" formatCode="_(&quot;$&quot;* #,##0_);_(&quot;$&quot;* \(#,##0\);_(&quot;$&quot;* &quot;-&quot;??_);_(@_)"/>
    <numFmt numFmtId="171" formatCode="_(* #,##0.000000000000_);_(* \(#,##0.000000000000\);_(* &quot;-&quot;??_);_(@_)"/>
    <numFmt numFmtId="172" formatCode="0.000%"/>
    <numFmt numFmtId="173" formatCode="0.000"/>
    <numFmt numFmtId="174" formatCode="0.0"/>
    <numFmt numFmtId="175" formatCode="#,##0;[Red]#,##0"/>
    <numFmt numFmtId="176" formatCode="0.000000000000"/>
  </numFmts>
  <fonts count="12" x14ac:knownFonts="1">
    <font>
      <sz val="12"/>
      <color theme="1"/>
      <name val="Calibri"/>
      <family val="2"/>
    </font>
    <font>
      <sz val="12"/>
      <color theme="1"/>
      <name val="Calibri"/>
      <family val="2"/>
    </font>
    <font>
      <b/>
      <sz val="12"/>
      <color theme="1"/>
      <name val="Calibri"/>
      <family val="2"/>
    </font>
    <font>
      <b/>
      <sz val="16"/>
      <color theme="1"/>
      <name val="Calibri"/>
      <family val="2"/>
    </font>
    <font>
      <b/>
      <sz val="11"/>
      <color theme="1"/>
      <name val="Calibri Light"/>
      <family val="2"/>
    </font>
    <font>
      <sz val="11"/>
      <color theme="1"/>
      <name val="Calibri Light"/>
      <family val="2"/>
    </font>
    <font>
      <b/>
      <vertAlign val="subscript"/>
      <sz val="11"/>
      <color theme="1"/>
      <name val="Calibri Light"/>
      <family val="2"/>
    </font>
    <font>
      <b/>
      <sz val="12"/>
      <color theme="1"/>
      <name val="Symbol"/>
      <family val="1"/>
      <charset val="2"/>
    </font>
    <font>
      <b/>
      <sz val="11"/>
      <color theme="0"/>
      <name val="Calibri Light"/>
      <family val="2"/>
    </font>
    <font>
      <sz val="11"/>
      <name val="Calibri Light"/>
      <family val="2"/>
    </font>
    <font>
      <b/>
      <sz val="11"/>
      <name val="Calibri Light"/>
      <family val="2"/>
    </font>
    <font>
      <sz val="11"/>
      <name val="Sylfaen"/>
      <family val="1"/>
    </font>
  </fonts>
  <fills count="4">
    <fill>
      <patternFill patternType="none"/>
    </fill>
    <fill>
      <patternFill patternType="gray125"/>
    </fill>
    <fill>
      <patternFill patternType="solid">
        <fgColor theme="4"/>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96">
    <xf numFmtId="0" fontId="0" fillId="0" borderId="0" xfId="0"/>
    <xf numFmtId="0" fontId="2" fillId="0" borderId="0" xfId="0" applyFont="1"/>
    <xf numFmtId="0" fontId="3" fillId="0" borderId="0" xfId="0" applyFont="1"/>
    <xf numFmtId="164" fontId="0" fillId="0" borderId="0" xfId="0" applyNumberFormat="1"/>
    <xf numFmtId="166" fontId="0" fillId="0" borderId="0" xfId="0" applyNumberFormat="1"/>
    <xf numFmtId="165" fontId="2" fillId="0" borderId="0" xfId="0" applyNumberFormat="1" applyFont="1"/>
    <xf numFmtId="0" fontId="0" fillId="0" borderId="0" xfId="0" applyAlignment="1">
      <alignment horizontal="center"/>
    </xf>
    <xf numFmtId="164" fontId="0" fillId="0" borderId="0" xfId="1" applyNumberFormat="1" applyFont="1" applyBorder="1"/>
    <xf numFmtId="165" fontId="0" fillId="0" borderId="0" xfId="0" applyNumberFormat="1" applyBorder="1"/>
    <xf numFmtId="0" fontId="2" fillId="0" borderId="0" xfId="0" applyFont="1" applyAlignment="1">
      <alignment horizontal="center"/>
    </xf>
    <xf numFmtId="168" fontId="2" fillId="0" borderId="0" xfId="1" applyNumberFormat="1" applyFont="1" applyFill="1" applyBorder="1"/>
    <xf numFmtId="170" fontId="0" fillId="0" borderId="0" xfId="2" applyNumberFormat="1" applyFont="1" applyBorder="1"/>
    <xf numFmtId="170" fontId="2" fillId="0" borderId="0" xfId="0" applyNumberFormat="1" applyFont="1" applyAlignment="1">
      <alignment horizontal="center"/>
    </xf>
    <xf numFmtId="168" fontId="0" fillId="0" borderId="0" xfId="0" applyNumberFormat="1"/>
    <xf numFmtId="0" fontId="0" fillId="0" borderId="0" xfId="0" applyAlignment="1">
      <alignment horizontal="right"/>
    </xf>
    <xf numFmtId="164" fontId="2" fillId="0" borderId="0" xfId="0" applyNumberFormat="1" applyFont="1" applyBorder="1"/>
    <xf numFmtId="171" fontId="2" fillId="0" borderId="0" xfId="0" applyNumberFormat="1" applyFont="1" applyBorder="1"/>
    <xf numFmtId="169" fontId="2" fillId="0" borderId="0" xfId="0" applyNumberFormat="1" applyFont="1" applyBorder="1" applyAlignment="1">
      <alignment horizontal="center"/>
    </xf>
    <xf numFmtId="0" fontId="0" fillId="0" borderId="0" xfId="0" applyBorder="1"/>
    <xf numFmtId="0" fontId="3" fillId="0" borderId="0" xfId="0" applyFont="1" applyBorder="1" applyAlignment="1">
      <alignment horizontal="center"/>
    </xf>
    <xf numFmtId="0" fontId="2" fillId="0" borderId="0" xfId="0" applyFont="1" applyBorder="1" applyAlignment="1">
      <alignment horizontal="center" wrapText="1"/>
    </xf>
    <xf numFmtId="0" fontId="2" fillId="0" borderId="0" xfId="0" applyFont="1" applyBorder="1" applyAlignment="1">
      <alignment horizontal="center"/>
    </xf>
    <xf numFmtId="11" fontId="2" fillId="0" borderId="0" xfId="1" applyNumberFormat="1" applyFont="1" applyBorder="1"/>
    <xf numFmtId="11" fontId="2" fillId="0" borderId="0" xfId="0" applyNumberFormat="1" applyFont="1" applyBorder="1"/>
    <xf numFmtId="174" fontId="0" fillId="0" borderId="0" xfId="0" applyNumberFormat="1"/>
    <xf numFmtId="0" fontId="3" fillId="0" borderId="0" xfId="0" applyFont="1" applyBorder="1" applyAlignment="1">
      <alignment horizontal="center"/>
    </xf>
    <xf numFmtId="176" fontId="0" fillId="0" borderId="0" xfId="0" applyNumberFormat="1"/>
    <xf numFmtId="164" fontId="5" fillId="0" borderId="0" xfId="1" applyNumberFormat="1" applyFont="1" applyBorder="1"/>
    <xf numFmtId="170" fontId="2" fillId="0" borderId="0" xfId="2" applyNumberFormat="1" applyFont="1" applyBorder="1"/>
    <xf numFmtId="0" fontId="5" fillId="0" borderId="0" xfId="0" applyFont="1"/>
    <xf numFmtId="0" fontId="4" fillId="0" borderId="0" xfId="0" applyFont="1" applyAlignment="1">
      <alignment horizontal="center"/>
    </xf>
    <xf numFmtId="0" fontId="3" fillId="0" borderId="0" xfId="0" applyFont="1" applyBorder="1" applyAlignment="1"/>
    <xf numFmtId="0" fontId="5" fillId="0" borderId="0" xfId="0" applyFont="1" applyBorder="1"/>
    <xf numFmtId="164" fontId="4" fillId="0" borderId="0" xfId="1" applyNumberFormat="1" applyFont="1" applyBorder="1"/>
    <xf numFmtId="173" fontId="7" fillId="0" borderId="0" xfId="0" applyNumberFormat="1" applyFont="1" applyAlignment="1">
      <alignment horizontal="center"/>
    </xf>
    <xf numFmtId="0" fontId="8" fillId="2" borderId="1" xfId="0" applyFont="1" applyFill="1" applyBorder="1" applyAlignment="1">
      <alignment horizontal="center" wrapText="1"/>
    </xf>
    <xf numFmtId="0" fontId="8" fillId="2" borderId="2" xfId="0" applyFont="1" applyFill="1" applyBorder="1" applyAlignment="1">
      <alignment horizontal="center"/>
    </xf>
    <xf numFmtId="0" fontId="8" fillId="2" borderId="3" xfId="0" applyFont="1" applyFill="1" applyBorder="1" applyAlignment="1">
      <alignment horizontal="center" wrapText="1"/>
    </xf>
    <xf numFmtId="0" fontId="8" fillId="2" borderId="7" xfId="0" applyFont="1" applyFill="1" applyBorder="1" applyAlignment="1">
      <alignment horizontal="center" wrapText="1"/>
    </xf>
    <xf numFmtId="0" fontId="8" fillId="2" borderId="8" xfId="0" applyFont="1" applyFill="1" applyBorder="1" applyAlignment="1">
      <alignment horizontal="center" wrapText="1"/>
    </xf>
    <xf numFmtId="0" fontId="8" fillId="2" borderId="10" xfId="0" applyFont="1" applyFill="1" applyBorder="1" applyAlignment="1">
      <alignment horizontal="center" wrapText="1"/>
    </xf>
    <xf numFmtId="0" fontId="0" fillId="0" borderId="0" xfId="0" applyAlignment="1">
      <alignment wrapText="1"/>
    </xf>
    <xf numFmtId="170" fontId="9" fillId="0" borderId="1" xfId="2" applyNumberFormat="1" applyFont="1" applyBorder="1"/>
    <xf numFmtId="164" fontId="9" fillId="0" borderId="1" xfId="1" applyNumberFormat="1" applyFont="1" applyBorder="1"/>
    <xf numFmtId="170" fontId="9" fillId="3" borderId="1" xfId="2" applyNumberFormat="1" applyFont="1" applyFill="1" applyBorder="1"/>
    <xf numFmtId="164" fontId="9" fillId="3" borderId="1" xfId="1" applyNumberFormat="1" applyFont="1" applyFill="1" applyBorder="1"/>
    <xf numFmtId="0" fontId="10" fillId="0" borderId="1" xfId="0" applyFont="1" applyBorder="1" applyAlignment="1">
      <alignment horizontal="center"/>
    </xf>
    <xf numFmtId="164" fontId="10" fillId="0" borderId="1" xfId="0" applyNumberFormat="1" applyFont="1" applyBorder="1"/>
    <xf numFmtId="170" fontId="10" fillId="0" borderId="1" xfId="2" applyNumberFormat="1" applyFont="1" applyBorder="1"/>
    <xf numFmtId="165" fontId="9" fillId="0" borderId="1" xfId="0" applyNumberFormat="1" applyFont="1" applyBorder="1"/>
    <xf numFmtId="167" fontId="9" fillId="0" borderId="1" xfId="1" applyNumberFormat="1" applyFont="1" applyBorder="1"/>
    <xf numFmtId="165" fontId="9" fillId="3" borderId="1" xfId="0" applyNumberFormat="1" applyFont="1" applyFill="1" applyBorder="1"/>
    <xf numFmtId="167" fontId="9" fillId="3" borderId="1" xfId="1" applyNumberFormat="1" applyFont="1" applyFill="1" applyBorder="1"/>
    <xf numFmtId="0" fontId="10" fillId="0" borderId="6" xfId="0" applyFont="1" applyBorder="1" applyAlignment="1">
      <alignment horizontal="center"/>
    </xf>
    <xf numFmtId="165" fontId="10" fillId="0" borderId="1" xfId="0" applyNumberFormat="1" applyFont="1" applyBorder="1"/>
    <xf numFmtId="167" fontId="10" fillId="0" borderId="1" xfId="0" applyNumberFormat="1" applyFont="1" applyBorder="1"/>
    <xf numFmtId="164" fontId="10" fillId="0" borderId="1" xfId="1" applyNumberFormat="1" applyFont="1" applyBorder="1"/>
    <xf numFmtId="172" fontId="9" fillId="3" borderId="1" xfId="3" applyNumberFormat="1" applyFont="1" applyFill="1" applyBorder="1"/>
    <xf numFmtId="172" fontId="9" fillId="0" borderId="1" xfId="3" applyNumberFormat="1" applyFont="1" applyBorder="1"/>
    <xf numFmtId="172" fontId="9" fillId="0" borderId="1" xfId="0" applyNumberFormat="1" applyFont="1" applyBorder="1"/>
    <xf numFmtId="173" fontId="9" fillId="0" borderId="1" xfId="3" applyNumberFormat="1" applyFont="1" applyBorder="1" applyAlignment="1">
      <alignment horizontal="right"/>
    </xf>
    <xf numFmtId="173" fontId="9" fillId="3" borderId="1" xfId="3" applyNumberFormat="1" applyFont="1" applyFill="1" applyBorder="1" applyAlignment="1">
      <alignment horizontal="right"/>
    </xf>
    <xf numFmtId="1" fontId="9" fillId="0" borderId="1" xfId="3" applyNumberFormat="1" applyFont="1" applyBorder="1" applyAlignment="1">
      <alignment horizontal="right"/>
    </xf>
    <xf numFmtId="175" fontId="9" fillId="0" borderId="1" xfId="2" applyNumberFormat="1" applyFont="1" applyBorder="1" applyAlignment="1">
      <alignment horizontal="right"/>
    </xf>
    <xf numFmtId="175" fontId="9" fillId="3" borderId="1" xfId="1" applyNumberFormat="1" applyFont="1" applyFill="1" applyBorder="1" applyAlignment="1">
      <alignment horizontal="right"/>
    </xf>
    <xf numFmtId="175" fontId="9" fillId="3" borderId="1" xfId="2" applyNumberFormat="1" applyFont="1" applyFill="1" applyBorder="1" applyAlignment="1">
      <alignment horizontal="right"/>
    </xf>
    <xf numFmtId="165" fontId="9" fillId="0" borderId="1" xfId="0" applyNumberFormat="1" applyFont="1" applyBorder="1" applyAlignment="1">
      <alignment horizontal="right" wrapText="1"/>
    </xf>
    <xf numFmtId="165" fontId="9" fillId="3" borderId="1" xfId="0" applyNumberFormat="1" applyFont="1" applyFill="1" applyBorder="1" applyAlignment="1">
      <alignment horizontal="right" wrapText="1"/>
    </xf>
    <xf numFmtId="165" fontId="9" fillId="0" borderId="1" xfId="3" applyNumberFormat="1" applyFont="1" applyBorder="1"/>
    <xf numFmtId="165" fontId="9" fillId="3" borderId="1" xfId="3" applyNumberFormat="1" applyFont="1" applyFill="1" applyBorder="1"/>
    <xf numFmtId="165" fontId="9" fillId="0" borderId="1" xfId="1" applyNumberFormat="1" applyFont="1" applyBorder="1"/>
    <xf numFmtId="1" fontId="9" fillId="0" borderId="1" xfId="0" applyNumberFormat="1" applyFont="1" applyBorder="1" applyAlignment="1">
      <alignment horizontal="right" wrapText="1"/>
    </xf>
    <xf numFmtId="164" fontId="9" fillId="0" borderId="1" xfId="1" applyNumberFormat="1" applyFont="1" applyBorder="1" applyAlignment="1">
      <alignment horizontal="right" wrapText="1"/>
    </xf>
    <xf numFmtId="174" fontId="9" fillId="3" borderId="1" xfId="3" applyNumberFormat="1" applyFont="1" applyFill="1" applyBorder="1"/>
    <xf numFmtId="164" fontId="9" fillId="3" borderId="1" xfId="1" applyNumberFormat="1" applyFont="1" applyFill="1" applyBorder="1" applyAlignment="1">
      <alignment horizontal="right" wrapText="1"/>
    </xf>
    <xf numFmtId="165" fontId="9" fillId="3" borderId="1" xfId="1" applyNumberFormat="1" applyFont="1" applyFill="1" applyBorder="1"/>
    <xf numFmtId="0" fontId="3" fillId="0" borderId="0" xfId="0" applyFont="1" applyBorder="1" applyAlignment="1">
      <alignment horizontal="center"/>
    </xf>
    <xf numFmtId="0" fontId="8" fillId="2" borderId="4" xfId="0" applyFont="1" applyFill="1" applyBorder="1" applyAlignment="1">
      <alignment horizontal="center"/>
    </xf>
    <xf numFmtId="0" fontId="8" fillId="2" borderId="9" xfId="0" applyFont="1" applyFill="1" applyBorder="1" applyAlignment="1">
      <alignment horizontal="center"/>
    </xf>
    <xf numFmtId="0" fontId="8" fillId="2" borderId="5" xfId="0" applyFont="1" applyFill="1" applyBorder="1" applyAlignment="1">
      <alignment horizont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1" xfId="0" applyFont="1" applyFill="1" applyBorder="1" applyAlignment="1">
      <alignment horizontal="center" vertical="center"/>
    </xf>
    <xf numFmtId="0" fontId="9" fillId="3" borderId="1" xfId="1" applyNumberFormat="1" applyFont="1" applyFill="1" applyBorder="1" applyAlignment="1"/>
    <xf numFmtId="0" fontId="9" fillId="0" borderId="1" xfId="0" applyFont="1" applyBorder="1" applyAlignment="1">
      <alignment horizontal="left"/>
    </xf>
    <xf numFmtId="0" fontId="9" fillId="3" borderId="1" xfId="0" applyFont="1" applyFill="1" applyBorder="1" applyAlignment="1">
      <alignment horizontal="left"/>
    </xf>
    <xf numFmtId="0" fontId="9" fillId="0" borderId="1" xfId="1" applyNumberFormat="1" applyFont="1" applyBorder="1" applyAlignment="1">
      <alignment horizontal="left"/>
    </xf>
    <xf numFmtId="0" fontId="8" fillId="2" borderId="4" xfId="0" applyFont="1" applyFill="1" applyBorder="1" applyAlignment="1">
      <alignment horizontal="left" vertical="top"/>
    </xf>
    <xf numFmtId="0" fontId="8" fillId="2" borderId="9" xfId="0" applyFont="1" applyFill="1" applyBorder="1" applyAlignment="1">
      <alignment horizontal="left" vertical="top"/>
    </xf>
    <xf numFmtId="0" fontId="9" fillId="3" borderId="1" xfId="0" applyFont="1" applyFill="1" applyBorder="1" applyAlignment="1"/>
    <xf numFmtId="0" fontId="9" fillId="0" borderId="1" xfId="0" applyFont="1" applyBorder="1" applyAlignment="1"/>
    <xf numFmtId="164" fontId="9" fillId="0" borderId="1" xfId="1" applyNumberFormat="1" applyFont="1" applyBorder="1" applyAlignment="1">
      <alignment horizontal="left"/>
    </xf>
    <xf numFmtId="164" fontId="9" fillId="3" borderId="1" xfId="1" applyNumberFormat="1" applyFont="1" applyFill="1" applyBorder="1" applyAlignment="1">
      <alignment horizontal="left"/>
    </xf>
    <xf numFmtId="0" fontId="8" fillId="2" borderId="7" xfId="0" applyFont="1" applyFill="1" applyBorder="1" applyAlignment="1">
      <alignment horizontal="left" vertical="top" wrapText="1"/>
    </xf>
    <xf numFmtId="0" fontId="8" fillId="2" borderId="10" xfId="0" applyFont="1" applyFill="1" applyBorder="1" applyAlignment="1">
      <alignment horizontal="left" vertical="top" wrapText="1"/>
    </xf>
    <xf numFmtId="0" fontId="9" fillId="3" borderId="1" xfId="1" applyNumberFormat="1" applyFont="1" applyFill="1" applyBorder="1" applyAlignment="1">
      <alignment horizontal="left"/>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976630</xdr:colOff>
      <xdr:row>18</xdr:row>
      <xdr:rowOff>723900</xdr:rowOff>
    </xdr:from>
    <xdr:ext cx="65" cy="172227"/>
    <xdr:sp macro="" textlink="">
      <xdr:nvSpPr>
        <xdr:cNvPr id="2" name="TextBox 1">
          <a:extLst>
            <a:ext uri="{FF2B5EF4-FFF2-40B4-BE49-F238E27FC236}">
              <a16:creationId xmlns:a16="http://schemas.microsoft.com/office/drawing/2014/main" id="{5B2620C8-9A74-4702-B37E-2D09A985401E}"/>
            </a:ext>
          </a:extLst>
        </xdr:cNvPr>
        <xdr:cNvSpPr txBox="1"/>
      </xdr:nvSpPr>
      <xdr:spPr>
        <a:xfrm>
          <a:off x="5411470" y="49682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7</xdr:col>
      <xdr:colOff>972820</xdr:colOff>
      <xdr:row>17</xdr:row>
      <xdr:rowOff>22860</xdr:rowOff>
    </xdr:from>
    <xdr:ext cx="65" cy="172227"/>
    <xdr:sp macro="" textlink="">
      <xdr:nvSpPr>
        <xdr:cNvPr id="3" name="TextBox 2">
          <a:extLst>
            <a:ext uri="{FF2B5EF4-FFF2-40B4-BE49-F238E27FC236}">
              <a16:creationId xmlns:a16="http://schemas.microsoft.com/office/drawing/2014/main" id="{B8079FDD-1C04-4533-8C9E-2B5197BE0E53}"/>
            </a:ext>
          </a:extLst>
        </xdr:cNvPr>
        <xdr:cNvSpPr txBox="1"/>
      </xdr:nvSpPr>
      <xdr:spPr>
        <a:xfrm>
          <a:off x="5407660" y="40690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SOA Standard">
  <a:themeElements>
    <a:clrScheme name="SOA Standard">
      <a:dk1>
        <a:srgbClr val="40546A"/>
      </a:dk1>
      <a:lt1>
        <a:srgbClr val="FFFFFF"/>
      </a:lt1>
      <a:dk2>
        <a:srgbClr val="000000"/>
      </a:dk2>
      <a:lt2>
        <a:srgbClr val="BEBBBA"/>
      </a:lt2>
      <a:accent1>
        <a:srgbClr val="024D7C"/>
      </a:accent1>
      <a:accent2>
        <a:srgbClr val="77C4D5"/>
      </a:accent2>
      <a:accent3>
        <a:srgbClr val="D23138"/>
      </a:accent3>
      <a:accent4>
        <a:srgbClr val="FDCE07"/>
      </a:accent4>
      <a:accent5>
        <a:srgbClr val="BABF33"/>
      </a:accent5>
      <a:accent6>
        <a:srgbClr val="E27F26"/>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567F8-DFEA-4013-AEE4-4BA725F581AF}">
  <dimension ref="B1:W70"/>
  <sheetViews>
    <sheetView showGridLines="0" tabSelected="1" topLeftCell="A23" workbookViewId="0">
      <selection activeCell="B29" sqref="B29:F33"/>
    </sheetView>
  </sheetViews>
  <sheetFormatPr defaultRowHeight="15.5" x14ac:dyDescent="0.35"/>
  <cols>
    <col min="1" max="1" width="3.33203125" customWidth="1"/>
    <col min="2" max="2" width="10.33203125" customWidth="1"/>
    <col min="3" max="3" width="8.83203125" customWidth="1"/>
    <col min="4" max="4" width="11.58203125" customWidth="1"/>
    <col min="5" max="5" width="18.83203125" customWidth="1"/>
    <col min="6" max="6" width="12.33203125" customWidth="1"/>
    <col min="7" max="7" width="5" customWidth="1"/>
    <col min="8" max="8" width="14.75" customWidth="1"/>
    <col min="11" max="11" width="11.25" customWidth="1"/>
    <col min="12" max="12" width="15" customWidth="1"/>
    <col min="13" max="13" width="10.58203125" customWidth="1"/>
    <col min="14" max="14" width="9.08203125" customWidth="1"/>
    <col min="15" max="15" width="10.83203125" customWidth="1"/>
    <col min="16" max="16" width="11.33203125" customWidth="1"/>
    <col min="17" max="17" width="3.08203125" customWidth="1"/>
    <col min="18" max="18" width="11.5" customWidth="1"/>
    <col min="19" max="19" width="13.83203125" customWidth="1"/>
    <col min="20" max="20" width="17" customWidth="1"/>
    <col min="21" max="22" width="12.33203125" customWidth="1"/>
  </cols>
  <sheetData>
    <row r="1" spans="2:23" ht="21" x14ac:dyDescent="0.5">
      <c r="B1" s="2" t="s">
        <v>0</v>
      </c>
    </row>
    <row r="3" spans="2:23" x14ac:dyDescent="0.35">
      <c r="B3" t="s">
        <v>9</v>
      </c>
    </row>
    <row r="4" spans="2:23" x14ac:dyDescent="0.35">
      <c r="B4" t="s">
        <v>1</v>
      </c>
    </row>
    <row r="5" spans="2:23" ht="21" customHeight="1" x14ac:dyDescent="0.5">
      <c r="B5" s="18"/>
      <c r="C5" s="18"/>
      <c r="D5" s="18"/>
      <c r="E5" s="18"/>
      <c r="F5" s="18"/>
      <c r="G5" s="19"/>
      <c r="H5" s="18"/>
      <c r="N5" s="18"/>
      <c r="O5" s="18"/>
      <c r="P5" s="18"/>
      <c r="Q5" s="18"/>
      <c r="R5" s="76"/>
      <c r="S5" s="76"/>
      <c r="T5" s="76"/>
      <c r="U5" s="76"/>
      <c r="V5" s="76"/>
      <c r="W5" s="18"/>
    </row>
    <row r="6" spans="2:23" ht="20.25" customHeight="1" x14ac:dyDescent="0.5">
      <c r="B6" s="82" t="s">
        <v>57</v>
      </c>
      <c r="C6" s="82"/>
      <c r="D6" s="82"/>
      <c r="E6" s="82"/>
      <c r="F6" s="82"/>
      <c r="G6" s="25"/>
      <c r="H6" s="18"/>
      <c r="N6" s="18"/>
      <c r="O6" s="18"/>
      <c r="P6" s="18"/>
      <c r="Q6" s="18"/>
      <c r="R6" s="19"/>
      <c r="S6" s="19"/>
      <c r="T6" s="19"/>
      <c r="U6" s="19"/>
      <c r="V6" s="19"/>
      <c r="W6" s="18"/>
    </row>
    <row r="7" spans="2:23" ht="32" customHeight="1" x14ac:dyDescent="0.35">
      <c r="B7" s="35" t="s">
        <v>2</v>
      </c>
      <c r="C7" s="35" t="s">
        <v>20</v>
      </c>
      <c r="D7" s="35" t="s">
        <v>26</v>
      </c>
      <c r="E7" s="35" t="s">
        <v>3</v>
      </c>
      <c r="F7" s="35" t="s">
        <v>4</v>
      </c>
      <c r="G7" s="20"/>
      <c r="H7" s="18"/>
      <c r="N7" s="18"/>
      <c r="O7" s="18"/>
      <c r="P7" s="18"/>
      <c r="Q7" s="18"/>
      <c r="R7" s="20"/>
      <c r="S7" s="20"/>
      <c r="T7" s="20"/>
      <c r="U7" s="20"/>
      <c r="V7" s="20"/>
      <c r="W7" s="18"/>
    </row>
    <row r="8" spans="2:23" x14ac:dyDescent="0.35">
      <c r="B8" s="42">
        <v>50000</v>
      </c>
      <c r="C8" s="43">
        <v>12800</v>
      </c>
      <c r="D8" s="43">
        <v>210</v>
      </c>
      <c r="E8" s="42">
        <f t="shared" ref="E8:E11" si="0">B8*C8</f>
        <v>640000000</v>
      </c>
      <c r="F8" s="42">
        <f>B8*D8</f>
        <v>10500000</v>
      </c>
      <c r="G8" s="11"/>
      <c r="H8" s="18"/>
      <c r="N8" s="18"/>
      <c r="O8" s="18"/>
      <c r="P8" s="18"/>
      <c r="Q8" s="18"/>
      <c r="R8" s="11"/>
      <c r="S8" s="7"/>
      <c r="T8" s="7"/>
      <c r="U8" s="7"/>
      <c r="V8" s="8"/>
      <c r="W8" s="18"/>
    </row>
    <row r="9" spans="2:23" x14ac:dyDescent="0.35">
      <c r="B9" s="44">
        <v>100000</v>
      </c>
      <c r="C9" s="45">
        <v>3200</v>
      </c>
      <c r="D9" s="45">
        <v>49</v>
      </c>
      <c r="E9" s="44">
        <f t="shared" si="0"/>
        <v>320000000</v>
      </c>
      <c r="F9" s="44">
        <f>B9*D9</f>
        <v>4900000</v>
      </c>
      <c r="G9" s="11"/>
      <c r="H9" s="18"/>
      <c r="N9" s="18"/>
      <c r="O9" s="18"/>
      <c r="P9" s="18"/>
      <c r="Q9" s="18"/>
      <c r="R9" s="11"/>
      <c r="S9" s="7"/>
      <c r="T9" s="7"/>
      <c r="U9" s="7"/>
      <c r="V9" s="8"/>
      <c r="W9" s="18"/>
    </row>
    <row r="10" spans="2:23" x14ac:dyDescent="0.35">
      <c r="B10" s="42">
        <v>250000</v>
      </c>
      <c r="C10" s="43">
        <v>800</v>
      </c>
      <c r="D10" s="43">
        <v>11</v>
      </c>
      <c r="E10" s="42">
        <f t="shared" si="0"/>
        <v>200000000</v>
      </c>
      <c r="F10" s="42">
        <f>B10*D10</f>
        <v>2750000</v>
      </c>
      <c r="G10" s="11"/>
      <c r="H10" s="18"/>
      <c r="N10" s="18"/>
      <c r="O10" s="18"/>
      <c r="P10" s="18"/>
      <c r="Q10" s="18"/>
      <c r="R10" s="11"/>
      <c r="S10" s="7"/>
      <c r="T10" s="7"/>
      <c r="U10" s="7"/>
      <c r="V10" s="8"/>
      <c r="W10" s="18"/>
    </row>
    <row r="11" spans="2:23" x14ac:dyDescent="0.35">
      <c r="B11" s="44">
        <v>500000</v>
      </c>
      <c r="C11" s="45">
        <v>200</v>
      </c>
      <c r="D11" s="45">
        <v>3</v>
      </c>
      <c r="E11" s="44">
        <f t="shared" si="0"/>
        <v>100000000</v>
      </c>
      <c r="F11" s="44">
        <f>B11*D11</f>
        <v>1500000</v>
      </c>
      <c r="G11" s="11"/>
      <c r="H11" s="18"/>
      <c r="N11" s="7"/>
      <c r="O11" s="7"/>
      <c r="P11" s="8"/>
      <c r="Q11" s="18"/>
      <c r="R11" s="11"/>
      <c r="S11" s="7"/>
      <c r="T11" s="7"/>
      <c r="U11" s="7"/>
      <c r="V11" s="8"/>
      <c r="W11" s="18"/>
    </row>
    <row r="12" spans="2:23" x14ac:dyDescent="0.35">
      <c r="B12" s="46" t="s">
        <v>32</v>
      </c>
      <c r="C12" s="47">
        <f>SUM(C8:C11)</f>
        <v>17000</v>
      </c>
      <c r="D12" s="47">
        <f>SUM(D8:D11)</f>
        <v>273</v>
      </c>
      <c r="E12" s="48">
        <f>SUM(E8:E11)</f>
        <v>1260000000</v>
      </c>
      <c r="F12" s="48">
        <f>SUM(F8:F11)</f>
        <v>19650000</v>
      </c>
      <c r="G12" s="28"/>
      <c r="H12" s="18"/>
      <c r="N12" s="15"/>
      <c r="O12" s="16"/>
      <c r="P12" s="17"/>
      <c r="Q12" s="18"/>
      <c r="R12" s="21"/>
      <c r="S12" s="15"/>
      <c r="T12" s="22"/>
      <c r="U12" s="23"/>
      <c r="V12" s="17"/>
      <c r="W12" s="18"/>
    </row>
    <row r="13" spans="2:23" x14ac:dyDescent="0.35">
      <c r="E13" s="9"/>
      <c r="H13" s="18"/>
      <c r="N13" s="18"/>
      <c r="O13" s="18"/>
      <c r="P13" s="18"/>
      <c r="Q13" s="18"/>
      <c r="R13" s="18"/>
      <c r="S13" s="21"/>
      <c r="T13" s="21"/>
      <c r="U13" s="18"/>
      <c r="V13" s="18"/>
      <c r="W13" s="18"/>
    </row>
    <row r="14" spans="2:23" ht="19.5" customHeight="1" x14ac:dyDescent="0.5">
      <c r="B14" s="77" t="s">
        <v>56</v>
      </c>
      <c r="C14" s="78"/>
      <c r="D14" s="78"/>
      <c r="E14" s="78"/>
      <c r="F14" s="79"/>
      <c r="G14" s="31"/>
      <c r="H14" s="18"/>
      <c r="I14" s="9"/>
      <c r="J14" s="9"/>
      <c r="L14" s="9"/>
      <c r="M14" s="9"/>
      <c r="N14" s="18"/>
      <c r="O14" s="18"/>
      <c r="P14" s="18"/>
      <c r="Q14" s="18"/>
      <c r="R14" s="18"/>
      <c r="S14" s="21"/>
      <c r="T14" s="21"/>
      <c r="U14" s="18"/>
      <c r="V14" s="18"/>
      <c r="W14" s="18"/>
    </row>
    <row r="15" spans="2:23" ht="21" x14ac:dyDescent="0.5">
      <c r="B15" s="36"/>
      <c r="C15" s="80" t="s">
        <v>27</v>
      </c>
      <c r="D15" s="81"/>
      <c r="E15" s="80" t="s">
        <v>46</v>
      </c>
      <c r="F15" s="81"/>
      <c r="G15" s="31"/>
      <c r="H15" s="18"/>
      <c r="I15" s="9"/>
      <c r="J15" s="9"/>
      <c r="L15" s="9"/>
      <c r="M15" s="9"/>
      <c r="S15" s="9"/>
      <c r="T15" s="9"/>
    </row>
    <row r="16" spans="2:23" ht="28" customHeight="1" x14ac:dyDescent="0.35">
      <c r="B16" s="37" t="s">
        <v>2</v>
      </c>
      <c r="C16" s="38" t="s">
        <v>30</v>
      </c>
      <c r="D16" s="35" t="s">
        <v>29</v>
      </c>
      <c r="E16" s="35" t="s">
        <v>47</v>
      </c>
      <c r="F16" s="39" t="s">
        <v>29</v>
      </c>
      <c r="G16" s="20"/>
      <c r="H16" s="18"/>
      <c r="I16" s="9"/>
      <c r="J16" s="9"/>
      <c r="L16" s="9"/>
      <c r="M16" s="9"/>
      <c r="S16" s="9"/>
      <c r="T16" s="9"/>
    </row>
    <row r="17" spans="2:20" x14ac:dyDescent="0.35">
      <c r="B17" s="42">
        <v>50000</v>
      </c>
      <c r="C17" s="49">
        <f>D8/C8</f>
        <v>1.6406250000000001E-2</v>
      </c>
      <c r="D17" s="49">
        <f>F8/E8</f>
        <v>1.6406250000000001E-2</v>
      </c>
      <c r="E17" s="50">
        <f>C8 * C$21 * (1 - C$21)</f>
        <v>202.25200276816608</v>
      </c>
      <c r="F17" s="43">
        <f>C8*B8^2*D$21*(1-D$21)*10^-6</f>
        <v>491264.85260770976</v>
      </c>
      <c r="G17" s="7"/>
      <c r="H17" s="18"/>
      <c r="I17" s="9"/>
      <c r="J17" s="9"/>
      <c r="L17" s="9"/>
      <c r="M17" s="9"/>
      <c r="S17" s="9"/>
      <c r="T17" s="9"/>
    </row>
    <row r="18" spans="2:20" x14ac:dyDescent="0.35">
      <c r="B18" s="44">
        <v>100000</v>
      </c>
      <c r="C18" s="51">
        <f>D9/C9</f>
        <v>1.53125E-2</v>
      </c>
      <c r="D18" s="51">
        <f>F9/E9</f>
        <v>1.53125E-2</v>
      </c>
      <c r="E18" s="52">
        <f t="shared" ref="E18:E20" si="1">C9 * C$21 * (1 - C$21)</f>
        <v>50.56300069204152</v>
      </c>
      <c r="F18" s="45">
        <f t="shared" ref="F18:F20" si="2">C9*B9^2*D$21*(1-D$21)*10^-6</f>
        <v>491264.85260770976</v>
      </c>
      <c r="G18" s="18"/>
      <c r="H18" s="18"/>
      <c r="I18" s="18"/>
      <c r="J18" s="18"/>
      <c r="K18" s="18"/>
      <c r="L18" s="18"/>
      <c r="M18" s="18"/>
      <c r="S18" s="9"/>
      <c r="T18" s="9"/>
    </row>
    <row r="19" spans="2:20" x14ac:dyDescent="0.35">
      <c r="B19" s="42">
        <v>250000</v>
      </c>
      <c r="C19" s="49">
        <f>D10/C10</f>
        <v>1.375E-2</v>
      </c>
      <c r="D19" s="49">
        <f>F10/E10</f>
        <v>1.375E-2</v>
      </c>
      <c r="E19" s="50">
        <f t="shared" si="1"/>
        <v>12.64075017301038</v>
      </c>
      <c r="F19" s="43">
        <f t="shared" si="2"/>
        <v>767601.33219954651</v>
      </c>
      <c r="G19" s="18"/>
      <c r="H19" s="18"/>
      <c r="I19" s="18"/>
      <c r="J19" s="18"/>
      <c r="K19" s="18"/>
      <c r="L19" s="18"/>
      <c r="M19" s="18"/>
      <c r="S19" s="9"/>
      <c r="T19" s="9"/>
    </row>
    <row r="20" spans="2:20" x14ac:dyDescent="0.35">
      <c r="B20" s="44">
        <v>500000</v>
      </c>
      <c r="C20" s="51">
        <f>D11/C11</f>
        <v>1.4999999999999999E-2</v>
      </c>
      <c r="D20" s="51">
        <f>F11/E11</f>
        <v>1.4999999999999999E-2</v>
      </c>
      <c r="E20" s="52">
        <f t="shared" si="1"/>
        <v>3.160187543252595</v>
      </c>
      <c r="F20" s="45">
        <f t="shared" si="2"/>
        <v>767601.33219954651</v>
      </c>
      <c r="G20" s="7"/>
      <c r="I20" s="9"/>
      <c r="J20" s="9"/>
      <c r="L20" s="9"/>
      <c r="M20" s="9"/>
      <c r="S20" s="9"/>
      <c r="T20" s="9"/>
    </row>
    <row r="21" spans="2:20" x14ac:dyDescent="0.35">
      <c r="B21" s="53" t="s">
        <v>32</v>
      </c>
      <c r="C21" s="54">
        <f>D12/C12</f>
        <v>1.6058823529411764E-2</v>
      </c>
      <c r="D21" s="54">
        <f>F12/E12</f>
        <v>1.5595238095238096E-2</v>
      </c>
      <c r="E21" s="55">
        <f>SUM(E17:E20)</f>
        <v>268.61594117647059</v>
      </c>
      <c r="F21" s="56">
        <f>SUM(F17:F20)</f>
        <v>2517732.3696145127</v>
      </c>
      <c r="G21" s="15"/>
      <c r="I21" s="34"/>
      <c r="J21" s="9"/>
      <c r="L21" s="9"/>
      <c r="M21" s="9"/>
      <c r="S21" s="9"/>
      <c r="T21" s="9"/>
    </row>
    <row r="22" spans="2:20" ht="16.5" x14ac:dyDescent="0.45">
      <c r="B22" s="29"/>
      <c r="C22" s="30" t="s">
        <v>51</v>
      </c>
      <c r="D22" s="30" t="s">
        <v>52</v>
      </c>
      <c r="E22" s="29"/>
      <c r="F22" s="30" t="s">
        <v>31</v>
      </c>
      <c r="G22" s="9"/>
      <c r="I22" s="9"/>
      <c r="J22" s="9"/>
      <c r="L22" s="9"/>
      <c r="M22" s="9"/>
      <c r="S22" s="9"/>
      <c r="T22" s="9"/>
    </row>
    <row r="23" spans="2:20" x14ac:dyDescent="0.35">
      <c r="E23" s="9"/>
      <c r="I23" s="9"/>
      <c r="J23" s="9"/>
      <c r="L23" s="9"/>
      <c r="M23" s="9"/>
      <c r="S23" s="9"/>
      <c r="T23" s="9"/>
    </row>
    <row r="24" spans="2:20" ht="24" customHeight="1" x14ac:dyDescent="0.35">
      <c r="B24" s="87" t="s">
        <v>55</v>
      </c>
      <c r="C24" s="88"/>
      <c r="D24" s="88"/>
      <c r="E24" s="40" t="s">
        <v>28</v>
      </c>
      <c r="F24" s="39" t="s">
        <v>29</v>
      </c>
      <c r="I24" s="9"/>
      <c r="J24" s="9"/>
      <c r="L24" s="9"/>
      <c r="M24" s="9"/>
      <c r="S24" s="9"/>
      <c r="T24" s="9"/>
    </row>
    <row r="25" spans="2:20" x14ac:dyDescent="0.35">
      <c r="B25" s="91" t="s">
        <v>60</v>
      </c>
      <c r="C25" s="91"/>
      <c r="D25" s="91"/>
      <c r="E25" s="50">
        <f>SQRT(E21)</f>
        <v>16.38950704495015</v>
      </c>
      <c r="F25" s="42">
        <f>SQRT(F21*1000000)</f>
        <v>1586736.3894530537</v>
      </c>
      <c r="I25" s="9"/>
      <c r="J25" s="9"/>
      <c r="K25" t="s">
        <v>50</v>
      </c>
      <c r="L25" t="s">
        <v>49</v>
      </c>
      <c r="M25" s="9"/>
      <c r="S25" s="9"/>
      <c r="T25" s="9"/>
    </row>
    <row r="26" spans="2:20" x14ac:dyDescent="0.35">
      <c r="B26" s="92" t="s">
        <v>53</v>
      </c>
      <c r="C26" s="92"/>
      <c r="D26" s="92"/>
      <c r="E26" s="57">
        <f>E25/D12</f>
        <v>6.0034824340476745E-2</v>
      </c>
      <c r="F26" s="57">
        <f>F25/F12</f>
        <v>8.0749943483615971E-2</v>
      </c>
      <c r="I26" s="9"/>
      <c r="J26" s="9"/>
      <c r="K26">
        <v>1</v>
      </c>
      <c r="L26" s="26">
        <f t="shared" ref="L26:L28" si="3">_xlfn.CONFIDENCE.NORM(0.1,1,K26)</f>
        <v>1.6448536269514715</v>
      </c>
      <c r="M26" s="9"/>
      <c r="S26" s="9"/>
      <c r="T26" s="9"/>
    </row>
    <row r="27" spans="2:20" x14ac:dyDescent="0.35">
      <c r="B27" s="91" t="s">
        <v>37</v>
      </c>
      <c r="C27" s="91"/>
      <c r="D27" s="91"/>
      <c r="E27" s="58">
        <f>5%/_xlfn.CONFIDENCE.NORM(0.1,1,1)</f>
        <v>3.0397841595588469E-2</v>
      </c>
      <c r="F27" s="59">
        <f>5%/_xlfn.CONFIDENCE.NORM(0.1,1,1)</f>
        <v>3.0397841595588469E-2</v>
      </c>
      <c r="I27" s="9"/>
      <c r="J27" s="9"/>
      <c r="K27">
        <f t="shared" ref="K27:K29" si="4">K26*10</f>
        <v>10</v>
      </c>
      <c r="L27" s="26">
        <f t="shared" si="3"/>
        <v>0.52014838787555717</v>
      </c>
      <c r="M27" s="9"/>
      <c r="S27" s="9"/>
      <c r="T27" s="9"/>
    </row>
    <row r="28" spans="2:20" x14ac:dyDescent="0.35">
      <c r="B28" s="29"/>
      <c r="C28" s="29"/>
      <c r="D28" s="29"/>
      <c r="E28" s="30"/>
      <c r="F28" s="29"/>
      <c r="I28" s="9"/>
      <c r="J28" s="9"/>
      <c r="K28">
        <f t="shared" si="4"/>
        <v>100</v>
      </c>
      <c r="L28" s="26">
        <f t="shared" si="3"/>
        <v>0.16448536269514716</v>
      </c>
      <c r="M28" s="9"/>
      <c r="S28" s="9"/>
      <c r="T28" s="9"/>
    </row>
    <row r="29" spans="2:20" ht="27.5" customHeight="1" x14ac:dyDescent="0.35">
      <c r="B29" s="93" t="s">
        <v>61</v>
      </c>
      <c r="C29" s="94"/>
      <c r="D29" s="94"/>
      <c r="E29" s="40" t="s">
        <v>28</v>
      </c>
      <c r="F29" s="39" t="s">
        <v>29</v>
      </c>
      <c r="I29" s="9"/>
      <c r="J29" s="9"/>
      <c r="K29">
        <f t="shared" si="4"/>
        <v>1000</v>
      </c>
      <c r="L29" s="26">
        <f>_xlfn.CONFIDENCE.NORM(0.1,1,K29)</f>
        <v>5.2014838787555716E-2</v>
      </c>
      <c r="M29" s="9"/>
      <c r="S29" s="9"/>
      <c r="T29" s="9"/>
    </row>
    <row r="30" spans="2:20" x14ac:dyDescent="0.35">
      <c r="B30" s="84" t="s">
        <v>38</v>
      </c>
      <c r="C30" s="84"/>
      <c r="D30" s="84"/>
      <c r="E30" s="60">
        <f>E26/E27</f>
        <v>1.9749699711965532</v>
      </c>
      <c r="F30" s="60">
        <f>F26/F27</f>
        <v>2.6564367483030416</v>
      </c>
      <c r="J30" s="9"/>
      <c r="K30">
        <f>K29*10</f>
        <v>10000</v>
      </c>
      <c r="L30" s="26">
        <f t="shared" ref="L30:L33" si="5">_xlfn.CONFIDENCE.NORM(0.1,1,K30)</f>
        <v>1.6448536269514716E-2</v>
      </c>
      <c r="M30" s="9"/>
      <c r="S30" s="9"/>
      <c r="T30" s="9"/>
    </row>
    <row r="31" spans="2:20" x14ac:dyDescent="0.35">
      <c r="B31" s="85" t="s">
        <v>39</v>
      </c>
      <c r="C31" s="85"/>
      <c r="D31" s="85"/>
      <c r="E31" s="61">
        <f>E30^2</f>
        <v>3.900506387128114</v>
      </c>
      <c r="F31" s="61">
        <f>F30^2</f>
        <v>7.0566561977348368</v>
      </c>
      <c r="J31" s="9"/>
      <c r="K31">
        <f t="shared" ref="K31:K33" si="6">K30*10</f>
        <v>100000</v>
      </c>
      <c r="L31" s="26">
        <f t="shared" si="5"/>
        <v>5.2014838787555707E-3</v>
      </c>
      <c r="M31" s="9"/>
      <c r="S31" s="9"/>
      <c r="T31" s="9"/>
    </row>
    <row r="32" spans="2:20" x14ac:dyDescent="0.35">
      <c r="B32" s="84" t="s">
        <v>40</v>
      </c>
      <c r="C32" s="84"/>
      <c r="D32" s="84"/>
      <c r="E32" s="62">
        <f>D12</f>
        <v>273</v>
      </c>
      <c r="F32" s="63">
        <f>F12</f>
        <v>19650000</v>
      </c>
      <c r="H32" s="41"/>
      <c r="J32" s="9"/>
      <c r="K32">
        <f t="shared" si="6"/>
        <v>1000000</v>
      </c>
      <c r="L32" s="26">
        <f t="shared" si="5"/>
        <v>1.6448536269514716E-3</v>
      </c>
      <c r="M32" s="9"/>
      <c r="S32" s="9"/>
      <c r="T32" s="9"/>
    </row>
    <row r="33" spans="2:20" x14ac:dyDescent="0.35">
      <c r="B33" s="95" t="s">
        <v>41</v>
      </c>
      <c r="C33" s="95"/>
      <c r="D33" s="95"/>
      <c r="E33" s="64">
        <f>D12*E31</f>
        <v>1064.8382436859752</v>
      </c>
      <c r="F33" s="65">
        <f>F12*F31</f>
        <v>138663294.28548953</v>
      </c>
      <c r="J33" s="9"/>
      <c r="K33">
        <f t="shared" si="6"/>
        <v>10000000</v>
      </c>
      <c r="L33" s="26">
        <f t="shared" si="5"/>
        <v>5.201483878755572E-4</v>
      </c>
      <c r="M33" s="9"/>
      <c r="S33" s="9"/>
      <c r="T33" s="9"/>
    </row>
    <row r="34" spans="2:20" x14ac:dyDescent="0.35">
      <c r="B34" s="27"/>
      <c r="C34" s="32"/>
      <c r="D34" s="32"/>
      <c r="E34" s="27"/>
      <c r="F34" s="33"/>
      <c r="J34" s="9"/>
      <c r="L34" s="9"/>
      <c r="M34" s="9"/>
      <c r="S34" s="9"/>
      <c r="T34" s="9"/>
    </row>
    <row r="35" spans="2:20" x14ac:dyDescent="0.35">
      <c r="B35" s="29"/>
      <c r="C35" s="29"/>
      <c r="D35" s="29"/>
      <c r="E35" s="30"/>
      <c r="F35" s="29"/>
      <c r="H35" s="24">
        <f>E33/E32</f>
        <v>3.900506387128114</v>
      </c>
      <c r="I35" s="24">
        <f>F33/F32</f>
        <v>7.0566561977348359</v>
      </c>
      <c r="J35" s="9"/>
      <c r="L35" s="9" t="s">
        <v>42</v>
      </c>
      <c r="M35" s="9"/>
      <c r="S35" s="9"/>
      <c r="T35" s="9"/>
    </row>
    <row r="36" spans="2:20" ht="24" customHeight="1" x14ac:dyDescent="0.35">
      <c r="B36" s="87" t="s">
        <v>54</v>
      </c>
      <c r="C36" s="88"/>
      <c r="D36" s="88"/>
      <c r="E36" s="40" t="s">
        <v>28</v>
      </c>
      <c r="F36" s="39" t="s">
        <v>29</v>
      </c>
      <c r="I36" s="9"/>
      <c r="J36" s="9"/>
      <c r="L36" s="9"/>
      <c r="M36" s="9"/>
      <c r="S36" s="9"/>
      <c r="T36" s="9"/>
    </row>
    <row r="37" spans="2:20" x14ac:dyDescent="0.35">
      <c r="B37" s="84" t="s">
        <v>44</v>
      </c>
      <c r="C37" s="84"/>
      <c r="D37" s="84"/>
      <c r="E37" s="66">
        <f>qc</f>
        <v>1.6058823529411764E-2</v>
      </c>
      <c r="F37" s="66">
        <f>qa</f>
        <v>1.5595238095238096E-2</v>
      </c>
      <c r="I37" s="9"/>
      <c r="J37" s="9"/>
      <c r="L37" s="9"/>
      <c r="M37" s="9"/>
      <c r="S37" s="9"/>
      <c r="T37" s="9"/>
    </row>
    <row r="38" spans="2:20" x14ac:dyDescent="0.35">
      <c r="B38" s="85" t="s">
        <v>45</v>
      </c>
      <c r="C38" s="85"/>
      <c r="D38" s="85"/>
      <c r="E38" s="67">
        <v>1.5879999999999998E-2</v>
      </c>
      <c r="F38" s="67">
        <f>E38</f>
        <v>1.5879999999999998E-2</v>
      </c>
      <c r="I38" s="9"/>
      <c r="J38" s="9"/>
      <c r="L38" s="9"/>
      <c r="M38" s="9"/>
      <c r="S38" s="9"/>
      <c r="T38" s="9"/>
    </row>
    <row r="39" spans="2:20" x14ac:dyDescent="0.35">
      <c r="B39" s="84" t="s">
        <v>33</v>
      </c>
      <c r="C39" s="84"/>
      <c r="D39" s="84"/>
      <c r="E39" s="68">
        <f>D12/E33</f>
        <v>0.25637696769323465</v>
      </c>
      <c r="F39" s="68">
        <f>F12/F33</f>
        <v>0.14171017716875547</v>
      </c>
      <c r="I39" s="9"/>
      <c r="J39" s="9"/>
      <c r="L39" s="9"/>
      <c r="M39" s="9"/>
      <c r="S39" s="9"/>
      <c r="T39" s="9"/>
    </row>
    <row r="40" spans="2:20" x14ac:dyDescent="0.35">
      <c r="B40" s="85" t="s">
        <v>59</v>
      </c>
      <c r="C40" s="85"/>
      <c r="D40" s="85"/>
      <c r="E40" s="69">
        <f>SQRT(E39)</f>
        <v>0.50633681250056728</v>
      </c>
      <c r="F40" s="69">
        <f>SQRT(F39)</f>
        <v>0.37644412223961671</v>
      </c>
      <c r="I40" s="9" t="s">
        <v>19</v>
      </c>
      <c r="J40" s="9"/>
      <c r="L40" s="9"/>
      <c r="M40" s="9"/>
      <c r="S40" s="9"/>
      <c r="T40" s="9"/>
    </row>
    <row r="41" spans="2:20" x14ac:dyDescent="0.35">
      <c r="B41" s="86" t="s">
        <v>43</v>
      </c>
      <c r="C41" s="86"/>
      <c r="D41" s="86"/>
      <c r="E41" s="70">
        <f>E40*E37+(1-E40)*E38</f>
        <v>1.5970544935882451E-2</v>
      </c>
      <c r="F41" s="70">
        <f>F40*F37+(1-F40)*F38</f>
        <v>1.5772803054714624E-2</v>
      </c>
      <c r="I41" s="9"/>
      <c r="J41" s="9"/>
      <c r="L41" s="9"/>
      <c r="M41" s="9"/>
      <c r="S41" s="9"/>
      <c r="T41" s="9"/>
    </row>
    <row r="42" spans="2:20" x14ac:dyDescent="0.35">
      <c r="B42" s="29"/>
      <c r="C42" s="29"/>
      <c r="D42" s="29"/>
      <c r="E42" s="30"/>
      <c r="F42" s="29"/>
      <c r="I42" s="9"/>
      <c r="J42" s="9"/>
      <c r="L42" s="9"/>
      <c r="M42" s="9"/>
      <c r="S42" s="9"/>
      <c r="T42" s="9"/>
    </row>
    <row r="43" spans="2:20" ht="24" customHeight="1" x14ac:dyDescent="0.35">
      <c r="B43" s="87" t="s">
        <v>58</v>
      </c>
      <c r="C43" s="88"/>
      <c r="D43" s="88"/>
      <c r="E43" s="40" t="s">
        <v>28</v>
      </c>
      <c r="F43" s="39" t="s">
        <v>29</v>
      </c>
      <c r="I43" s="9"/>
      <c r="J43" s="9"/>
      <c r="L43" s="9"/>
      <c r="M43" s="9"/>
      <c r="S43" s="9"/>
      <c r="T43" s="9"/>
    </row>
    <row r="44" spans="2:20" x14ac:dyDescent="0.35">
      <c r="B44" s="90" t="s">
        <v>44</v>
      </c>
      <c r="C44" s="90"/>
      <c r="D44" s="90"/>
      <c r="E44" s="66">
        <f>qc</f>
        <v>1.6058823529411764E-2</v>
      </c>
      <c r="F44" s="66">
        <f>qa</f>
        <v>1.5595238095238096E-2</v>
      </c>
      <c r="I44" s="9"/>
      <c r="J44" s="9"/>
      <c r="L44" s="9"/>
      <c r="M44" s="9"/>
      <c r="S44" s="9"/>
      <c r="T44" s="9"/>
    </row>
    <row r="45" spans="2:20" x14ac:dyDescent="0.35">
      <c r="B45" s="89" t="s">
        <v>45</v>
      </c>
      <c r="C45" s="89"/>
      <c r="D45" s="89"/>
      <c r="E45" s="67">
        <v>1.5879999999999998E-2</v>
      </c>
      <c r="F45" s="67">
        <f>E45</f>
        <v>1.5879999999999998E-2</v>
      </c>
      <c r="I45" s="9"/>
      <c r="J45" s="9"/>
      <c r="L45" s="9"/>
      <c r="M45" s="9"/>
      <c r="S45" s="9"/>
      <c r="T45" s="9"/>
    </row>
    <row r="46" spans="2:20" x14ac:dyDescent="0.35">
      <c r="B46" s="84" t="s">
        <v>34</v>
      </c>
      <c r="C46" s="84"/>
      <c r="D46" s="84"/>
      <c r="E46" s="71">
        <f>D12</f>
        <v>273</v>
      </c>
      <c r="F46" s="72">
        <f>F12</f>
        <v>19650000</v>
      </c>
      <c r="I46" s="9"/>
      <c r="J46" s="9"/>
      <c r="L46" s="9"/>
      <c r="M46" s="9"/>
      <c r="S46" s="9"/>
      <c r="T46" s="9"/>
    </row>
    <row r="47" spans="2:20" x14ac:dyDescent="0.35">
      <c r="B47" s="89" t="s">
        <v>35</v>
      </c>
      <c r="C47" s="89"/>
      <c r="D47" s="89"/>
      <c r="E47" s="73">
        <f>0.5*E33</f>
        <v>532.41912184298758</v>
      </c>
      <c r="F47" s="74">
        <f>0.5*F33</f>
        <v>69331647.142744765</v>
      </c>
      <c r="I47" s="9"/>
      <c r="J47" s="9"/>
      <c r="L47" s="9"/>
      <c r="M47" s="9"/>
      <c r="S47" s="9"/>
      <c r="T47" s="9"/>
    </row>
    <row r="48" spans="2:20" x14ac:dyDescent="0.35">
      <c r="B48" s="90" t="s">
        <v>36</v>
      </c>
      <c r="C48" s="90"/>
      <c r="D48" s="90"/>
      <c r="E48" s="68">
        <f>E46/(E46+E47)</f>
        <v>0.3389539589962951</v>
      </c>
      <c r="F48" s="68">
        <f>F46/(F46+F47)</f>
        <v>0.2208320550470074</v>
      </c>
      <c r="I48" s="9"/>
      <c r="J48" s="9"/>
      <c r="L48" s="9"/>
      <c r="M48" s="9"/>
      <c r="S48" s="9"/>
      <c r="T48" s="9"/>
    </row>
    <row r="49" spans="2:21" x14ac:dyDescent="0.35">
      <c r="B49" s="83" t="s">
        <v>43</v>
      </c>
      <c r="C49" s="83"/>
      <c r="D49" s="83"/>
      <c r="E49" s="75">
        <f>E48*E37+(1-E48)*E38</f>
        <v>1.5940612943255807E-2</v>
      </c>
      <c r="F49" s="75">
        <f>F48*F37+(1-F48)*F38</f>
        <v>1.5817115443372325E-2</v>
      </c>
      <c r="I49" s="9"/>
      <c r="J49" s="9"/>
      <c r="L49" s="9"/>
      <c r="M49" s="9"/>
      <c r="S49" s="9"/>
      <c r="T49" s="9"/>
    </row>
    <row r="50" spans="2:21" x14ac:dyDescent="0.35">
      <c r="E50" s="9"/>
      <c r="I50" s="9"/>
      <c r="J50" s="9"/>
      <c r="L50" s="9"/>
      <c r="M50" s="9"/>
      <c r="S50" s="9"/>
      <c r="T50" s="9"/>
    </row>
    <row r="51" spans="2:21" x14ac:dyDescent="0.35">
      <c r="E51" s="9"/>
      <c r="I51" s="9"/>
      <c r="J51" s="9"/>
      <c r="L51" s="9"/>
      <c r="M51" s="9"/>
      <c r="S51" s="9"/>
      <c r="T51" s="9"/>
    </row>
    <row r="52" spans="2:21" x14ac:dyDescent="0.35">
      <c r="D52" s="4"/>
      <c r="F52" s="4"/>
      <c r="I52" s="9"/>
      <c r="J52" s="9"/>
      <c r="L52" s="9"/>
      <c r="M52" s="9"/>
      <c r="S52" s="9"/>
      <c r="T52" s="9"/>
    </row>
    <row r="53" spans="2:21" x14ac:dyDescent="0.35">
      <c r="B53" s="1" t="s">
        <v>5</v>
      </c>
      <c r="C53" s="10">
        <v>1.5879999999999998E-2</v>
      </c>
      <c r="E53" t="s">
        <v>6</v>
      </c>
      <c r="I53" s="9"/>
      <c r="J53" s="9"/>
      <c r="L53" s="9"/>
      <c r="M53" s="9"/>
      <c r="S53" s="9"/>
      <c r="T53" s="9"/>
    </row>
    <row r="54" spans="2:21" x14ac:dyDescent="0.35">
      <c r="B54" t="s">
        <v>19</v>
      </c>
      <c r="E54" t="s">
        <v>7</v>
      </c>
      <c r="G54" s="4"/>
      <c r="H54" s="4"/>
      <c r="I54" s="9"/>
      <c r="J54" s="9"/>
      <c r="S54" s="9"/>
      <c r="T54" s="12"/>
    </row>
    <row r="55" spans="2:21" x14ac:dyDescent="0.35">
      <c r="E55" t="s">
        <v>8</v>
      </c>
    </row>
    <row r="57" spans="2:21" x14ac:dyDescent="0.35">
      <c r="B57" t="s">
        <v>10</v>
      </c>
    </row>
    <row r="58" spans="2:21" x14ac:dyDescent="0.35">
      <c r="B58" t="s">
        <v>11</v>
      </c>
    </row>
    <row r="59" spans="2:21" x14ac:dyDescent="0.35">
      <c r="B59" t="s">
        <v>12</v>
      </c>
      <c r="U59" s="3"/>
    </row>
    <row r="60" spans="2:21" x14ac:dyDescent="0.35">
      <c r="B60" t="s">
        <v>13</v>
      </c>
      <c r="U60" s="3"/>
    </row>
    <row r="61" spans="2:21" x14ac:dyDescent="0.35">
      <c r="B61" t="s">
        <v>14</v>
      </c>
    </row>
    <row r="62" spans="2:21" x14ac:dyDescent="0.35">
      <c r="B62" t="s">
        <v>15</v>
      </c>
    </row>
    <row r="63" spans="2:21" x14ac:dyDescent="0.35">
      <c r="B63" t="s">
        <v>17</v>
      </c>
    </row>
    <row r="64" spans="2:21" x14ac:dyDescent="0.35">
      <c r="C64" t="s">
        <v>16</v>
      </c>
    </row>
    <row r="65" spans="2:10" x14ac:dyDescent="0.35">
      <c r="B65" t="s">
        <v>18</v>
      </c>
      <c r="I65" s="5">
        <f>qc</f>
        <v>1.6058823529411764E-2</v>
      </c>
    </row>
    <row r="66" spans="2:10" x14ac:dyDescent="0.35">
      <c r="I66" s="5">
        <f>qa</f>
        <v>1.5595238095238096E-2</v>
      </c>
    </row>
    <row r="67" spans="2:10" x14ac:dyDescent="0.35">
      <c r="B67" t="s">
        <v>25</v>
      </c>
      <c r="D67" t="s">
        <v>48</v>
      </c>
      <c r="E67" s="6" t="s">
        <v>21</v>
      </c>
    </row>
    <row r="68" spans="2:10" x14ac:dyDescent="0.35">
      <c r="C68" s="14" t="s">
        <v>24</v>
      </c>
      <c r="D68">
        <f>qc</f>
        <v>1.6058823529411764E-2</v>
      </c>
      <c r="E68" s="4">
        <f>D52</f>
        <v>0</v>
      </c>
    </row>
    <row r="69" spans="2:10" x14ac:dyDescent="0.35">
      <c r="C69" s="14" t="s">
        <v>24</v>
      </c>
      <c r="E69" s="13">
        <f>E68*D68+I70*J70</f>
        <v>1.5879999999999998E-2</v>
      </c>
      <c r="I69" s="6" t="s">
        <v>22</v>
      </c>
      <c r="J69" t="s">
        <v>23</v>
      </c>
    </row>
    <row r="70" spans="2:10" x14ac:dyDescent="0.35">
      <c r="I70" s="4">
        <f>1-E68</f>
        <v>1</v>
      </c>
      <c r="J70" s="13">
        <f>C53</f>
        <v>1.5879999999999998E-2</v>
      </c>
    </row>
  </sheetData>
  <mergeCells count="27">
    <mergeCell ref="B24:D24"/>
    <mergeCell ref="B25:D25"/>
    <mergeCell ref="B26:D26"/>
    <mergeCell ref="B27:D27"/>
    <mergeCell ref="B36:D36"/>
    <mergeCell ref="B29:D29"/>
    <mergeCell ref="B30:D30"/>
    <mergeCell ref="B31:D31"/>
    <mergeCell ref="B32:D32"/>
    <mergeCell ref="B33:D33"/>
    <mergeCell ref="B49:D49"/>
    <mergeCell ref="B37:D37"/>
    <mergeCell ref="B38:D38"/>
    <mergeCell ref="B39:D39"/>
    <mergeCell ref="B40:D40"/>
    <mergeCell ref="B41:D41"/>
    <mergeCell ref="B46:D46"/>
    <mergeCell ref="B43:D43"/>
    <mergeCell ref="B45:D45"/>
    <mergeCell ref="B44:D44"/>
    <mergeCell ref="B47:D47"/>
    <mergeCell ref="B48:D48"/>
    <mergeCell ref="R5:V5"/>
    <mergeCell ref="B14:F14"/>
    <mergeCell ref="C15:D15"/>
    <mergeCell ref="E15:F15"/>
    <mergeCell ref="B6:F6"/>
  </mergeCells>
  <printOptions horizontalCentered="1" verticalCentered="1"/>
  <pageMargins left="0.7" right="0.7" top="0.75" bottom="0.75" header="0.3" footer="0.3"/>
  <pageSetup scale="120"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7</vt:i4>
      </vt:variant>
    </vt:vector>
  </HeadingPairs>
  <TitlesOfParts>
    <vt:vector size="8" baseType="lpstr">
      <vt:lpstr>Sheet1</vt:lpstr>
      <vt:lpstr>Amount</vt:lpstr>
      <vt:lpstr>Count</vt:lpstr>
      <vt:lpstr>Mortality_Rate_by_Amount</vt:lpstr>
      <vt:lpstr>PolSz</vt:lpstr>
      <vt:lpstr>Sheet1!Print_Area</vt:lpstr>
      <vt:lpstr>qa</vt:lpstr>
      <vt:lpstr>qc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 Atkinson</dc:creator>
  <cp:lastModifiedBy>Cindy MacDonald</cp:lastModifiedBy>
  <cp:lastPrinted>2018-07-09T19:20:05Z</cp:lastPrinted>
  <dcterms:created xsi:type="dcterms:W3CDTF">2018-07-04T19:57:31Z</dcterms:created>
  <dcterms:modified xsi:type="dcterms:W3CDTF">2019-02-19T20:47:38Z</dcterms:modified>
</cp:coreProperties>
</file>