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a.local\files\Data\Dept\Research\Practice Research\GIP112-Quantification of Cyber Risk for Actuaries\"/>
    </mc:Choice>
  </mc:AlternateContent>
  <xr:revisionPtr revIDLastSave="0" documentId="13_ncr:1_{0B66C71A-6A8C-4243-BCCF-C1FC515AFA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AD ME" sheetId="15" r:id="rId1"/>
    <sheet name="Input Data" sheetId="1" r:id="rId2"/>
    <sheet name="Weights" sheetId="2" r:id="rId3"/>
    <sheet name="Equations" sheetId="3" r:id="rId4"/>
    <sheet name="Attack Graph" sheetId="13" r:id="rId5"/>
    <sheet name="Impact Graph" sheetId="8" r:id="rId6"/>
    <sheet name="Cost Analysis" sheetId="12" r:id="rId7"/>
    <sheet name="Outputs" sheetId="14" r:id="rId8"/>
  </sheets>
  <definedNames>
    <definedName name="_xlnm._FilterDatabase" localSheetId="7" hidden="1">Outputs!$N$18:$R$25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F3" i="2"/>
  <c r="E4" i="2"/>
  <c r="F4" i="2"/>
  <c r="E5" i="2"/>
  <c r="F5" i="2"/>
  <c r="E6" i="2"/>
  <c r="F6" i="2"/>
  <c r="E7" i="2"/>
  <c r="F7" i="2"/>
  <c r="E8" i="2"/>
  <c r="F8" i="2"/>
  <c r="D4" i="2"/>
  <c r="D5" i="2"/>
  <c r="D6" i="2"/>
  <c r="D7" i="2"/>
  <c r="D8" i="2"/>
  <c r="D3" i="2"/>
  <c r="Y56" i="13" l="1"/>
  <c r="W17" i="14" l="1"/>
  <c r="V17" i="14"/>
  <c r="X17" i="14"/>
  <c r="L10" i="14" l="1"/>
  <c r="L9" i="14"/>
  <c r="L8" i="14"/>
  <c r="L7" i="14"/>
  <c r="L6" i="14"/>
  <c r="L5" i="14"/>
  <c r="Z75" i="13"/>
  <c r="AC55" i="13"/>
  <c r="Z78" i="13" s="1"/>
  <c r="AR29" i="13"/>
  <c r="AM29" i="13"/>
  <c r="AE29" i="13"/>
  <c r="Z29" i="13"/>
  <c r="R29" i="13"/>
  <c r="AA69" i="13" s="1"/>
  <c r="K29" i="13"/>
  <c r="AC59" i="13" s="1"/>
  <c r="Y54" i="13" l="1"/>
  <c r="Y55" i="13" s="1"/>
  <c r="Z76" i="13" s="1"/>
  <c r="D33" i="12"/>
  <c r="C33" i="12"/>
  <c r="B33" i="12"/>
  <c r="D32" i="12"/>
  <c r="C32" i="12"/>
  <c r="B32" i="12"/>
  <c r="D28" i="12"/>
  <c r="C28" i="12"/>
  <c r="B28" i="12"/>
  <c r="D27" i="12"/>
  <c r="D26" i="12"/>
  <c r="C26" i="12"/>
  <c r="B26" i="12"/>
  <c r="D25" i="12"/>
  <c r="C25" i="12"/>
  <c r="B25" i="12"/>
  <c r="B24" i="12"/>
  <c r="G23" i="12"/>
  <c r="G32" i="12" s="1"/>
  <c r="H32" i="12" s="1"/>
  <c r="E23" i="12"/>
  <c r="E25" i="12" s="1"/>
  <c r="D23" i="12"/>
  <c r="C23" i="12"/>
  <c r="B23" i="12"/>
  <c r="Y57" i="13" l="1"/>
  <c r="AA61" i="13" s="1"/>
  <c r="Z79" i="13" s="1"/>
  <c r="H9" i="8" s="1"/>
  <c r="G25" i="12"/>
  <c r="H25" i="12" s="1"/>
  <c r="G30" i="12"/>
  <c r="H30" i="12" s="1"/>
  <c r="G31" i="12"/>
  <c r="H31" i="12" s="1"/>
  <c r="E28" i="12"/>
  <c r="G28" i="12"/>
  <c r="H28" i="12" s="1"/>
  <c r="E24" i="12"/>
  <c r="G29" i="12"/>
  <c r="H29" i="12" s="1"/>
  <c r="G24" i="12"/>
  <c r="H24" i="12" s="1"/>
  <c r="G26" i="12"/>
  <c r="H26" i="12" s="1"/>
  <c r="E30" i="12"/>
  <c r="G27" i="12"/>
  <c r="H27" i="12" s="1"/>
  <c r="E32" i="12"/>
  <c r="F23" i="12"/>
  <c r="E26" i="12"/>
  <c r="E29" i="12"/>
  <c r="E31" i="12"/>
  <c r="G33" i="12"/>
  <c r="H33" i="12" s="1"/>
  <c r="E27" i="12"/>
  <c r="E33" i="12"/>
  <c r="H23" i="12"/>
  <c r="AA68" i="13" l="1"/>
  <c r="Z77" i="13"/>
  <c r="F31" i="12"/>
  <c r="F29" i="12"/>
  <c r="F26" i="12"/>
  <c r="F30" i="12"/>
  <c r="F28" i="12"/>
  <c r="F32" i="12"/>
  <c r="F24" i="12"/>
  <c r="F25" i="12"/>
  <c r="F33" i="12"/>
  <c r="F27" i="12"/>
  <c r="AA70" i="13" l="1"/>
  <c r="Z81" i="13" s="1"/>
  <c r="H10" i="8" s="1"/>
  <c r="Z80" i="13"/>
  <c r="P86" i="8" l="1"/>
  <c r="M86" i="8"/>
  <c r="J86" i="8"/>
  <c r="E86" i="8"/>
  <c r="B86" i="8"/>
  <c r="P85" i="8"/>
  <c r="M85" i="8"/>
  <c r="J85" i="8"/>
  <c r="E85" i="8"/>
  <c r="B85" i="8"/>
  <c r="P71" i="8"/>
  <c r="M71" i="8"/>
  <c r="J71" i="8"/>
  <c r="E71" i="8"/>
  <c r="B71" i="8"/>
  <c r="P70" i="8"/>
  <c r="M70" i="8"/>
  <c r="J70" i="8"/>
  <c r="E70" i="8"/>
  <c r="B70" i="8"/>
  <c r="AR51" i="8"/>
  <c r="AO51" i="8"/>
  <c r="AL51" i="8"/>
  <c r="AI51" i="8"/>
  <c r="AF51" i="8"/>
  <c r="AC51" i="8"/>
  <c r="Z51" i="8"/>
  <c r="W51" i="8"/>
  <c r="T51" i="8"/>
  <c r="Q51" i="8"/>
  <c r="N51" i="8"/>
  <c r="K51" i="8"/>
  <c r="H51" i="8"/>
  <c r="E51" i="8"/>
  <c r="B51" i="8"/>
  <c r="AR50" i="8"/>
  <c r="AO50" i="8"/>
  <c r="AL50" i="8"/>
  <c r="AI50" i="8"/>
  <c r="AF50" i="8"/>
  <c r="AC50" i="8"/>
  <c r="Z50" i="8"/>
  <c r="W50" i="8"/>
  <c r="T50" i="8"/>
  <c r="Q50" i="8"/>
  <c r="N50" i="8"/>
  <c r="K50" i="8"/>
  <c r="H50" i="8"/>
  <c r="E50" i="8"/>
  <c r="B50" i="8"/>
  <c r="AL49" i="8"/>
  <c r="AI49" i="8"/>
  <c r="AF49" i="8"/>
  <c r="AC49" i="8"/>
  <c r="W49" i="8"/>
  <c r="T49" i="8"/>
  <c r="K49" i="8"/>
  <c r="H49" i="8"/>
  <c r="E49" i="8"/>
  <c r="B49" i="8"/>
  <c r="B54" i="8" s="1"/>
  <c r="P38" i="8"/>
  <c r="M38" i="8"/>
  <c r="J38" i="8"/>
  <c r="E38" i="8"/>
  <c r="B38" i="8"/>
  <c r="P37" i="8"/>
  <c r="M37" i="8"/>
  <c r="J37" i="8"/>
  <c r="E37" i="8"/>
  <c r="B37" i="8"/>
  <c r="P36" i="8"/>
  <c r="M36" i="8"/>
  <c r="M41" i="8" s="1"/>
  <c r="J36" i="8"/>
  <c r="J41" i="8" s="1"/>
  <c r="E36" i="8"/>
  <c r="B36" i="8"/>
  <c r="B41" i="8" l="1"/>
  <c r="T54" i="8"/>
  <c r="B56" i="8"/>
  <c r="AC56" i="8"/>
  <c r="AC54" i="8"/>
  <c r="B55" i="8"/>
  <c r="J40" i="8"/>
  <c r="J43" i="8" s="1"/>
  <c r="B15" i="8" s="1"/>
  <c r="Q49" i="8" s="1"/>
  <c r="AO49" i="8" s="1"/>
  <c r="B42" i="8"/>
  <c r="M40" i="8"/>
  <c r="M44" i="8" s="1"/>
  <c r="B16" i="8" s="1"/>
  <c r="AR49" i="8" s="1"/>
  <c r="AC59" i="8" s="1"/>
  <c r="AC55" i="8"/>
  <c r="B57" i="8"/>
  <c r="M42" i="8"/>
  <c r="T55" i="8"/>
  <c r="AC57" i="8"/>
  <c r="B40" i="8"/>
  <c r="B44" i="8" s="1"/>
  <c r="B14" i="8" s="1"/>
  <c r="N49" i="8" s="1"/>
  <c r="B58" i="8" s="1"/>
  <c r="B59" i="8" l="1"/>
  <c r="Z49" i="8"/>
  <c r="AC58" i="8"/>
  <c r="AC53" i="8"/>
  <c r="AC61" i="8" s="1"/>
  <c r="B10" i="8" s="1"/>
  <c r="P69" i="8" s="1"/>
  <c r="M75" i="8" s="1"/>
  <c r="B53" i="8"/>
  <c r="B61" i="8" s="1"/>
  <c r="B8" i="8" s="1"/>
  <c r="B69" i="8" s="1"/>
  <c r="T56" i="8" l="1"/>
  <c r="T53" i="8"/>
  <c r="T58" i="8" s="1"/>
  <c r="B9" i="8" s="1"/>
  <c r="E69" i="8" s="1"/>
  <c r="B73" i="8" s="1"/>
  <c r="B74" i="8"/>
  <c r="J69" i="8" l="1"/>
  <c r="M69" i="8"/>
  <c r="B75" i="8"/>
  <c r="B77" i="8" s="1"/>
  <c r="B17" i="8" s="1"/>
  <c r="B84" i="8" s="1"/>
  <c r="B89" i="8" l="1"/>
  <c r="M74" i="8"/>
  <c r="M73" i="8"/>
  <c r="M77" i="8" s="1"/>
  <c r="B19" i="8" s="1"/>
  <c r="P84" i="8" s="1"/>
  <c r="M90" i="8" s="1"/>
  <c r="J74" i="8"/>
  <c r="J73" i="8"/>
  <c r="J76" i="8" s="1"/>
  <c r="B18" i="8" s="1"/>
  <c r="E84" i="8" s="1"/>
  <c r="J84" i="8" l="1"/>
  <c r="B90" i="8"/>
  <c r="M84" i="8"/>
  <c r="B88" i="8"/>
  <c r="B92" i="8" s="1"/>
  <c r="B20" i="8" s="1"/>
  <c r="K22" i="12" s="1"/>
  <c r="I15" i="12" l="1"/>
  <c r="I7" i="12"/>
  <c r="I12" i="12"/>
  <c r="I9" i="12"/>
  <c r="I14" i="12"/>
  <c r="I6" i="12"/>
  <c r="I16" i="12"/>
  <c r="I13" i="12"/>
  <c r="I5" i="12"/>
  <c r="I4" i="12"/>
  <c r="I11" i="12"/>
  <c r="I8" i="12"/>
  <c r="I10" i="12"/>
  <c r="M89" i="8"/>
  <c r="M88" i="8"/>
  <c r="M92" i="8" s="1"/>
  <c r="B22" i="8" s="1"/>
  <c r="M22" i="12" s="1"/>
  <c r="J89" i="8"/>
  <c r="J88" i="8"/>
  <c r="K13" i="12" l="1"/>
  <c r="K9" i="12"/>
  <c r="K5" i="12"/>
  <c r="K16" i="12"/>
  <c r="K8" i="12"/>
  <c r="K4" i="12"/>
  <c r="K14" i="12"/>
  <c r="K6" i="12"/>
  <c r="K12" i="12"/>
  <c r="K15" i="12"/>
  <c r="K11" i="12"/>
  <c r="K7" i="12"/>
  <c r="K10" i="12"/>
  <c r="I17" i="12"/>
  <c r="J91" i="8"/>
  <c r="B21" i="8" s="1"/>
  <c r="L22" i="12" s="1"/>
  <c r="J16" i="12" l="1"/>
  <c r="L16" i="12" s="1"/>
  <c r="J12" i="12"/>
  <c r="L12" i="12" s="1"/>
  <c r="J4" i="12"/>
  <c r="J7" i="12"/>
  <c r="L7" i="12" s="1"/>
  <c r="J10" i="12"/>
  <c r="L10" i="12" s="1"/>
  <c r="J13" i="12"/>
  <c r="L13" i="12" s="1"/>
  <c r="J9" i="12"/>
  <c r="L9" i="12" s="1"/>
  <c r="J5" i="12"/>
  <c r="L5" i="12" s="1"/>
  <c r="J8" i="12"/>
  <c r="L8" i="12" s="1"/>
  <c r="J14" i="12"/>
  <c r="L14" i="12" s="1"/>
  <c r="J15" i="12"/>
  <c r="L15" i="12" s="1"/>
  <c r="J11" i="12"/>
  <c r="L11" i="12" s="1"/>
  <c r="J6" i="12"/>
  <c r="L6" i="12" s="1"/>
  <c r="K17" i="12"/>
  <c r="J17" i="12" l="1"/>
  <c r="L4" i="12"/>
  <c r="L17" i="12" s="1"/>
  <c r="H7" i="8" s="1"/>
  <c r="B46" i="3" l="1"/>
  <c r="B52" i="3"/>
  <c r="B51" i="3"/>
  <c r="B50" i="3"/>
  <c r="B49" i="3"/>
  <c r="B48" i="3"/>
  <c r="B47" i="3"/>
  <c r="B54" i="3" l="1"/>
  <c r="B35" i="3"/>
  <c r="B32" i="3"/>
  <c r="B34" i="3"/>
  <c r="B33" i="3"/>
  <c r="B20" i="3"/>
  <c r="B22" i="3"/>
  <c r="B21" i="3"/>
  <c r="B9" i="3"/>
  <c r="B8" i="3"/>
  <c r="B24" i="3" l="1"/>
  <c r="B37" i="3"/>
  <c r="B11" i="3"/>
</calcChain>
</file>

<file path=xl/sharedStrings.xml><?xml version="1.0" encoding="utf-8"?>
<sst xmlns="http://schemas.openxmlformats.org/spreadsheetml/2006/main" count="966" uniqueCount="340">
  <si>
    <t>weights (w)</t>
  </si>
  <si>
    <t>C</t>
  </si>
  <si>
    <t>I</t>
  </si>
  <si>
    <t>A</t>
  </si>
  <si>
    <t>A1</t>
  </si>
  <si>
    <t>A2</t>
  </si>
  <si>
    <t>A3</t>
  </si>
  <si>
    <t>A4</t>
  </si>
  <si>
    <t>S1</t>
  </si>
  <si>
    <t>B1</t>
  </si>
  <si>
    <t>A1C</t>
  </si>
  <si>
    <t>A1I</t>
  </si>
  <si>
    <t>A1A</t>
  </si>
  <si>
    <t>A2C</t>
  </si>
  <si>
    <t>A2I</t>
  </si>
  <si>
    <t>A2A</t>
  </si>
  <si>
    <t>A3C</t>
  </si>
  <si>
    <t>A3I</t>
  </si>
  <si>
    <t>A3A</t>
  </si>
  <si>
    <t>A4C</t>
  </si>
  <si>
    <t>A4I</t>
  </si>
  <si>
    <t>A4A</t>
  </si>
  <si>
    <t>S1C</t>
  </si>
  <si>
    <t>S1I</t>
  </si>
  <si>
    <t>S1A</t>
  </si>
  <si>
    <t>B1C</t>
  </si>
  <si>
    <t>B1I</t>
  </si>
  <si>
    <t>B1A</t>
  </si>
  <si>
    <t>ALPHA</t>
  </si>
  <si>
    <t>i feeder</t>
  </si>
  <si>
    <t>j receiver</t>
  </si>
  <si>
    <t>BETA</t>
  </si>
  <si>
    <t>External Firewall</t>
  </si>
  <si>
    <t>Web Server</t>
  </si>
  <si>
    <t>Internal Firewall</t>
  </si>
  <si>
    <t>Database Server</t>
  </si>
  <si>
    <t>Web Hosting</t>
  </si>
  <si>
    <t>Delivering Online Courses</t>
  </si>
  <si>
    <t>Node</t>
  </si>
  <si>
    <t>Name</t>
  </si>
  <si>
    <t>Type</t>
  </si>
  <si>
    <t>Asset</t>
  </si>
  <si>
    <t>Service</t>
  </si>
  <si>
    <t>Business Process</t>
  </si>
  <si>
    <t>Description</t>
  </si>
  <si>
    <t>Filters traffic to the web server.</t>
  </si>
  <si>
    <t>Hosts online course website</t>
  </si>
  <si>
    <t>Filters traffic between web server and database server</t>
  </si>
  <si>
    <t>Delivery of an up and running web site with online course contents.</t>
  </si>
  <si>
    <t>Delivering online education to higher education students.</t>
  </si>
  <si>
    <t>Archive of online course videos and files. Personal Identifiable Information of employees of students and faculty.</t>
  </si>
  <si>
    <t>Pi</t>
  </si>
  <si>
    <t>alphaij</t>
  </si>
  <si>
    <t>betaij</t>
  </si>
  <si>
    <t>SODPj</t>
  </si>
  <si>
    <t>CODPj</t>
  </si>
  <si>
    <t>Pj</t>
  </si>
  <si>
    <t>Output</t>
  </si>
  <si>
    <t>Inputs</t>
  </si>
  <si>
    <t>One feeder</t>
  </si>
  <si>
    <t>Two Feeders</t>
  </si>
  <si>
    <t>Pi2</t>
  </si>
  <si>
    <t>Pi1</t>
  </si>
  <si>
    <t>CODPji1</t>
  </si>
  <si>
    <t>CODPji2</t>
  </si>
  <si>
    <t>alphai1j</t>
  </si>
  <si>
    <t>betai1j</t>
  </si>
  <si>
    <t>Three Feeders</t>
  </si>
  <si>
    <t>CODPji3</t>
  </si>
  <si>
    <t>Pi3</t>
  </si>
  <si>
    <t>alphai3j</t>
  </si>
  <si>
    <t>betai3j</t>
  </si>
  <si>
    <t>alphai2j</t>
  </si>
  <si>
    <t>betai2j</t>
  </si>
  <si>
    <t>Six Feeders</t>
  </si>
  <si>
    <t>Pi4</t>
  </si>
  <si>
    <t>alphai4j</t>
  </si>
  <si>
    <t>betai4j</t>
  </si>
  <si>
    <t>alphai5j</t>
  </si>
  <si>
    <t>Pi5</t>
  </si>
  <si>
    <t>betai5j</t>
  </si>
  <si>
    <t>Pi6</t>
  </si>
  <si>
    <t>alphai6j</t>
  </si>
  <si>
    <t>betai6j</t>
  </si>
  <si>
    <t>CODPji4</t>
  </si>
  <si>
    <t>CODPji5</t>
  </si>
  <si>
    <t>CODPji6</t>
  </si>
  <si>
    <t># of feeders</t>
  </si>
  <si>
    <t>receiver</t>
  </si>
  <si>
    <t>calculation order</t>
  </si>
  <si>
    <t>Operability</t>
  </si>
  <si>
    <t>SE</t>
  </si>
  <si>
    <t>Likelihood</t>
  </si>
  <si>
    <t>Metric Group</t>
  </si>
  <si>
    <t>Metric</t>
  </si>
  <si>
    <t>Metric Value</t>
  </si>
  <si>
    <t>Numerical Value</t>
  </si>
  <si>
    <t>Base Metrics</t>
  </si>
  <si>
    <t>Attack Vector/Modified Attack Vector</t>
  </si>
  <si>
    <t>Network</t>
  </si>
  <si>
    <t>Adjacent</t>
  </si>
  <si>
    <t>Local</t>
  </si>
  <si>
    <t>Physical</t>
  </si>
  <si>
    <t xml:space="preserve">Attack Complexity / Modified Attack Complexity </t>
  </si>
  <si>
    <t>Low</t>
  </si>
  <si>
    <t>High</t>
  </si>
  <si>
    <t xml:space="preserve">Privileges Required / Modified Privileges Required </t>
  </si>
  <si>
    <t>None</t>
  </si>
  <si>
    <t xml:space="preserve">0.62 (or 0.68 if Scope / Modified Scope is Changed) </t>
  </si>
  <si>
    <t xml:space="preserve">0.27 (or 0.5 if Scope / Modified Scope is Changed) </t>
  </si>
  <si>
    <t xml:space="preserve">User Interaction / Modified User Interaction </t>
  </si>
  <si>
    <t>Required</t>
  </si>
  <si>
    <t>Temporal Metrics</t>
  </si>
  <si>
    <t xml:space="preserve">Exploit Code Maturity </t>
  </si>
  <si>
    <t>Not Defined</t>
  </si>
  <si>
    <t>Functional</t>
  </si>
  <si>
    <t>Proof of Concept</t>
  </si>
  <si>
    <t>Unproven</t>
  </si>
  <si>
    <t xml:space="preserve">Remediation Level </t>
  </si>
  <si>
    <t>Unavailable</t>
  </si>
  <si>
    <t>Workaround</t>
  </si>
  <si>
    <t>Temporary Fix</t>
  </si>
  <si>
    <t>Official Fix</t>
  </si>
  <si>
    <t xml:space="preserve">Report Confidence </t>
  </si>
  <si>
    <t>Confirmed</t>
  </si>
  <si>
    <t>Reasonable</t>
  </si>
  <si>
    <t>Unknown</t>
  </si>
  <si>
    <t>Impact</t>
  </si>
  <si>
    <t>Confidentiality Impact</t>
  </si>
  <si>
    <t>Integrity Impact</t>
  </si>
  <si>
    <t>Availability Impact</t>
  </si>
  <si>
    <t>Environmental Metrics</t>
  </si>
  <si>
    <t>Confidentiality Requirement</t>
  </si>
  <si>
    <t>Medium</t>
  </si>
  <si>
    <t xml:space="preserve">Integrity Requirement </t>
  </si>
  <si>
    <t xml:space="preserve">Availability Requirement </t>
  </si>
  <si>
    <t>AV:N/AC:H/PR:N/UI:N/S:U/C:H/I:H/A:H</t>
  </si>
  <si>
    <t>Attack Vector (AV)</t>
  </si>
  <si>
    <t>Attack Complexity (AC)</t>
  </si>
  <si>
    <t>Privileges Required (PR)</t>
  </si>
  <si>
    <t>User Interaction (UI)</t>
  </si>
  <si>
    <t>Scope (S)</t>
  </si>
  <si>
    <t>Confidentiality (C)</t>
  </si>
  <si>
    <t>Integrity (I)</t>
  </si>
  <si>
    <t>Availability (A)</t>
  </si>
  <si>
    <t>Unchanged</t>
  </si>
  <si>
    <t>likelihood</t>
  </si>
  <si>
    <t>=</t>
  </si>
  <si>
    <t>P(A)</t>
  </si>
  <si>
    <t>P(E)</t>
  </si>
  <si>
    <t>P(D)</t>
  </si>
  <si>
    <t>P(C|D)</t>
  </si>
  <si>
    <t>P(C)</t>
  </si>
  <si>
    <t>P(B|C)</t>
  </si>
  <si>
    <t>P(B)</t>
  </si>
  <si>
    <t>P(A|B)</t>
  </si>
  <si>
    <t>Outputs</t>
  </si>
  <si>
    <t>Day of week</t>
  </si>
  <si>
    <t>ti</t>
  </si>
  <si>
    <t>duration (days)</t>
  </si>
  <si>
    <t>di</t>
  </si>
  <si>
    <t>Loss of IP</t>
  </si>
  <si>
    <t>Loss of Strategic Information</t>
  </si>
  <si>
    <t>Reputational Damage</t>
  </si>
  <si>
    <t>Increased Cost of Capital</t>
  </si>
  <si>
    <t>Cyber Security Improvements</t>
  </si>
  <si>
    <t>Loss of data and Equipment</t>
  </si>
  <si>
    <t>Loss of Revenue</t>
  </si>
  <si>
    <t>PR</t>
  </si>
  <si>
    <t>Regulatory Penalties</t>
  </si>
  <si>
    <t>Customer Protection</t>
  </si>
  <si>
    <t>Breach Notifications</t>
  </si>
  <si>
    <t>Court Settlement Fees</t>
  </si>
  <si>
    <t>Forensics</t>
  </si>
  <si>
    <t>B1-C</t>
  </si>
  <si>
    <t>B1-I</t>
  </si>
  <si>
    <t>B1-A</t>
  </si>
  <si>
    <t>Degradation</t>
  </si>
  <si>
    <t>Total Cost</t>
  </si>
  <si>
    <t>Cost C</t>
  </si>
  <si>
    <t>Cost I</t>
  </si>
  <si>
    <t>Cost A</t>
  </si>
  <si>
    <t>CVE-2019-18601</t>
  </si>
  <si>
    <t>AV:N/AC:L/PR:N/UI:N/S:U/C:N/I:N/A:H</t>
  </si>
  <si>
    <t xml:space="preserve"> Network </t>
  </si>
  <si>
    <t xml:space="preserve"> Low </t>
  </si>
  <si>
    <t xml:space="preserve"> None </t>
  </si>
  <si>
    <t xml:space="preserve"> Unchanged </t>
  </si>
  <si>
    <t xml:space="preserve"> High </t>
  </si>
  <si>
    <t>Temporary fix</t>
  </si>
  <si>
    <t>cost</t>
  </si>
  <si>
    <t>web</t>
  </si>
  <si>
    <t>db</t>
  </si>
  <si>
    <t>high</t>
  </si>
  <si>
    <t>V</t>
  </si>
  <si>
    <t>wC</t>
  </si>
  <si>
    <t>wI</t>
  </si>
  <si>
    <t>wA</t>
  </si>
  <si>
    <t>VC</t>
  </si>
  <si>
    <t>VI</t>
  </si>
  <si>
    <t>VA</t>
  </si>
  <si>
    <t>P</t>
  </si>
  <si>
    <t>Sub-Metric Group</t>
  </si>
  <si>
    <t>Human Factor Base Metrics</t>
  </si>
  <si>
    <t>Susceptibility to confidentiality breach</t>
  </si>
  <si>
    <t>Susceptible</t>
  </si>
  <si>
    <t>Susceptibility to integrity breach</t>
  </si>
  <si>
    <t>Susceptibility to availability breach</t>
  </si>
  <si>
    <t>Privileges Required</t>
  </si>
  <si>
    <t>Ordinary user</t>
  </si>
  <si>
    <t>C-level user</t>
  </si>
  <si>
    <t>Administrator</t>
  </si>
  <si>
    <t>Human Factor Environmental Metrics</t>
  </si>
  <si>
    <t>Cyber hygiene of the users and admins of the enterprise (Likelihood)</t>
  </si>
  <si>
    <t>Phishing test results</t>
  </si>
  <si>
    <t>Positive</t>
  </si>
  <si>
    <t>Negative</t>
  </si>
  <si>
    <t>Reported cyber incidents</t>
  </si>
  <si>
    <t>Hidden</t>
  </si>
  <si>
    <t>Reported</t>
  </si>
  <si>
    <t>Security awareness trainings in the last year</t>
  </si>
  <si>
    <t>Once</t>
  </si>
  <si>
    <t>Multiple</t>
  </si>
  <si>
    <t>Cyber security certifications and trainings of system admins</t>
  </si>
  <si>
    <t>No training</t>
  </si>
  <si>
    <t>Training</t>
  </si>
  <si>
    <t>Certificate</t>
  </si>
  <si>
    <t>Cybersecurity at the enterprise  level (Impact)</t>
  </si>
  <si>
    <t>Having a CISO or equivalent</t>
  </si>
  <si>
    <t>Yes</t>
  </si>
  <si>
    <t>No</t>
  </si>
  <si>
    <t>Having a cybersecurity department</t>
  </si>
  <si>
    <t>Compliance with government or industry standards (ISO 27001, PCIDSS, etc.)</t>
  </si>
  <si>
    <t>No complience</t>
  </si>
  <si>
    <t>Pending</t>
  </si>
  <si>
    <t>Complient</t>
  </si>
  <si>
    <t>P(H)</t>
  </si>
  <si>
    <t>P(F)</t>
  </si>
  <si>
    <t>P(E|F)</t>
  </si>
  <si>
    <t>P(C|E)</t>
  </si>
  <si>
    <t>multi-hop</t>
  </si>
  <si>
    <t>input</t>
  </si>
  <si>
    <t>output</t>
  </si>
  <si>
    <t>P(B|E)</t>
  </si>
  <si>
    <t>P(G)</t>
  </si>
  <si>
    <t>CVE-2009-1918</t>
  </si>
  <si>
    <t>AV:N/AC:L/PR:N/UI:R/S:C/C:H/I:H/A:H</t>
  </si>
  <si>
    <t>Changed</t>
  </si>
  <si>
    <t>https://nvd.nist.gov/vuln/detail/CVE-2009-1918#vulnCurrentDescriptionTitle</t>
  </si>
  <si>
    <t>path 2,3</t>
  </si>
  <si>
    <t>path 2</t>
  </si>
  <si>
    <t>path 3</t>
  </si>
  <si>
    <t>path 1,2</t>
  </si>
  <si>
    <t>attacker</t>
  </si>
  <si>
    <t>ext. Firew.</t>
  </si>
  <si>
    <t>M Website</t>
  </si>
  <si>
    <t>Workstation</t>
  </si>
  <si>
    <t>Webserver</t>
  </si>
  <si>
    <t>int Firew.</t>
  </si>
  <si>
    <t>DB Server</t>
  </si>
  <si>
    <t>Malicious Website</t>
  </si>
  <si>
    <t>A5</t>
  </si>
  <si>
    <t>CIA</t>
  </si>
  <si>
    <t>path 1</t>
  </si>
  <si>
    <t>3 paths</t>
  </si>
  <si>
    <t>path 1,2,3</t>
  </si>
  <si>
    <t>P(D|G)</t>
  </si>
  <si>
    <t>P(F|G)</t>
  </si>
  <si>
    <t xml:space="preserve"> </t>
  </si>
  <si>
    <t>Cybersecurity Improvements</t>
  </si>
  <si>
    <t>Loss of Data and Equipment</t>
  </si>
  <si>
    <t xml:space="preserve">G D C B A </t>
  </si>
  <si>
    <t xml:space="preserve">G F E C B A  </t>
  </si>
  <si>
    <t xml:space="preserve">G F E B A </t>
  </si>
  <si>
    <t>The one in the example (Section 10)</t>
  </si>
  <si>
    <t>Clicks the link at the external website, then through the webserver to the database</t>
  </si>
  <si>
    <t>Clicks the link at the external website, then directly to the database</t>
  </si>
  <si>
    <t>Scenarios</t>
  </si>
  <si>
    <t>9 decreases</t>
  </si>
  <si>
    <t>30 decreases</t>
  </si>
  <si>
    <t>36 decreases</t>
  </si>
  <si>
    <t>Impact Graph Analysis</t>
  </si>
  <si>
    <t>Cost Analysis</t>
  </si>
  <si>
    <t>Scenario 1</t>
  </si>
  <si>
    <t>Scenario 2</t>
  </si>
  <si>
    <t>Scenario 3</t>
  </si>
  <si>
    <t>Table 3. Likelihood metrics</t>
  </si>
  <si>
    <t>Table 4. Human Factor Metrics</t>
  </si>
  <si>
    <t>Table 7. Impact Graph Nodes' CIA Weights and Descriptions</t>
  </si>
  <si>
    <t>Table 8. Strength of dependency between feeder (rows) and receiver (columns) node pairs</t>
  </si>
  <si>
    <t>Table 9. Criticality of dependency between feeder (rows) and receiver (columns) node pairs</t>
  </si>
  <si>
    <t>Table 7. Impact Graph Nodes' CIA Weights</t>
  </si>
  <si>
    <t>Figure 33. Attack graph with three paths highlighted</t>
  </si>
  <si>
    <t>Scenarios as explained in Pages 70 and 71.</t>
  </si>
  <si>
    <t>Figure 31. Impact Graph for the Simulation</t>
  </si>
  <si>
    <t>This sheet presents the FDNA calculation equations for impact propagation analyses for different number of feeders.</t>
  </si>
  <si>
    <t>Path 1 and vulnerabilities along the path</t>
  </si>
  <si>
    <t>Path 3 and vulnerabilities along the path</t>
  </si>
  <si>
    <t>Path 2 and vulnerabilities along the path</t>
  </si>
  <si>
    <t>Table 15. Outputs of Attack Graph Analyses</t>
  </si>
  <si>
    <t>Normalized Self-efficiency operability</t>
  </si>
  <si>
    <t>Table 5. Operability value for Impact metrics</t>
  </si>
  <si>
    <t>CVE-2019-6111</t>
  </si>
  <si>
    <t>Table 10. Likelihood metrics and calculation of conditional probabilities</t>
  </si>
  <si>
    <t>Likelihood metrics and calculation of conditional probabilities</t>
  </si>
  <si>
    <t>Table 14. Calculation of conditional probability</t>
  </si>
  <si>
    <t>Calculation of unconditional probabilities (Page 21, 22, 72)</t>
  </si>
  <si>
    <t>Operability Values</t>
  </si>
  <si>
    <t>Figure 26. Impact Graph</t>
  </si>
  <si>
    <t>Calculations between pages 60-66</t>
  </si>
  <si>
    <t>Table 17. Cost of attack table for the simulation</t>
  </si>
  <si>
    <t>RANDOM NUMBER GENERATOR TO USE IF NEEDED</t>
  </si>
  <si>
    <t>Outputs of Impact Graph Analyses</t>
  </si>
  <si>
    <t>Figure 34. Simulation results comparing loss items</t>
  </si>
  <si>
    <t>Figure 35. Simulation results from the perspective of CIA</t>
  </si>
  <si>
    <t>Summary Results Table</t>
  </si>
  <si>
    <t>Operability Values (copy)</t>
  </si>
  <si>
    <t>Table 16. Summary results of IG analyses (copy)</t>
  </si>
  <si>
    <t>Table 17. Cost of attack table for the simulation (copy)</t>
  </si>
  <si>
    <t>Table 8. Strength of dependency between feeder (rows) and receiver (columns) node pairs (copy)</t>
  </si>
  <si>
    <t>Table 9. Criticality of dependency between feeder (rows) and receiver (columns) node pairs (copy)</t>
  </si>
  <si>
    <t>Figure 33. Attack graph with three paths highlighted (copy)</t>
  </si>
  <si>
    <t>Inputs of analyses</t>
  </si>
  <si>
    <t>Outputs of analyses</t>
  </si>
  <si>
    <t>Color Codes:</t>
  </si>
  <si>
    <t>Inputs of analyses for the Excel formulas that are entered by user</t>
  </si>
  <si>
    <t>Outputs of analyses for the Excel formulas that can be used</t>
  </si>
  <si>
    <t>Associated table, figure, or page number from the report</t>
  </si>
  <si>
    <t xml:space="preserve">Most of the data is generated by the authors for the purpose of demonstration of the analyses. </t>
  </si>
  <si>
    <r>
      <rPr>
        <b/>
        <sz val="11"/>
        <color theme="1"/>
        <rFont val="Calibri"/>
        <family val="2"/>
        <scheme val="minor"/>
      </rPr>
      <t xml:space="preserve">Input Data: </t>
    </r>
    <r>
      <rPr>
        <sz val="11"/>
        <color theme="1"/>
        <rFont val="Calibri"/>
        <family val="2"/>
        <scheme val="minor"/>
      </rPr>
      <t>Presents the input data required for impact graph analyses and scenarios for attack graph analyses.</t>
    </r>
  </si>
  <si>
    <r>
      <rPr>
        <b/>
        <sz val="11"/>
        <color theme="1"/>
        <rFont val="Calibri"/>
        <family val="2"/>
        <scheme val="minor"/>
      </rPr>
      <t>Weights:</t>
    </r>
    <r>
      <rPr>
        <sz val="11"/>
        <color theme="1"/>
        <rFont val="Calibri"/>
        <family val="2"/>
        <scheme val="minor"/>
      </rPr>
      <t xml:space="preserve">  Presents the Impact Graph for the simulation model and Confidentiality, Integrity, and Availability weights and descriptions for each node of the impact graph.</t>
    </r>
  </si>
  <si>
    <r>
      <rPr>
        <b/>
        <sz val="11"/>
        <color theme="1"/>
        <rFont val="Calibri"/>
        <family val="2"/>
        <scheme val="minor"/>
      </rPr>
      <t>Equations:</t>
    </r>
    <r>
      <rPr>
        <sz val="11"/>
        <color theme="1"/>
        <rFont val="Calibri"/>
        <family val="2"/>
        <scheme val="minor"/>
      </rPr>
      <t xml:space="preserve"> Provides the algorithms used for implementing impact graph analysis equations.</t>
    </r>
  </si>
  <si>
    <r>
      <rPr>
        <b/>
        <sz val="11"/>
        <color theme="1"/>
        <rFont val="Calibri"/>
        <family val="2"/>
        <scheme val="minor"/>
      </rPr>
      <t>Attack Graph:</t>
    </r>
    <r>
      <rPr>
        <sz val="11"/>
        <color theme="1"/>
        <rFont val="Calibri"/>
        <family val="2"/>
        <scheme val="minor"/>
      </rPr>
      <t xml:space="preserve"> Includes the data tables generated using Common Vulnerability Scoring System (CVSS) and attack graph analyses.</t>
    </r>
  </si>
  <si>
    <r>
      <rPr>
        <b/>
        <sz val="11"/>
        <color theme="1"/>
        <rFont val="Calibri"/>
        <family val="2"/>
        <scheme val="minor"/>
      </rPr>
      <t>Impact Graph:</t>
    </r>
    <r>
      <rPr>
        <sz val="11"/>
        <color theme="1"/>
        <rFont val="Calibri"/>
        <family val="2"/>
        <scheme val="minor"/>
      </rPr>
      <t xml:space="preserve"> Includes the calculations for impact graph analyses along with the inputs and outpus.</t>
    </r>
  </si>
  <si>
    <r>
      <rPr>
        <b/>
        <sz val="11"/>
        <color theme="1"/>
        <rFont val="Calibri"/>
        <family val="2"/>
        <scheme val="minor"/>
      </rPr>
      <t>Outputs:</t>
    </r>
    <r>
      <rPr>
        <sz val="11"/>
        <color theme="1"/>
        <rFont val="Calibri"/>
        <family val="2"/>
        <scheme val="minor"/>
      </rPr>
      <t xml:space="preserve"> Presents all results of the analyses along with the graph generation.</t>
    </r>
  </si>
  <si>
    <r>
      <rPr>
        <b/>
        <sz val="11"/>
        <color theme="1"/>
        <rFont val="Calibri"/>
        <family val="2"/>
        <scheme val="minor"/>
      </rPr>
      <t>Cost Analysis:</t>
    </r>
    <r>
      <rPr>
        <sz val="11"/>
        <color theme="1"/>
        <rFont val="Calibri"/>
        <family val="2"/>
        <scheme val="minor"/>
      </rPr>
      <t xml:space="preserve"> Presents how the cost is calculated, and random data is generated for cost items.</t>
    </r>
  </si>
  <si>
    <t xml:space="preserve">This spreadsheet presents the data and calculations conducted for the report entitled "Quantification of Cyber Risk for Actuaries: An Economic-Functional Approach" </t>
  </si>
  <si>
    <r>
      <rPr>
        <b/>
        <sz val="11"/>
        <color theme="1"/>
        <rFont val="Calibri"/>
        <family val="2"/>
        <scheme val="minor"/>
      </rPr>
      <t>Project funded by:</t>
    </r>
    <r>
      <rPr>
        <sz val="11"/>
        <color theme="1"/>
        <rFont val="Calibri"/>
        <family val="2"/>
        <scheme val="minor"/>
      </rPr>
      <t xml:space="preserve"> Society of Actuaries, Casualty Actuarial Society, and Canadian Institute of Actuaries</t>
    </r>
  </si>
  <si>
    <t>CONTENT OF THIS FILE</t>
  </si>
  <si>
    <t>Copyright © 2020 Society of Actuaries, Casualty Actuarial Society and Canadian Institute of Actuaries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</si>
</sst>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757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9" applyNumberFormat="0" applyAlignment="0" applyProtection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6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0" fontId="0" fillId="0" borderId="1" xfId="0" applyBorder="1"/>
    <xf numFmtId="2" fontId="0" fillId="0" borderId="0" xfId="0" applyNumberFormat="1" applyBorder="1"/>
    <xf numFmtId="2" fontId="0" fillId="0" borderId="5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2" fillId="0" borderId="0" xfId="0" applyFont="1" applyBorder="1"/>
    <xf numFmtId="0" fontId="1" fillId="0" borderId="6" xfId="0" applyFont="1" applyBorder="1"/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0" fontId="7" fillId="5" borderId="10" xfId="4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9" fontId="0" fillId="0" borderId="0" xfId="1" applyFont="1"/>
    <xf numFmtId="2" fontId="0" fillId="2" borderId="0" xfId="0" applyNumberFormat="1" applyFill="1"/>
    <xf numFmtId="2" fontId="5" fillId="3" borderId="0" xfId="2" applyNumberFormat="1"/>
    <xf numFmtId="0" fontId="5" fillId="3" borderId="0" xfId="2"/>
    <xf numFmtId="0" fontId="11" fillId="0" borderId="0" xfId="0" applyFont="1"/>
    <xf numFmtId="0" fontId="11" fillId="0" borderId="0" xfId="0" applyFont="1" applyAlignment="1">
      <alignment vertical="center" wrapText="1"/>
    </xf>
    <xf numFmtId="164" fontId="11" fillId="0" borderId="0" xfId="6" applyNumberFormat="1" applyFont="1" applyAlignment="1">
      <alignment vertical="center" wrapText="1"/>
    </xf>
    <xf numFmtId="0" fontId="11" fillId="6" borderId="0" xfId="0" applyFont="1" applyFill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2" fontId="11" fillId="0" borderId="0" xfId="0" applyNumberFormat="1" applyFont="1"/>
    <xf numFmtId="0" fontId="11" fillId="0" borderId="5" xfId="0" applyFont="1" applyBorder="1" applyAlignment="1">
      <alignment horizontal="center"/>
    </xf>
    <xf numFmtId="165" fontId="11" fillId="0" borderId="5" xfId="0" applyNumberFormat="1" applyFont="1" applyBorder="1" applyAlignment="1">
      <alignment vertical="center" wrapText="1"/>
    </xf>
    <xf numFmtId="164" fontId="0" fillId="0" borderId="0" xfId="0" applyNumberFormat="1"/>
    <xf numFmtId="0" fontId="6" fillId="4" borderId="0" xfId="3"/>
    <xf numFmtId="164" fontId="0" fillId="0" borderId="5" xfId="0" applyNumberFormat="1" applyBorder="1"/>
    <xf numFmtId="164" fontId="0" fillId="0" borderId="12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1" fillId="0" borderId="11" xfId="0" applyFont="1" applyBorder="1"/>
    <xf numFmtId="0" fontId="1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5" fillId="3" borderId="0" xfId="2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2" fontId="5" fillId="3" borderId="0" xfId="2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2" fontId="5" fillId="3" borderId="7" xfId="2" applyNumberFormat="1" applyBorder="1"/>
    <xf numFmtId="164" fontId="5" fillId="3" borderId="0" xfId="2" applyNumberFormat="1"/>
    <xf numFmtId="0" fontId="1" fillId="0" borderId="22" xfId="0" applyFont="1" applyBorder="1"/>
    <xf numFmtId="10" fontId="5" fillId="3" borderId="0" xfId="2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left" vertical="center"/>
    </xf>
    <xf numFmtId="0" fontId="1" fillId="0" borderId="4" xfId="0" applyFont="1" applyBorder="1"/>
    <xf numFmtId="0" fontId="7" fillId="5" borderId="27" xfId="4" applyBorder="1"/>
    <xf numFmtId="0" fontId="7" fillId="5" borderId="28" xfId="4" applyBorder="1" applyAlignment="1">
      <alignment horizontal="center"/>
    </xf>
    <xf numFmtId="0" fontId="7" fillId="5" borderId="29" xfId="4" applyBorder="1" applyAlignment="1">
      <alignment horizontal="center"/>
    </xf>
    <xf numFmtId="164" fontId="0" fillId="0" borderId="0" xfId="0" applyNumberFormat="1" applyBorder="1"/>
    <xf numFmtId="0" fontId="5" fillId="3" borderId="0" xfId="2" applyAlignment="1"/>
    <xf numFmtId="0" fontId="0" fillId="2" borderId="0" xfId="0" applyFill="1" applyAlignment="1"/>
    <xf numFmtId="0" fontId="0" fillId="7" borderId="0" xfId="0" applyFill="1"/>
    <xf numFmtId="0" fontId="1" fillId="7" borderId="0" xfId="0" applyFont="1" applyFill="1"/>
    <xf numFmtId="0" fontId="7" fillId="7" borderId="9" xfId="4" applyFill="1"/>
    <xf numFmtId="0" fontId="7" fillId="5" borderId="24" xfId="4" applyBorder="1" applyAlignment="1">
      <alignment horizontal="center"/>
    </xf>
    <xf numFmtId="0" fontId="7" fillId="5" borderId="25" xfId="4" applyBorder="1" applyAlignment="1">
      <alignment horizontal="center"/>
    </xf>
    <xf numFmtId="0" fontId="7" fillId="5" borderId="26" xfId="4" applyBorder="1" applyAlignment="1">
      <alignment horizontal="center"/>
    </xf>
    <xf numFmtId="0" fontId="7" fillId="5" borderId="9" xfId="4" applyAlignment="1">
      <alignment horizontal="center"/>
    </xf>
    <xf numFmtId="0" fontId="7" fillId="5" borderId="27" xfId="4" applyBorder="1" applyAlignment="1">
      <alignment horizontal="center"/>
    </xf>
    <xf numFmtId="0" fontId="7" fillId="5" borderId="28" xfId="4" applyBorder="1" applyAlignment="1">
      <alignment horizontal="center"/>
    </xf>
    <xf numFmtId="0" fontId="7" fillId="5" borderId="29" xfId="4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5" borderId="24" xfId="4" applyBorder="1" applyAlignment="1">
      <alignment horizontal="left"/>
    </xf>
    <xf numFmtId="0" fontId="7" fillId="5" borderId="25" xfId="4" applyBorder="1" applyAlignment="1">
      <alignment horizontal="left"/>
    </xf>
    <xf numFmtId="0" fontId="7" fillId="5" borderId="26" xfId="4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0" xfId="2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5" borderId="23" xfId="4" applyBorder="1" applyAlignment="1">
      <alignment horizontal="center"/>
    </xf>
    <xf numFmtId="0" fontId="7" fillId="5" borderId="0" xfId="4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5" borderId="23" xfId="4" applyBorder="1" applyAlignment="1">
      <alignment horizontal="left"/>
    </xf>
    <xf numFmtId="0" fontId="7" fillId="5" borderId="0" xfId="4" applyBorder="1" applyAlignment="1">
      <alignment horizontal="left"/>
    </xf>
    <xf numFmtId="0" fontId="7" fillId="5" borderId="10" xfId="4" applyBorder="1" applyAlignment="1">
      <alignment horizontal="center"/>
    </xf>
    <xf numFmtId="0" fontId="5" fillId="3" borderId="0" xfId="2" applyAlignment="1">
      <alignment horizontal="center"/>
    </xf>
    <xf numFmtId="0" fontId="0" fillId="2" borderId="0" xfId="0" applyFill="1" applyAlignment="1">
      <alignment horizontal="center"/>
    </xf>
    <xf numFmtId="0" fontId="7" fillId="5" borderId="27" xfId="4" applyBorder="1" applyAlignment="1">
      <alignment horizontal="center" vertical="center" wrapText="1"/>
    </xf>
    <xf numFmtId="0" fontId="7" fillId="5" borderId="28" xfId="4" applyBorder="1" applyAlignment="1">
      <alignment horizontal="center" vertical="center" wrapText="1"/>
    </xf>
    <xf numFmtId="0" fontId="7" fillId="5" borderId="29" xfId="4" applyBorder="1" applyAlignment="1">
      <alignment horizontal="center" vertical="center" wrapText="1"/>
    </xf>
  </cellXfs>
  <cellStyles count="8">
    <cellStyle name="Calculation" xfId="4" builtinId="22"/>
    <cellStyle name="Comma 2" xfId="7" xr:uid="{00000000-0005-0000-0000-000001000000}"/>
    <cellStyle name="Currency 2" xfId="6" xr:uid="{00000000-0005-0000-0000-000002000000}"/>
    <cellStyle name="Good" xfId="2" builtinId="26"/>
    <cellStyle name="Neutral" xfId="3" builtinId="28"/>
    <cellStyle name="Normal" xfId="0" builtinId="0"/>
    <cellStyle name="Normal 2" xfId="5" xr:uid="{00000000-0005-0000-0000-000006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Outputs!$O$18</c:f>
              <c:strCache>
                <c:ptCount val="1"/>
                <c:pt idx="0">
                  <c:v>Cost 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Outputs!$N$19:$N$25</c:f>
              <c:strCache>
                <c:ptCount val="7"/>
                <c:pt idx="0">
                  <c:v>Loss of Revenue</c:v>
                </c:pt>
                <c:pt idx="1">
                  <c:v>Cybersecurity Improvements</c:v>
                </c:pt>
                <c:pt idx="2">
                  <c:v>Loss of Data and Equipment</c:v>
                </c:pt>
                <c:pt idx="3">
                  <c:v>Court Settlement Fees</c:v>
                </c:pt>
                <c:pt idx="4">
                  <c:v>Forensics</c:v>
                </c:pt>
                <c:pt idx="5">
                  <c:v>Reputational Damage</c:v>
                </c:pt>
                <c:pt idx="6">
                  <c:v>PR</c:v>
                </c:pt>
              </c:strCache>
            </c:strRef>
          </c:cat>
          <c:val>
            <c:numRef>
              <c:f>Outputs!$O$19:$O$25</c:f>
              <c:numCache>
                <c:formatCode>_("$"* #,##0_);_("$"* \(#,##0\);_("$"* "-"??_);_(@_)</c:formatCode>
                <c:ptCount val="7"/>
                <c:pt idx="0">
                  <c:v>0</c:v>
                </c:pt>
                <c:pt idx="1">
                  <c:v>2633.6636344564649</c:v>
                </c:pt>
                <c:pt idx="2">
                  <c:v>945.74861113331656</c:v>
                </c:pt>
                <c:pt idx="3">
                  <c:v>658.41590861411623</c:v>
                </c:pt>
                <c:pt idx="4">
                  <c:v>548.06540233039038</c:v>
                </c:pt>
                <c:pt idx="5">
                  <c:v>476.9564842000658</c:v>
                </c:pt>
                <c:pt idx="6">
                  <c:v>353.04261019888912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7-43CF-894E-8D00A9980075}"/>
            </c:ext>
          </c:extLst>
        </c:ser>
        <c:ser>
          <c:idx val="1"/>
          <c:order val="1"/>
          <c:tx>
            <c:strRef>
              <c:f>Outputs!$P$18</c:f>
              <c:strCache>
                <c:ptCount val="1"/>
                <c:pt idx="0">
                  <c:v>Cost 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Outputs!$N$19:$N$25</c:f>
              <c:strCache>
                <c:ptCount val="7"/>
                <c:pt idx="0">
                  <c:v>Loss of Revenue</c:v>
                </c:pt>
                <c:pt idx="1">
                  <c:v>Cybersecurity Improvements</c:v>
                </c:pt>
                <c:pt idx="2">
                  <c:v>Loss of Data and Equipment</c:v>
                </c:pt>
                <c:pt idx="3">
                  <c:v>Court Settlement Fees</c:v>
                </c:pt>
                <c:pt idx="4">
                  <c:v>Forensics</c:v>
                </c:pt>
                <c:pt idx="5">
                  <c:v>Reputational Damage</c:v>
                </c:pt>
                <c:pt idx="6">
                  <c:v>PR</c:v>
                </c:pt>
              </c:strCache>
            </c:strRef>
          </c:cat>
          <c:val>
            <c:numRef>
              <c:f>Outputs!$P$19:$P$25</c:f>
              <c:numCache>
                <c:formatCode>_("$"* #,##0_);_("$"* \(#,##0\);_("$"* "-"??_);_(@_)</c:formatCode>
                <c:ptCount val="7"/>
                <c:pt idx="0">
                  <c:v>0</c:v>
                </c:pt>
                <c:pt idx="1">
                  <c:v>3950.4954516846979</c:v>
                </c:pt>
                <c:pt idx="2">
                  <c:v>1028.0505997100811</c:v>
                </c:pt>
                <c:pt idx="3">
                  <c:v>765.34265217304869</c:v>
                </c:pt>
                <c:pt idx="4">
                  <c:v>442.85054013385462</c:v>
                </c:pt>
                <c:pt idx="5">
                  <c:v>559.78520550372161</c:v>
                </c:pt>
                <c:pt idx="6">
                  <c:v>384.90994017581238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7-43CF-894E-8D00A9980075}"/>
            </c:ext>
          </c:extLst>
        </c:ser>
        <c:ser>
          <c:idx val="2"/>
          <c:order val="2"/>
          <c:tx>
            <c:strRef>
              <c:f>Outputs!$Q$18</c:f>
              <c:strCache>
                <c:ptCount val="1"/>
                <c:pt idx="0">
                  <c:v>Cost 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Outputs!$N$19:$N$25</c:f>
              <c:strCache>
                <c:ptCount val="7"/>
                <c:pt idx="0">
                  <c:v>Loss of Revenue</c:v>
                </c:pt>
                <c:pt idx="1">
                  <c:v>Cybersecurity Improvements</c:v>
                </c:pt>
                <c:pt idx="2">
                  <c:v>Loss of Data and Equipment</c:v>
                </c:pt>
                <c:pt idx="3">
                  <c:v>Court Settlement Fees</c:v>
                </c:pt>
                <c:pt idx="4">
                  <c:v>Forensics</c:v>
                </c:pt>
                <c:pt idx="5">
                  <c:v>Reputational Damage</c:v>
                </c:pt>
                <c:pt idx="6">
                  <c:v>PR</c:v>
                </c:pt>
              </c:strCache>
            </c:strRef>
          </c:cat>
          <c:val>
            <c:numRef>
              <c:f>Outputs!$Q$19:$Q$25</c:f>
              <c:numCache>
                <c:formatCode>_("$"* #,##0_);_("$"* \(#,##0\);_("$"* "-"??_);_(@_)</c:formatCode>
                <c:ptCount val="7"/>
                <c:pt idx="0">
                  <c:v>13443.239295980218</c:v>
                </c:pt>
                <c:pt idx="1">
                  <c:v>4687.9212693325107</c:v>
                </c:pt>
                <c:pt idx="2">
                  <c:v>979.77554529049473</c:v>
                </c:pt>
                <c:pt idx="3">
                  <c:v>781.3202115554185</c:v>
                </c:pt>
                <c:pt idx="4">
                  <c:v>859.92102483789358</c:v>
                </c:pt>
                <c:pt idx="5">
                  <c:v>726.315268661917</c:v>
                </c:pt>
                <c:pt idx="6">
                  <c:v>595.6785292898511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D7-43CF-894E-8D00A9980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7979296"/>
        <c:axId val="532809376"/>
      </c:barChart>
      <c:catAx>
        <c:axId val="5379792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32809376"/>
        <c:crosses val="autoZero"/>
        <c:auto val="1"/>
        <c:lblAlgn val="ctr"/>
        <c:lblOffset val="100"/>
        <c:noMultiLvlLbl val="0"/>
      </c:catAx>
      <c:valAx>
        <c:axId val="532809376"/>
        <c:scaling>
          <c:orientation val="minMax"/>
          <c:max val="14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3797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Outputs!$N$19</c:f>
              <c:strCache>
                <c:ptCount val="1"/>
                <c:pt idx="0">
                  <c:v>Loss of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Outputs!$O$18:$Q$18</c:f>
              <c:strCache>
                <c:ptCount val="3"/>
                <c:pt idx="0">
                  <c:v>Cost C</c:v>
                </c:pt>
                <c:pt idx="1">
                  <c:v>Cost I</c:v>
                </c:pt>
                <c:pt idx="2">
                  <c:v>Cost A</c:v>
                </c:pt>
              </c:strCache>
            </c:strRef>
          </c:cat>
          <c:val>
            <c:numRef>
              <c:f>Outputs!$O$19:$Q$19</c:f>
              <c:numCache>
                <c:formatCode>_("$"* #,##0_);_("$"* \(#,##0\);_("$"*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13443.239295980218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5-47D1-89F0-7D47D1F62391}"/>
            </c:ext>
          </c:extLst>
        </c:ser>
        <c:ser>
          <c:idx val="1"/>
          <c:order val="1"/>
          <c:tx>
            <c:strRef>
              <c:f>Outputs!$N$20</c:f>
              <c:strCache>
                <c:ptCount val="1"/>
                <c:pt idx="0">
                  <c:v>Cybersecurity Improvements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Outputs!$O$18:$Q$18</c:f>
              <c:strCache>
                <c:ptCount val="3"/>
                <c:pt idx="0">
                  <c:v>Cost C</c:v>
                </c:pt>
                <c:pt idx="1">
                  <c:v>Cost I</c:v>
                </c:pt>
                <c:pt idx="2">
                  <c:v>Cost A</c:v>
                </c:pt>
              </c:strCache>
            </c:strRef>
          </c:cat>
          <c:val>
            <c:numRef>
              <c:f>Outputs!$O$20:$Q$20</c:f>
              <c:numCache>
                <c:formatCode>_("$"* #,##0_);_("$"* \(#,##0\);_("$"* "-"??_);_(@_)</c:formatCode>
                <c:ptCount val="3"/>
                <c:pt idx="0">
                  <c:v>2633.6636344564649</c:v>
                </c:pt>
                <c:pt idx="1">
                  <c:v>3950.4954516846979</c:v>
                </c:pt>
                <c:pt idx="2">
                  <c:v>4687.9212693325107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5-47D1-89F0-7D47D1F62391}"/>
            </c:ext>
          </c:extLst>
        </c:ser>
        <c:ser>
          <c:idx val="2"/>
          <c:order val="2"/>
          <c:tx>
            <c:strRef>
              <c:f>Outputs!$N$21</c:f>
              <c:strCache>
                <c:ptCount val="1"/>
                <c:pt idx="0">
                  <c:v>Loss of Data and Equipment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Outputs!$O$18:$Q$18</c:f>
              <c:strCache>
                <c:ptCount val="3"/>
                <c:pt idx="0">
                  <c:v>Cost C</c:v>
                </c:pt>
                <c:pt idx="1">
                  <c:v>Cost I</c:v>
                </c:pt>
                <c:pt idx="2">
                  <c:v>Cost A</c:v>
                </c:pt>
              </c:strCache>
            </c:strRef>
          </c:cat>
          <c:val>
            <c:numRef>
              <c:f>Outputs!$O$21:$Q$21</c:f>
              <c:numCache>
                <c:formatCode>_("$"* #,##0_);_("$"* \(#,##0\);_("$"* "-"??_);_(@_)</c:formatCode>
                <c:ptCount val="3"/>
                <c:pt idx="0">
                  <c:v>945.74861113331656</c:v>
                </c:pt>
                <c:pt idx="1">
                  <c:v>1028.0505997100811</c:v>
                </c:pt>
                <c:pt idx="2">
                  <c:v>979.77554529049473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5-47D1-89F0-7D47D1F62391}"/>
            </c:ext>
          </c:extLst>
        </c:ser>
        <c:ser>
          <c:idx val="3"/>
          <c:order val="3"/>
          <c:tx>
            <c:strRef>
              <c:f>Outputs!$N$22</c:f>
              <c:strCache>
                <c:ptCount val="1"/>
                <c:pt idx="0">
                  <c:v>Court Settlement Fees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Outputs!$O$18:$Q$18</c:f>
              <c:strCache>
                <c:ptCount val="3"/>
                <c:pt idx="0">
                  <c:v>Cost C</c:v>
                </c:pt>
                <c:pt idx="1">
                  <c:v>Cost I</c:v>
                </c:pt>
                <c:pt idx="2">
                  <c:v>Cost A</c:v>
                </c:pt>
              </c:strCache>
            </c:strRef>
          </c:cat>
          <c:val>
            <c:numRef>
              <c:f>Outputs!$O$22:$Q$22</c:f>
              <c:numCache>
                <c:formatCode>_("$"* #,##0_);_("$"* \(#,##0\);_("$"* "-"??_);_(@_)</c:formatCode>
                <c:ptCount val="3"/>
                <c:pt idx="0">
                  <c:v>658.41590861411623</c:v>
                </c:pt>
                <c:pt idx="1">
                  <c:v>765.34265217304869</c:v>
                </c:pt>
                <c:pt idx="2">
                  <c:v>781.3202115554185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75-47D1-89F0-7D47D1F62391}"/>
            </c:ext>
          </c:extLst>
        </c:ser>
        <c:ser>
          <c:idx val="4"/>
          <c:order val="4"/>
          <c:tx>
            <c:strRef>
              <c:f>Outputs!$N$23</c:f>
              <c:strCache>
                <c:ptCount val="1"/>
                <c:pt idx="0">
                  <c:v>Forensics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Outputs!$O$18:$Q$18</c:f>
              <c:strCache>
                <c:ptCount val="3"/>
                <c:pt idx="0">
                  <c:v>Cost C</c:v>
                </c:pt>
                <c:pt idx="1">
                  <c:v>Cost I</c:v>
                </c:pt>
                <c:pt idx="2">
                  <c:v>Cost A</c:v>
                </c:pt>
              </c:strCache>
            </c:strRef>
          </c:cat>
          <c:val>
            <c:numRef>
              <c:f>Outputs!$O$23:$Q$23</c:f>
              <c:numCache>
                <c:formatCode>_("$"* #,##0_);_("$"* \(#,##0\);_("$"* "-"??_);_(@_)</c:formatCode>
                <c:ptCount val="3"/>
                <c:pt idx="0">
                  <c:v>548.06540233039038</c:v>
                </c:pt>
                <c:pt idx="1">
                  <c:v>442.85054013385462</c:v>
                </c:pt>
                <c:pt idx="2">
                  <c:v>859.92102483789358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75-47D1-89F0-7D47D1F62391}"/>
            </c:ext>
          </c:extLst>
        </c:ser>
        <c:ser>
          <c:idx val="5"/>
          <c:order val="5"/>
          <c:tx>
            <c:strRef>
              <c:f>Outputs!$N$24</c:f>
              <c:strCache>
                <c:ptCount val="1"/>
                <c:pt idx="0">
                  <c:v>Reputational Damage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Outputs!$O$18:$Q$18</c:f>
              <c:strCache>
                <c:ptCount val="3"/>
                <c:pt idx="0">
                  <c:v>Cost C</c:v>
                </c:pt>
                <c:pt idx="1">
                  <c:v>Cost I</c:v>
                </c:pt>
                <c:pt idx="2">
                  <c:v>Cost A</c:v>
                </c:pt>
              </c:strCache>
            </c:strRef>
          </c:cat>
          <c:val>
            <c:numRef>
              <c:f>Outputs!$O$24:$Q$24</c:f>
              <c:numCache>
                <c:formatCode>_("$"* #,##0_);_("$"* \(#,##0\);_("$"* "-"??_);_(@_)</c:formatCode>
                <c:ptCount val="3"/>
                <c:pt idx="0">
                  <c:v>476.9564842000658</c:v>
                </c:pt>
                <c:pt idx="1">
                  <c:v>559.78520550372161</c:v>
                </c:pt>
                <c:pt idx="2">
                  <c:v>726.315268661917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75-47D1-89F0-7D47D1F62391}"/>
            </c:ext>
          </c:extLst>
        </c:ser>
        <c:ser>
          <c:idx val="6"/>
          <c:order val="6"/>
          <c:tx>
            <c:strRef>
              <c:f>Outputs!$N$25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Outputs!$O$18:$Q$18</c:f>
              <c:strCache>
                <c:ptCount val="3"/>
                <c:pt idx="0">
                  <c:v>Cost C</c:v>
                </c:pt>
                <c:pt idx="1">
                  <c:v>Cost I</c:v>
                </c:pt>
                <c:pt idx="2">
                  <c:v>Cost A</c:v>
                </c:pt>
              </c:strCache>
            </c:strRef>
          </c:cat>
          <c:val>
            <c:numRef>
              <c:f>Outputs!$O$25:$Q$25</c:f>
              <c:numCache>
                <c:formatCode>_("$"* #,##0_);_("$"* \(#,##0\);_("$"* "-"??_);_(@_)</c:formatCode>
                <c:ptCount val="3"/>
                <c:pt idx="0">
                  <c:v>353.04261019888912</c:v>
                </c:pt>
                <c:pt idx="1">
                  <c:v>384.90994017581238</c:v>
                </c:pt>
                <c:pt idx="2">
                  <c:v>595.6785292898511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75-47D1-89F0-7D47D1F62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7979296"/>
        <c:axId val="532809376"/>
      </c:barChart>
      <c:catAx>
        <c:axId val="53797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32809376"/>
        <c:crosses val="autoZero"/>
        <c:auto val="1"/>
        <c:lblAlgn val="ctr"/>
        <c:lblOffset val="100"/>
        <c:noMultiLvlLbl val="0"/>
      </c:catAx>
      <c:valAx>
        <c:axId val="5328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3797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300">
          <a:solidFill>
            <a:schemeClr val="tx1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303106</xdr:colOff>
      <xdr:row>29</xdr:row>
      <xdr:rowOff>8678</xdr:rowOff>
    </xdr:from>
    <xdr:to>
      <xdr:col>26</xdr:col>
      <xdr:colOff>446405</xdr:colOff>
      <xdr:row>38</xdr:row>
      <xdr:rowOff>144230</xdr:rowOff>
    </xdr:to>
    <xdr:pic>
      <xdr:nvPicPr>
        <xdr:cNvPr id="8" name="Content Placeholder 5">
          <a:extLst>
            <a:ext uri="{FF2B5EF4-FFF2-40B4-BE49-F238E27FC236}">
              <a16:creationId xmlns:a16="http://schemas.microsoft.com/office/drawing/2014/main" id="{3628AC2F-865E-40A4-8813-750A59531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4773" y="4866428"/>
          <a:ext cx="7719060" cy="1752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3</xdr:col>
      <xdr:colOff>209550</xdr:colOff>
      <xdr:row>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D10F6D-42C7-4C74-9AC2-F1D978C1F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0"/>
          <a:ext cx="2095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</xdr:row>
      <xdr:rowOff>0</xdr:rowOff>
    </xdr:from>
    <xdr:to>
      <xdr:col>4</xdr:col>
      <xdr:colOff>180975</xdr:colOff>
      <xdr:row>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88856B-11DD-47EF-9A91-5AE7CD1C2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5</xdr:col>
      <xdr:colOff>200025</xdr:colOff>
      <xdr:row>1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0F6532-C4CB-4EB3-BEEE-0C14CD63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0"/>
          <a:ext cx="2000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18415</xdr:rowOff>
    </xdr:from>
    <xdr:to>
      <xdr:col>6</xdr:col>
      <xdr:colOff>127000</xdr:colOff>
      <xdr:row>23</xdr:row>
      <xdr:rowOff>12700</xdr:rowOff>
    </xdr:to>
    <xdr:pic>
      <xdr:nvPicPr>
        <xdr:cNvPr id="5" name="Content Placeholder 6">
          <a:extLst>
            <a:ext uri="{FF2B5EF4-FFF2-40B4-BE49-F238E27FC236}">
              <a16:creationId xmlns:a16="http://schemas.microsoft.com/office/drawing/2014/main" id="{187B1A89-6803-4885-93D5-CDD9E7A85A19}"/>
            </a:ext>
          </a:extLst>
        </xdr:cNvPr>
        <xdr:cNvPicPr>
          <a:picLocks noGrp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4065"/>
          <a:ext cx="4737100" cy="22040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140979</xdr:colOff>
      <xdr:row>11</xdr:row>
      <xdr:rowOff>154277</xdr:rowOff>
    </xdr:from>
    <xdr:to>
      <xdr:col>18</xdr:col>
      <xdr:colOff>560080</xdr:colOff>
      <xdr:row>13</xdr:row>
      <xdr:rowOff>117840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116D28-40FD-4890-82BE-0453EC820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934" y="2093913"/>
          <a:ext cx="6186055" cy="309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36541</xdr:colOff>
      <xdr:row>31</xdr:row>
      <xdr:rowOff>155862</xdr:rowOff>
    </xdr:from>
    <xdr:to>
      <xdr:col>31</xdr:col>
      <xdr:colOff>160113</xdr:colOff>
      <xdr:row>41</xdr:row>
      <xdr:rowOff>97104</xdr:rowOff>
    </xdr:to>
    <xdr:pic>
      <xdr:nvPicPr>
        <xdr:cNvPr id="39" name="Content Placeholder 5">
          <a:extLst>
            <a:ext uri="{FF2B5EF4-FFF2-40B4-BE49-F238E27FC236}">
              <a16:creationId xmlns:a16="http://schemas.microsoft.com/office/drawing/2014/main" id="{28F4F69E-4227-4FA6-9899-0414D3CBB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1223" y="5559135"/>
          <a:ext cx="7812845" cy="1673060"/>
        </a:xfrm>
        <a:prstGeom prst="rect">
          <a:avLst/>
        </a:prstGeom>
      </xdr:spPr>
    </xdr:pic>
    <xdr:clientData/>
  </xdr:twoCellAnchor>
  <xdr:twoCellAnchor editAs="oneCell">
    <xdr:from>
      <xdr:col>8</xdr:col>
      <xdr:colOff>277091</xdr:colOff>
      <xdr:row>2</xdr:row>
      <xdr:rowOff>170825</xdr:rowOff>
    </xdr:from>
    <xdr:to>
      <xdr:col>20</xdr:col>
      <xdr:colOff>275185</xdr:colOff>
      <xdr:row>11</xdr:row>
      <xdr:rowOff>87587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4A23B0C-36C1-4A95-BA26-2B5078DB3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87636" y="759643"/>
          <a:ext cx="7065818" cy="1633167"/>
        </a:xfrm>
        <a:prstGeom prst="rect">
          <a:avLst/>
        </a:prstGeom>
      </xdr:spPr>
    </xdr:pic>
    <xdr:clientData/>
  </xdr:twoCellAnchor>
  <xdr:twoCellAnchor editAs="oneCell">
    <xdr:from>
      <xdr:col>21</xdr:col>
      <xdr:colOff>398318</xdr:colOff>
      <xdr:row>2</xdr:row>
      <xdr:rowOff>170825</xdr:rowOff>
    </xdr:from>
    <xdr:to>
      <xdr:col>33</xdr:col>
      <xdr:colOff>398318</xdr:colOff>
      <xdr:row>11</xdr:row>
      <xdr:rowOff>87587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3E80350-C125-4B6E-8B3A-D7F60229B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63500" y="759643"/>
          <a:ext cx="7065818" cy="1633167"/>
        </a:xfrm>
        <a:prstGeom prst="rect">
          <a:avLst/>
        </a:prstGeom>
      </xdr:spPr>
    </xdr:pic>
    <xdr:clientData/>
  </xdr:twoCellAnchor>
  <xdr:twoCellAnchor editAs="oneCell">
    <xdr:from>
      <xdr:col>34</xdr:col>
      <xdr:colOff>519546</xdr:colOff>
      <xdr:row>2</xdr:row>
      <xdr:rowOff>170825</xdr:rowOff>
    </xdr:from>
    <xdr:to>
      <xdr:col>46</xdr:col>
      <xdr:colOff>515736</xdr:colOff>
      <xdr:row>11</xdr:row>
      <xdr:rowOff>87587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0108967-5343-4DBF-9AED-C219C3F37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539364" y="759643"/>
          <a:ext cx="7065818" cy="1633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215800</xdr:colOff>
      <xdr:row>13</xdr:row>
      <xdr:rowOff>68916</xdr:rowOff>
    </xdr:from>
    <xdr:to>
      <xdr:col>14</xdr:col>
      <xdr:colOff>86361</xdr:colOff>
      <xdr:row>30</xdr:row>
      <xdr:rowOff>153901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36B047-CF23-47E1-8227-BEEEC8EA4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712" y="2399740"/>
          <a:ext cx="4317391" cy="3132985"/>
        </a:xfrm>
        <a:prstGeom prst="rect">
          <a:avLst/>
        </a:prstGeom>
      </xdr:spPr>
    </xdr:pic>
    <xdr:clientData/>
  </xdr:twoCellAnchor>
  <xdr:twoCellAnchor editAs="oneCell">
    <xdr:from>
      <xdr:col>44</xdr:col>
      <xdr:colOff>152400</xdr:colOff>
      <xdr:row>23</xdr:row>
      <xdr:rowOff>47625</xdr:rowOff>
    </xdr:from>
    <xdr:to>
      <xdr:col>58</xdr:col>
      <xdr:colOff>218599</xdr:colOff>
      <xdr:row>25</xdr:row>
      <xdr:rowOff>45721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D42949-F610-4902-8D3C-AFEDB17B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4048125"/>
          <a:ext cx="3798094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29120</xdr:colOff>
      <xdr:row>8</xdr:row>
      <xdr:rowOff>70757</xdr:rowOff>
    </xdr:from>
    <xdr:to>
      <xdr:col>5</xdr:col>
      <xdr:colOff>261258</xdr:colOff>
      <xdr:row>8</xdr:row>
      <xdr:rowOff>77833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A1B40ED-6C99-4449-B7B6-70001DCB6076}"/>
            </a:ext>
          </a:extLst>
        </xdr:cNvPr>
        <xdr:cNvCxnSpPr/>
      </xdr:nvCxnSpPr>
      <xdr:spPr>
        <a:xfrm flipH="1">
          <a:off x="1270091" y="1148443"/>
          <a:ext cx="841738" cy="70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36468</xdr:colOff>
      <xdr:row>8</xdr:row>
      <xdr:rowOff>108857</xdr:rowOff>
    </xdr:from>
    <xdr:to>
      <xdr:col>5</xdr:col>
      <xdr:colOff>261258</xdr:colOff>
      <xdr:row>9</xdr:row>
      <xdr:rowOff>94161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64F6062-DF47-4192-904E-F2BA25D650CB}"/>
            </a:ext>
          </a:extLst>
        </xdr:cNvPr>
        <xdr:cNvCxnSpPr/>
      </xdr:nvCxnSpPr>
      <xdr:spPr>
        <a:xfrm flipH="1">
          <a:off x="1277439" y="1186543"/>
          <a:ext cx="834390" cy="16491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7</xdr:row>
      <xdr:rowOff>85182</xdr:rowOff>
    </xdr:from>
    <xdr:to>
      <xdr:col>5</xdr:col>
      <xdr:colOff>272143</xdr:colOff>
      <xdr:row>8</xdr:row>
      <xdr:rowOff>43543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AA054A0-1CFB-4A62-A8BD-A9B90AB9464D}"/>
            </a:ext>
          </a:extLst>
        </xdr:cNvPr>
        <xdr:cNvCxnSpPr/>
      </xdr:nvCxnSpPr>
      <xdr:spPr>
        <a:xfrm flipH="1" flipV="1">
          <a:off x="1279071" y="983253"/>
          <a:ext cx="843643" cy="1379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54429</xdr:colOff>
      <xdr:row>9</xdr:row>
      <xdr:rowOff>105319</xdr:rowOff>
    </xdr:from>
    <xdr:to>
      <xdr:col>5</xdr:col>
      <xdr:colOff>265068</xdr:colOff>
      <xdr:row>15</xdr:row>
      <xdr:rowOff>92528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36B6C32E-F1F6-4E39-956D-466A8D58423A}"/>
            </a:ext>
          </a:extLst>
        </xdr:cNvPr>
        <xdr:cNvCxnSpPr/>
      </xdr:nvCxnSpPr>
      <xdr:spPr>
        <a:xfrm flipH="1">
          <a:off x="1295400" y="1362619"/>
          <a:ext cx="820239" cy="106489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585786</xdr:colOff>
      <xdr:row>27</xdr:row>
      <xdr:rowOff>176211</xdr:rowOff>
    </xdr:from>
    <xdr:to>
      <xdr:col>21</xdr:col>
      <xdr:colOff>247649</xdr:colOff>
      <xdr:row>45</xdr:row>
      <xdr:rowOff>142874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77ABCB-C200-468C-8837-E5A748310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428625</xdr:colOff>
      <xdr:row>27</xdr:row>
      <xdr:rowOff>176211</xdr:rowOff>
    </xdr:from>
    <xdr:to>
      <xdr:col>32</xdr:col>
      <xdr:colOff>100013</xdr:colOff>
      <xdr:row>51</xdr:row>
      <xdr:rowOff>157161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301C656-B708-4E95-BFE4-5005B771E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22"/>
  <sheetViews>
    <sheetView tabSelected="1" zoomScale="150" zoomScaleNormal="150" workbookViewId="0">
      <selection activeCell="A23" sqref="A23"/>
    </sheetView>
  </sheetViews>
  <sheetFormatPr defaultColWidth="8.85546875" defaultRowHeight="15" x14ac:dyDescent="0.25"/>
  <cols>
    <col min="1" max="1" width="52.85546875" style="79" customWidth="1"/>
    <col min="2" max="16384" width="8.85546875" style="79"/>
  </cols>
  <sheetData>
    <row r="2" spans="1:1" x14ac:dyDescent="0.25">
      <c r="A2" s="80" t="s">
        <v>336</v>
      </c>
    </row>
    <row r="3" spans="1:1" x14ac:dyDescent="0.25">
      <c r="A3" s="79" t="s">
        <v>337</v>
      </c>
    </row>
    <row r="6" spans="1:1" x14ac:dyDescent="0.25">
      <c r="A6" s="80" t="s">
        <v>338</v>
      </c>
    </row>
    <row r="7" spans="1:1" x14ac:dyDescent="0.25">
      <c r="A7" s="79" t="s">
        <v>329</v>
      </c>
    </row>
    <row r="8" spans="1:1" x14ac:dyDescent="0.25">
      <c r="A8" s="79" t="s">
        <v>330</v>
      </c>
    </row>
    <row r="9" spans="1:1" x14ac:dyDescent="0.25">
      <c r="A9" s="79" t="s">
        <v>331</v>
      </c>
    </row>
    <row r="10" spans="1:1" x14ac:dyDescent="0.25">
      <c r="A10" s="79" t="s">
        <v>332</v>
      </c>
    </row>
    <row r="11" spans="1:1" x14ac:dyDescent="0.25">
      <c r="A11" s="79" t="s">
        <v>333</v>
      </c>
    </row>
    <row r="12" spans="1:1" x14ac:dyDescent="0.25">
      <c r="A12" s="79" t="s">
        <v>335</v>
      </c>
    </row>
    <row r="13" spans="1:1" x14ac:dyDescent="0.25">
      <c r="A13" s="79" t="s">
        <v>334</v>
      </c>
    </row>
    <row r="15" spans="1:1" x14ac:dyDescent="0.25">
      <c r="A15" s="79" t="s">
        <v>328</v>
      </c>
    </row>
    <row r="17" spans="1:1" x14ac:dyDescent="0.25">
      <c r="A17" s="80" t="s">
        <v>324</v>
      </c>
    </row>
    <row r="18" spans="1:1" x14ac:dyDescent="0.25">
      <c r="A18" s="81" t="s">
        <v>327</v>
      </c>
    </row>
    <row r="19" spans="1:1" x14ac:dyDescent="0.25">
      <c r="A19" s="78" t="s">
        <v>325</v>
      </c>
    </row>
    <row r="20" spans="1:1" x14ac:dyDescent="0.25">
      <c r="A20" s="77" t="s">
        <v>326</v>
      </c>
    </row>
    <row r="22" spans="1:1" x14ac:dyDescent="0.25">
      <c r="A22" s="79" t="s">
        <v>339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zoomScale="85" zoomScaleNormal="85" workbookViewId="0">
      <selection activeCell="H48" sqref="H48"/>
    </sheetView>
  </sheetViews>
  <sheetFormatPr defaultColWidth="8.85546875" defaultRowHeight="15" x14ac:dyDescent="0.25"/>
  <cols>
    <col min="1" max="1" width="10.28515625" bestFit="1" customWidth="1"/>
    <col min="2" max="4" width="5.140625" bestFit="1" customWidth="1"/>
    <col min="5" max="5" width="5.140625" customWidth="1"/>
    <col min="6" max="6" width="5.28515625" customWidth="1"/>
    <col min="7" max="7" width="6.85546875" customWidth="1"/>
    <col min="8" max="8" width="6.42578125" bestFit="1" customWidth="1"/>
    <col min="9" max="9" width="4.42578125" customWidth="1"/>
    <col min="10" max="10" width="3.85546875" bestFit="1" customWidth="1"/>
    <col min="11" max="12" width="4.42578125" bestFit="1" customWidth="1"/>
    <col min="13" max="13" width="4" bestFit="1" customWidth="1"/>
    <col min="14" max="15" width="4.42578125" bestFit="1" customWidth="1"/>
    <col min="16" max="16" width="3.85546875" bestFit="1" customWidth="1"/>
    <col min="17" max="18" width="4.42578125" bestFit="1" customWidth="1"/>
    <col min="19" max="19" width="4" bestFit="1" customWidth="1"/>
    <col min="20" max="20" width="4.42578125" bestFit="1" customWidth="1"/>
    <col min="21" max="21" width="4.140625" bestFit="1" customWidth="1"/>
    <col min="22" max="22" width="3.42578125" bestFit="1" customWidth="1"/>
    <col min="23" max="24" width="4.28515625" bestFit="1" customWidth="1"/>
    <col min="25" max="25" width="3.7109375" bestFit="1" customWidth="1"/>
    <col min="26" max="26" width="4.42578125" bestFit="1" customWidth="1"/>
    <col min="28" max="28" width="6.85546875" customWidth="1"/>
    <col min="29" max="29" width="5" bestFit="1" customWidth="1"/>
    <col min="30" max="30" width="4.42578125" bestFit="1" customWidth="1"/>
    <col min="31" max="31" width="3.85546875" bestFit="1" customWidth="1"/>
    <col min="32" max="33" width="4.42578125" bestFit="1" customWidth="1"/>
    <col min="34" max="34" width="3.85546875" bestFit="1" customWidth="1"/>
    <col min="35" max="36" width="4.42578125" bestFit="1" customWidth="1"/>
    <col min="37" max="37" width="3.85546875" bestFit="1" customWidth="1"/>
    <col min="38" max="39" width="4.42578125" bestFit="1" customWidth="1"/>
    <col min="40" max="40" width="3.85546875" bestFit="1" customWidth="1"/>
    <col min="41" max="41" width="4.42578125" bestFit="1" customWidth="1"/>
    <col min="42" max="42" width="4.140625" bestFit="1" customWidth="1"/>
    <col min="43" max="43" width="4" bestFit="1" customWidth="1"/>
    <col min="44" max="45" width="4.28515625" bestFit="1" customWidth="1"/>
    <col min="46" max="47" width="4.42578125" bestFit="1" customWidth="1"/>
  </cols>
  <sheetData>
    <row r="1" spans="1:47" x14ac:dyDescent="0.25">
      <c r="A1" s="86" t="s">
        <v>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8"/>
    </row>
    <row r="3" spans="1:47" x14ac:dyDescent="0.25">
      <c r="A3" s="95" t="s">
        <v>291</v>
      </c>
      <c r="B3" s="96"/>
      <c r="C3" s="96"/>
      <c r="D3" s="97"/>
      <c r="E3" s="70"/>
      <c r="G3" s="82" t="s">
        <v>289</v>
      </c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4"/>
      <c r="AB3" s="82" t="s">
        <v>290</v>
      </c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4"/>
    </row>
    <row r="4" spans="1:47" x14ac:dyDescent="0.25">
      <c r="A4" s="13" t="s">
        <v>0</v>
      </c>
      <c r="B4" s="14" t="s">
        <v>1</v>
      </c>
      <c r="C4" s="14" t="s">
        <v>2</v>
      </c>
      <c r="D4" s="15" t="s">
        <v>3</v>
      </c>
      <c r="E4" s="2"/>
      <c r="G4" s="17"/>
      <c r="H4" s="9"/>
      <c r="I4" s="92" t="s">
        <v>30</v>
      </c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4"/>
      <c r="AB4" s="17"/>
      <c r="AC4" s="9"/>
      <c r="AD4" s="92" t="s">
        <v>30</v>
      </c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4"/>
    </row>
    <row r="5" spans="1:47" x14ac:dyDescent="0.25">
      <c r="A5" s="16" t="s">
        <v>4</v>
      </c>
      <c r="B5" s="18">
        <v>0.1</v>
      </c>
      <c r="C5" s="18">
        <v>0.45</v>
      </c>
      <c r="D5" s="19">
        <v>0.45</v>
      </c>
      <c r="E5" s="18"/>
      <c r="G5" s="11"/>
      <c r="H5" s="22" t="s">
        <v>28</v>
      </c>
      <c r="I5" s="12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6" t="s">
        <v>25</v>
      </c>
      <c r="Y5" s="6" t="s">
        <v>26</v>
      </c>
      <c r="Z5" s="7" t="s">
        <v>27</v>
      </c>
      <c r="AB5" s="11"/>
      <c r="AC5" s="22" t="s">
        <v>31</v>
      </c>
      <c r="AD5" s="12" t="s">
        <v>10</v>
      </c>
      <c r="AE5" s="6" t="s">
        <v>11</v>
      </c>
      <c r="AF5" s="6" t="s">
        <v>12</v>
      </c>
      <c r="AG5" s="6" t="s">
        <v>13</v>
      </c>
      <c r="AH5" s="6" t="s">
        <v>14</v>
      </c>
      <c r="AI5" s="6" t="s">
        <v>15</v>
      </c>
      <c r="AJ5" s="6" t="s">
        <v>16</v>
      </c>
      <c r="AK5" s="6" t="s">
        <v>17</v>
      </c>
      <c r="AL5" s="6" t="s">
        <v>18</v>
      </c>
      <c r="AM5" s="6" t="s">
        <v>19</v>
      </c>
      <c r="AN5" s="6" t="s">
        <v>20</v>
      </c>
      <c r="AO5" s="6" t="s">
        <v>21</v>
      </c>
      <c r="AP5" s="6" t="s">
        <v>22</v>
      </c>
      <c r="AQ5" s="6" t="s">
        <v>23</v>
      </c>
      <c r="AR5" s="6" t="s">
        <v>24</v>
      </c>
      <c r="AS5" s="6" t="s">
        <v>25</v>
      </c>
      <c r="AT5" s="6" t="s">
        <v>26</v>
      </c>
      <c r="AU5" s="7" t="s">
        <v>27</v>
      </c>
    </row>
    <row r="6" spans="1:47" x14ac:dyDescent="0.25">
      <c r="A6" s="16" t="s">
        <v>5</v>
      </c>
      <c r="B6" s="18">
        <v>0.1</v>
      </c>
      <c r="C6" s="18">
        <v>0.2</v>
      </c>
      <c r="D6" s="19">
        <v>0.7</v>
      </c>
      <c r="E6" s="18"/>
      <c r="G6" s="89" t="s">
        <v>29</v>
      </c>
      <c r="H6" s="10" t="s">
        <v>10</v>
      </c>
      <c r="I6" s="4"/>
      <c r="J6" s="4"/>
      <c r="K6" s="4"/>
      <c r="L6" s="4">
        <v>0.5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B6" s="89" t="s">
        <v>29</v>
      </c>
      <c r="AC6" s="10" t="s">
        <v>10</v>
      </c>
      <c r="AD6" s="4"/>
      <c r="AE6" s="4"/>
      <c r="AF6" s="4"/>
      <c r="AG6" s="4">
        <v>50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5"/>
    </row>
    <row r="7" spans="1:47" x14ac:dyDescent="0.25">
      <c r="A7" s="16" t="s">
        <v>6</v>
      </c>
      <c r="B7" s="18">
        <v>0.1</v>
      </c>
      <c r="C7" s="18">
        <v>0.45</v>
      </c>
      <c r="D7" s="19">
        <v>0.45</v>
      </c>
      <c r="E7" s="18"/>
      <c r="G7" s="90"/>
      <c r="H7" s="5" t="s">
        <v>11</v>
      </c>
      <c r="I7" s="4"/>
      <c r="J7" s="4"/>
      <c r="K7" s="4"/>
      <c r="L7" s="4">
        <v>0.5</v>
      </c>
      <c r="M7" s="4">
        <v>0.5</v>
      </c>
      <c r="N7" s="4">
        <v>0.5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/>
      <c r="AB7" s="90"/>
      <c r="AC7" s="5" t="s">
        <v>11</v>
      </c>
      <c r="AD7" s="4"/>
      <c r="AE7" s="4"/>
      <c r="AF7" s="4"/>
      <c r="AG7" s="4">
        <v>50</v>
      </c>
      <c r="AH7" s="4">
        <v>50</v>
      </c>
      <c r="AI7" s="4">
        <v>50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5"/>
    </row>
    <row r="8" spans="1:47" x14ac:dyDescent="0.25">
      <c r="A8" s="16" t="s">
        <v>7</v>
      </c>
      <c r="B8" s="18">
        <v>0.35</v>
      </c>
      <c r="C8" s="18">
        <v>0.35</v>
      </c>
      <c r="D8" s="19">
        <v>0.3</v>
      </c>
      <c r="E8" s="18"/>
      <c r="G8" s="90"/>
      <c r="H8" s="5" t="s">
        <v>12</v>
      </c>
      <c r="I8" s="4"/>
      <c r="J8" s="4"/>
      <c r="K8" s="4"/>
      <c r="L8" s="4"/>
      <c r="M8" s="4"/>
      <c r="N8" s="4">
        <v>0.5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  <c r="AB8" s="90"/>
      <c r="AC8" s="5" t="s">
        <v>12</v>
      </c>
      <c r="AD8" s="4"/>
      <c r="AE8" s="4"/>
      <c r="AF8" s="4"/>
      <c r="AG8" s="4"/>
      <c r="AH8" s="4"/>
      <c r="AI8" s="4">
        <v>50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5"/>
    </row>
    <row r="9" spans="1:47" x14ac:dyDescent="0.25">
      <c r="A9" s="16" t="s">
        <v>8</v>
      </c>
      <c r="B9" s="18">
        <v>0.2</v>
      </c>
      <c r="C9" s="18">
        <v>0.3</v>
      </c>
      <c r="D9" s="19">
        <v>0.5</v>
      </c>
      <c r="E9" s="18"/>
      <c r="G9" s="90"/>
      <c r="H9" s="5" t="s">
        <v>13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>
        <v>1</v>
      </c>
      <c r="V9" s="4"/>
      <c r="W9" s="4"/>
      <c r="X9" s="4"/>
      <c r="Y9" s="4"/>
      <c r="Z9" s="5"/>
      <c r="AB9" s="90"/>
      <c r="AC9" s="5" t="s">
        <v>13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>
        <v>100</v>
      </c>
      <c r="AQ9" s="4"/>
      <c r="AR9" s="4"/>
      <c r="AS9" s="4"/>
      <c r="AT9" s="4"/>
      <c r="AU9" s="5"/>
    </row>
    <row r="10" spans="1:47" x14ac:dyDescent="0.25">
      <c r="A10" s="8" t="s">
        <v>9</v>
      </c>
      <c r="B10" s="20">
        <v>0.1</v>
      </c>
      <c r="C10" s="20">
        <v>0.45</v>
      </c>
      <c r="D10" s="21">
        <v>0.45</v>
      </c>
      <c r="E10" s="18"/>
      <c r="G10" s="90"/>
      <c r="H10" s="5" t="s">
        <v>14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>
        <v>1</v>
      </c>
      <c r="V10" s="4">
        <v>1</v>
      </c>
      <c r="W10" s="4">
        <v>1</v>
      </c>
      <c r="X10" s="4"/>
      <c r="Y10" s="4"/>
      <c r="Z10" s="5"/>
      <c r="AB10" s="90"/>
      <c r="AC10" s="5" t="s">
        <v>14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v>100</v>
      </c>
      <c r="AQ10" s="4">
        <v>100</v>
      </c>
      <c r="AR10" s="4">
        <v>100</v>
      </c>
      <c r="AS10" s="4"/>
      <c r="AT10" s="4"/>
      <c r="AU10" s="5"/>
    </row>
    <row r="11" spans="1:47" x14ac:dyDescent="0.25">
      <c r="G11" s="90"/>
      <c r="H11" s="5" t="s">
        <v>15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>
        <v>1</v>
      </c>
      <c r="X11" s="4"/>
      <c r="Y11" s="4"/>
      <c r="Z11" s="5"/>
      <c r="AB11" s="90"/>
      <c r="AC11" s="5" t="s">
        <v>15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>
        <v>100</v>
      </c>
      <c r="AS11" s="4"/>
      <c r="AT11" s="4"/>
      <c r="AU11" s="5"/>
    </row>
    <row r="12" spans="1:47" x14ac:dyDescent="0.25">
      <c r="G12" s="90"/>
      <c r="H12" s="5" t="s">
        <v>16</v>
      </c>
      <c r="I12" s="4"/>
      <c r="J12" s="4"/>
      <c r="K12" s="4"/>
      <c r="L12" s="4">
        <v>0.5</v>
      </c>
      <c r="M12" s="4"/>
      <c r="N12" s="4"/>
      <c r="O12" s="4"/>
      <c r="P12" s="4"/>
      <c r="Q12" s="4"/>
      <c r="R12" s="4">
        <v>0.5</v>
      </c>
      <c r="S12" s="4"/>
      <c r="T12" s="4"/>
      <c r="U12" s="4"/>
      <c r="V12" s="4"/>
      <c r="W12" s="4"/>
      <c r="X12" s="4"/>
      <c r="Y12" s="4"/>
      <c r="Z12" s="5"/>
      <c r="AB12" s="90"/>
      <c r="AC12" s="5" t="s">
        <v>16</v>
      </c>
      <c r="AD12" s="4"/>
      <c r="AE12" s="4"/>
      <c r="AF12" s="4"/>
      <c r="AG12" s="4">
        <v>50</v>
      </c>
      <c r="AH12" s="4"/>
      <c r="AI12" s="4"/>
      <c r="AJ12" s="4"/>
      <c r="AK12" s="4"/>
      <c r="AL12" s="4"/>
      <c r="AM12" s="4">
        <v>50</v>
      </c>
      <c r="AN12" s="4"/>
      <c r="AO12" s="4"/>
      <c r="AP12" s="4"/>
      <c r="AQ12" s="4"/>
      <c r="AR12" s="4"/>
      <c r="AS12" s="4"/>
      <c r="AT12" s="4"/>
      <c r="AU12" s="5"/>
    </row>
    <row r="13" spans="1:47" x14ac:dyDescent="0.25">
      <c r="G13" s="90"/>
      <c r="H13" s="5" t="s">
        <v>17</v>
      </c>
      <c r="I13" s="4"/>
      <c r="J13" s="4"/>
      <c r="K13" s="4"/>
      <c r="L13" s="4">
        <v>0.5</v>
      </c>
      <c r="M13" s="4">
        <v>0.5</v>
      </c>
      <c r="N13" s="4">
        <v>0.5</v>
      </c>
      <c r="O13" s="4"/>
      <c r="P13" s="4"/>
      <c r="Q13" s="4"/>
      <c r="R13" s="4">
        <v>0.5</v>
      </c>
      <c r="S13" s="4">
        <v>0.5</v>
      </c>
      <c r="T13" s="4">
        <v>0.5</v>
      </c>
      <c r="U13" s="4"/>
      <c r="V13" s="4"/>
      <c r="W13" s="4"/>
      <c r="X13" s="4"/>
      <c r="Y13" s="4"/>
      <c r="Z13" s="5"/>
      <c r="AB13" s="90"/>
      <c r="AC13" s="5" t="s">
        <v>17</v>
      </c>
      <c r="AD13" s="4"/>
      <c r="AE13" s="4"/>
      <c r="AF13" s="4"/>
      <c r="AG13" s="4">
        <v>50</v>
      </c>
      <c r="AH13" s="4">
        <v>50</v>
      </c>
      <c r="AI13" s="4">
        <v>50</v>
      </c>
      <c r="AJ13" s="4"/>
      <c r="AK13" s="4"/>
      <c r="AL13" s="4"/>
      <c r="AM13" s="4">
        <v>50</v>
      </c>
      <c r="AN13" s="4">
        <v>50</v>
      </c>
      <c r="AO13" s="4">
        <v>50</v>
      </c>
      <c r="AP13" s="4"/>
      <c r="AQ13" s="4"/>
      <c r="AR13" s="4"/>
      <c r="AS13" s="4"/>
      <c r="AT13" s="4"/>
      <c r="AU13" s="5"/>
    </row>
    <row r="14" spans="1:47" x14ac:dyDescent="0.25">
      <c r="G14" s="90"/>
      <c r="H14" s="5" t="s">
        <v>18</v>
      </c>
      <c r="I14" s="4"/>
      <c r="J14" s="4"/>
      <c r="K14" s="4"/>
      <c r="L14" s="4"/>
      <c r="M14" s="4"/>
      <c r="N14" s="4">
        <v>0.5</v>
      </c>
      <c r="O14" s="4"/>
      <c r="P14" s="4"/>
      <c r="Q14" s="4"/>
      <c r="R14" s="4"/>
      <c r="S14" s="4"/>
      <c r="T14" s="4">
        <v>0.5</v>
      </c>
      <c r="U14" s="4"/>
      <c r="V14" s="4"/>
      <c r="W14" s="4"/>
      <c r="X14" s="4"/>
      <c r="Y14" s="4"/>
      <c r="Z14" s="5"/>
      <c r="AB14" s="90"/>
      <c r="AC14" s="5" t="s">
        <v>18</v>
      </c>
      <c r="AD14" s="4"/>
      <c r="AE14" s="4"/>
      <c r="AF14" s="4"/>
      <c r="AG14" s="4"/>
      <c r="AH14" s="4"/>
      <c r="AI14" s="4">
        <v>50</v>
      </c>
      <c r="AJ14" s="4"/>
      <c r="AK14" s="4"/>
      <c r="AL14" s="4"/>
      <c r="AM14" s="4"/>
      <c r="AN14" s="4"/>
      <c r="AO14" s="4">
        <v>50</v>
      </c>
      <c r="AP14" s="4"/>
      <c r="AQ14" s="4"/>
      <c r="AR14" s="4"/>
      <c r="AS14" s="4"/>
      <c r="AT14" s="4"/>
      <c r="AU14" s="5"/>
    </row>
    <row r="15" spans="1:47" x14ac:dyDescent="0.25">
      <c r="G15" s="90"/>
      <c r="H15" s="5" t="s">
        <v>19</v>
      </c>
      <c r="I15" s="4"/>
      <c r="J15" s="4"/>
      <c r="K15" s="4"/>
      <c r="L15" s="4">
        <v>0.5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5"/>
      <c r="AB15" s="90"/>
      <c r="AC15" s="5" t="s">
        <v>19</v>
      </c>
      <c r="AD15" s="4"/>
      <c r="AE15" s="4"/>
      <c r="AF15" s="4"/>
      <c r="AG15" s="4">
        <v>50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5"/>
    </row>
    <row r="16" spans="1:47" x14ac:dyDescent="0.25">
      <c r="G16" s="90"/>
      <c r="H16" s="5" t="s">
        <v>20</v>
      </c>
      <c r="I16" s="4"/>
      <c r="J16" s="4"/>
      <c r="K16" s="4"/>
      <c r="L16" s="4">
        <v>0.5</v>
      </c>
      <c r="M16" s="4">
        <v>0.5</v>
      </c>
      <c r="N16" s="4">
        <v>0.5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5"/>
      <c r="AB16" s="90"/>
      <c r="AC16" s="5" t="s">
        <v>20</v>
      </c>
      <c r="AD16" s="4"/>
      <c r="AE16" s="4"/>
      <c r="AF16" s="4"/>
      <c r="AG16" s="4">
        <v>50</v>
      </c>
      <c r="AH16" s="4">
        <v>50</v>
      </c>
      <c r="AI16" s="4">
        <v>50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5"/>
    </row>
    <row r="17" spans="5:47" x14ac:dyDescent="0.25">
      <c r="G17" s="90"/>
      <c r="H17" s="5" t="s">
        <v>21</v>
      </c>
      <c r="I17" s="4"/>
      <c r="J17" s="4"/>
      <c r="K17" s="4"/>
      <c r="L17" s="4"/>
      <c r="M17" s="4"/>
      <c r="N17" s="4">
        <v>0.5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5"/>
      <c r="AB17" s="90"/>
      <c r="AC17" s="5" t="s">
        <v>21</v>
      </c>
      <c r="AD17" s="4"/>
      <c r="AE17" s="4"/>
      <c r="AF17" s="4"/>
      <c r="AG17" s="4"/>
      <c r="AH17" s="4"/>
      <c r="AI17" s="4">
        <v>50</v>
      </c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5"/>
    </row>
    <row r="18" spans="5:47" x14ac:dyDescent="0.25">
      <c r="G18" s="90"/>
      <c r="H18" s="5" t="s">
        <v>22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v>1</v>
      </c>
      <c r="Y18" s="4"/>
      <c r="Z18" s="5"/>
      <c r="AB18" s="90"/>
      <c r="AC18" s="5" t="s">
        <v>22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>
        <v>100</v>
      </c>
      <c r="AT18" s="4"/>
      <c r="AU18" s="5"/>
    </row>
    <row r="19" spans="5:47" x14ac:dyDescent="0.25">
      <c r="G19" s="90"/>
      <c r="H19" s="5" t="s">
        <v>23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>
        <v>1</v>
      </c>
      <c r="Z19" s="5">
        <v>1</v>
      </c>
      <c r="AB19" s="90"/>
      <c r="AC19" s="5" t="s">
        <v>23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>
        <v>100</v>
      </c>
      <c r="AT19" s="4">
        <v>100</v>
      </c>
      <c r="AU19" s="5">
        <v>100</v>
      </c>
    </row>
    <row r="20" spans="5:47" x14ac:dyDescent="0.25">
      <c r="G20" s="90"/>
      <c r="H20" s="5" t="s">
        <v>24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5">
        <v>1</v>
      </c>
      <c r="AB20" s="90"/>
      <c r="AC20" s="5" t="s">
        <v>24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5">
        <v>100</v>
      </c>
    </row>
    <row r="21" spans="5:47" x14ac:dyDescent="0.25">
      <c r="G21" s="90"/>
      <c r="H21" s="5" t="s">
        <v>25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5"/>
      <c r="AB21" s="90"/>
      <c r="AC21" s="5" t="s">
        <v>25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5"/>
    </row>
    <row r="22" spans="5:47" x14ac:dyDescent="0.25">
      <c r="G22" s="90"/>
      <c r="H22" s="5" t="s">
        <v>26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5"/>
      <c r="AB22" s="90"/>
      <c r="AC22" s="5" t="s">
        <v>26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5"/>
    </row>
    <row r="23" spans="5:47" x14ac:dyDescent="0.25">
      <c r="G23" s="91"/>
      <c r="H23" s="7" t="s">
        <v>27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7"/>
      <c r="AB23" s="91"/>
      <c r="AC23" s="7" t="s">
        <v>27</v>
      </c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7"/>
    </row>
    <row r="28" spans="5:47" x14ac:dyDescent="0.25">
      <c r="E28" s="82" t="s">
        <v>292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4"/>
    </row>
    <row r="40" spans="5:27" x14ac:dyDescent="0.25">
      <c r="E40" s="85" t="s">
        <v>293</v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5:27" x14ac:dyDescent="0.25">
      <c r="F41" t="s">
        <v>277</v>
      </c>
    </row>
    <row r="42" spans="5:27" x14ac:dyDescent="0.25">
      <c r="F42">
        <v>1</v>
      </c>
      <c r="G42" s="34" t="s">
        <v>271</v>
      </c>
      <c r="I42" t="s">
        <v>274</v>
      </c>
    </row>
    <row r="43" spans="5:27" x14ac:dyDescent="0.25">
      <c r="F43">
        <v>2</v>
      </c>
      <c r="G43" s="34" t="s">
        <v>272</v>
      </c>
      <c r="I43" t="s">
        <v>275</v>
      </c>
    </row>
    <row r="44" spans="5:27" x14ac:dyDescent="0.25">
      <c r="F44">
        <v>3</v>
      </c>
      <c r="G44" s="34" t="s">
        <v>273</v>
      </c>
      <c r="I44" t="s">
        <v>276</v>
      </c>
    </row>
  </sheetData>
  <mergeCells count="10">
    <mergeCell ref="E28:AA28"/>
    <mergeCell ref="E40:AA40"/>
    <mergeCell ref="A1:AU1"/>
    <mergeCell ref="G6:G23"/>
    <mergeCell ref="I4:Z4"/>
    <mergeCell ref="AD4:AU4"/>
    <mergeCell ref="AB6:AB23"/>
    <mergeCell ref="A3:D3"/>
    <mergeCell ref="G3:Z3"/>
    <mergeCell ref="AB3:AU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zoomScale="150" zoomScaleNormal="150" workbookViewId="0">
      <selection sqref="A1:G1"/>
    </sheetView>
  </sheetViews>
  <sheetFormatPr defaultColWidth="9.140625" defaultRowHeight="15" x14ac:dyDescent="0.25"/>
  <cols>
    <col min="1" max="1" width="5.85546875" style="4" bestFit="1" customWidth="1"/>
    <col min="2" max="2" width="24.42578125" style="4" bestFit="1" customWidth="1"/>
    <col min="3" max="3" width="16" style="4" bestFit="1" customWidth="1"/>
    <col min="4" max="6" width="5.85546875" style="4" customWidth="1"/>
    <col min="7" max="7" width="92.85546875" style="4" bestFit="1" customWidth="1"/>
    <col min="8" max="16384" width="9.140625" style="4"/>
  </cols>
  <sheetData>
    <row r="1" spans="1:7" x14ac:dyDescent="0.25">
      <c r="A1" s="85" t="s">
        <v>288</v>
      </c>
      <c r="B1" s="85"/>
      <c r="C1" s="85"/>
      <c r="D1" s="85"/>
      <c r="E1" s="85"/>
      <c r="F1" s="85"/>
      <c r="G1" s="85"/>
    </row>
    <row r="2" spans="1:7" x14ac:dyDescent="0.25">
      <c r="A2" s="2" t="s">
        <v>38</v>
      </c>
      <c r="B2" s="2" t="s">
        <v>39</v>
      </c>
      <c r="C2" s="2" t="s">
        <v>40</v>
      </c>
      <c r="D2" s="2"/>
      <c r="E2" s="2"/>
      <c r="F2" s="2"/>
      <c r="G2" s="4" t="s">
        <v>44</v>
      </c>
    </row>
    <row r="3" spans="1:7" x14ac:dyDescent="0.25">
      <c r="A3" s="3" t="s">
        <v>4</v>
      </c>
      <c r="B3" s="4" t="s">
        <v>32</v>
      </c>
      <c r="C3" s="4" t="s">
        <v>41</v>
      </c>
      <c r="D3" s="18">
        <f>'Input Data'!B5</f>
        <v>0.1</v>
      </c>
      <c r="E3" s="18">
        <f>'Input Data'!C5</f>
        <v>0.45</v>
      </c>
      <c r="F3" s="18">
        <f>'Input Data'!D5</f>
        <v>0.45</v>
      </c>
      <c r="G3" s="4" t="s">
        <v>45</v>
      </c>
    </row>
    <row r="4" spans="1:7" x14ac:dyDescent="0.25">
      <c r="A4" s="3" t="s">
        <v>5</v>
      </c>
      <c r="B4" s="4" t="s">
        <v>33</v>
      </c>
      <c r="C4" s="4" t="s">
        <v>41</v>
      </c>
      <c r="D4" s="18">
        <f>'Input Data'!B6</f>
        <v>0.1</v>
      </c>
      <c r="E4" s="18">
        <f>'Input Data'!C6</f>
        <v>0.2</v>
      </c>
      <c r="F4" s="18">
        <f>'Input Data'!D6</f>
        <v>0.7</v>
      </c>
      <c r="G4" s="4" t="s">
        <v>46</v>
      </c>
    </row>
    <row r="5" spans="1:7" x14ac:dyDescent="0.25">
      <c r="A5" s="3" t="s">
        <v>6</v>
      </c>
      <c r="B5" s="4" t="s">
        <v>34</v>
      </c>
      <c r="C5" s="4" t="s">
        <v>41</v>
      </c>
      <c r="D5" s="18">
        <f>'Input Data'!B7</f>
        <v>0.1</v>
      </c>
      <c r="E5" s="18">
        <f>'Input Data'!C7</f>
        <v>0.45</v>
      </c>
      <c r="F5" s="18">
        <f>'Input Data'!D7</f>
        <v>0.45</v>
      </c>
      <c r="G5" s="4" t="s">
        <v>47</v>
      </c>
    </row>
    <row r="6" spans="1:7" x14ac:dyDescent="0.25">
      <c r="A6" s="3" t="s">
        <v>7</v>
      </c>
      <c r="B6" s="4" t="s">
        <v>35</v>
      </c>
      <c r="C6" s="4" t="s">
        <v>41</v>
      </c>
      <c r="D6" s="18">
        <f>'Input Data'!B8</f>
        <v>0.35</v>
      </c>
      <c r="E6" s="18">
        <f>'Input Data'!C8</f>
        <v>0.35</v>
      </c>
      <c r="F6" s="18">
        <f>'Input Data'!D8</f>
        <v>0.3</v>
      </c>
      <c r="G6" s="4" t="s">
        <v>50</v>
      </c>
    </row>
    <row r="7" spans="1:7" x14ac:dyDescent="0.25">
      <c r="A7" s="3" t="s">
        <v>8</v>
      </c>
      <c r="B7" s="4" t="s">
        <v>36</v>
      </c>
      <c r="C7" s="4" t="s">
        <v>42</v>
      </c>
      <c r="D7" s="18">
        <f>'Input Data'!B9</f>
        <v>0.2</v>
      </c>
      <c r="E7" s="18">
        <f>'Input Data'!C9</f>
        <v>0.3</v>
      </c>
      <c r="F7" s="18">
        <f>'Input Data'!D9</f>
        <v>0.5</v>
      </c>
      <c r="G7" s="4" t="s">
        <v>48</v>
      </c>
    </row>
    <row r="8" spans="1:7" x14ac:dyDescent="0.25">
      <c r="A8" s="3" t="s">
        <v>9</v>
      </c>
      <c r="B8" s="4" t="s">
        <v>37</v>
      </c>
      <c r="C8" s="4" t="s">
        <v>43</v>
      </c>
      <c r="D8" s="18">
        <f>'Input Data'!B10</f>
        <v>0.1</v>
      </c>
      <c r="E8" s="18">
        <f>'Input Data'!C10</f>
        <v>0.45</v>
      </c>
      <c r="F8" s="18">
        <f>'Input Data'!D10</f>
        <v>0.45</v>
      </c>
      <c r="G8" s="4" t="s">
        <v>49</v>
      </c>
    </row>
    <row r="11" spans="1:7" x14ac:dyDescent="0.25">
      <c r="A11" s="85" t="s">
        <v>294</v>
      </c>
      <c r="B11" s="85"/>
      <c r="C11" s="85"/>
      <c r="D11" s="85"/>
      <c r="E11" s="85"/>
      <c r="F11" s="85"/>
    </row>
  </sheetData>
  <mergeCells count="2">
    <mergeCell ref="A1:G1"/>
    <mergeCell ref="A11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4"/>
  <sheetViews>
    <sheetView zoomScale="115" zoomScaleNormal="115" workbookViewId="0">
      <selection sqref="A1:Q1"/>
    </sheetView>
  </sheetViews>
  <sheetFormatPr defaultColWidth="8.85546875" defaultRowHeight="15" x14ac:dyDescent="0.25"/>
  <cols>
    <col min="1" max="1" width="8.140625" bestFit="1" customWidth="1"/>
    <col min="2" max="2" width="7.28515625" bestFit="1" customWidth="1"/>
    <col min="3" max="3" width="4.28515625" customWidth="1"/>
    <col min="4" max="4" width="8" bestFit="1" customWidth="1"/>
    <col min="5" max="5" width="4" bestFit="1" customWidth="1"/>
    <col min="6" max="6" width="4.42578125" customWidth="1"/>
    <col min="7" max="7" width="8" bestFit="1" customWidth="1"/>
    <col min="8" max="8" width="4" bestFit="1" customWidth="1"/>
    <col min="9" max="9" width="4.85546875" customWidth="1"/>
    <col min="10" max="10" width="8" bestFit="1" customWidth="1"/>
    <col min="11" max="11" width="4" bestFit="1" customWidth="1"/>
    <col min="12" max="12" width="3.85546875" customWidth="1"/>
    <col min="13" max="13" width="8" bestFit="1" customWidth="1"/>
    <col min="14" max="14" width="4" bestFit="1" customWidth="1"/>
    <col min="15" max="15" width="4.42578125" customWidth="1"/>
    <col min="16" max="16" width="8" bestFit="1" customWidth="1"/>
    <col min="17" max="17" width="4" bestFit="1" customWidth="1"/>
  </cols>
  <sheetData>
    <row r="1" spans="1:17" x14ac:dyDescent="0.25">
      <c r="A1" s="85" t="s">
        <v>295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x14ac:dyDescent="0.25">
      <c r="A2" s="98" t="s">
        <v>59</v>
      </c>
      <c r="B2" s="99"/>
    </row>
    <row r="3" spans="1:17" x14ac:dyDescent="0.25">
      <c r="A3" s="11"/>
      <c r="B3" s="5" t="s">
        <v>58</v>
      </c>
    </row>
    <row r="4" spans="1:17" x14ac:dyDescent="0.25">
      <c r="A4" s="11" t="s">
        <v>51</v>
      </c>
      <c r="B4" s="5">
        <v>100</v>
      </c>
    </row>
    <row r="5" spans="1:17" x14ac:dyDescent="0.25">
      <c r="A5" s="11" t="s">
        <v>52</v>
      </c>
      <c r="B5" s="5">
        <v>1</v>
      </c>
    </row>
    <row r="6" spans="1:17" x14ac:dyDescent="0.25">
      <c r="A6" s="11" t="s">
        <v>53</v>
      </c>
      <c r="B6" s="5">
        <v>100</v>
      </c>
    </row>
    <row r="7" spans="1:17" x14ac:dyDescent="0.25">
      <c r="A7" s="11"/>
      <c r="B7" s="5"/>
    </row>
    <row r="8" spans="1:17" x14ac:dyDescent="0.25">
      <c r="A8" s="11" t="s">
        <v>54</v>
      </c>
      <c r="B8" s="5">
        <f>B5*B4+100*(1-B5)</f>
        <v>100</v>
      </c>
    </row>
    <row r="9" spans="1:17" x14ac:dyDescent="0.25">
      <c r="A9" s="11" t="s">
        <v>55</v>
      </c>
      <c r="B9" s="5">
        <f>B4+B6</f>
        <v>200</v>
      </c>
    </row>
    <row r="10" spans="1:17" x14ac:dyDescent="0.25">
      <c r="A10" s="11"/>
      <c r="B10" s="5" t="s">
        <v>57</v>
      </c>
    </row>
    <row r="11" spans="1:17" x14ac:dyDescent="0.25">
      <c r="A11" s="23" t="s">
        <v>56</v>
      </c>
      <c r="B11" s="7">
        <f>MIN(B8:B9)</f>
        <v>100</v>
      </c>
    </row>
    <row r="14" spans="1:17" x14ac:dyDescent="0.25">
      <c r="A14" s="98" t="s">
        <v>60</v>
      </c>
      <c r="B14" s="100"/>
      <c r="C14" s="100"/>
      <c r="D14" s="100"/>
      <c r="E14" s="99"/>
    </row>
    <row r="15" spans="1:17" x14ac:dyDescent="0.25">
      <c r="A15" s="11"/>
      <c r="B15" s="4" t="s">
        <v>58</v>
      </c>
      <c r="C15" s="4"/>
      <c r="D15" s="4"/>
      <c r="E15" s="5"/>
    </row>
    <row r="16" spans="1:17" x14ac:dyDescent="0.25">
      <c r="A16" s="11" t="s">
        <v>62</v>
      </c>
      <c r="B16" s="4">
        <v>100</v>
      </c>
      <c r="C16" s="4"/>
      <c r="D16" s="4" t="s">
        <v>61</v>
      </c>
      <c r="E16" s="5">
        <v>100</v>
      </c>
    </row>
    <row r="17" spans="1:8" x14ac:dyDescent="0.25">
      <c r="A17" s="11" t="s">
        <v>65</v>
      </c>
      <c r="B17" s="4">
        <v>1</v>
      </c>
      <c r="C17" s="4"/>
      <c r="D17" s="4" t="s">
        <v>72</v>
      </c>
      <c r="E17" s="5">
        <v>1</v>
      </c>
    </row>
    <row r="18" spans="1:8" x14ac:dyDescent="0.25">
      <c r="A18" s="11" t="s">
        <v>66</v>
      </c>
      <c r="B18" s="4">
        <v>100</v>
      </c>
      <c r="C18" s="4"/>
      <c r="D18" s="4" t="s">
        <v>73</v>
      </c>
      <c r="E18" s="5">
        <v>100</v>
      </c>
    </row>
    <row r="19" spans="1:8" x14ac:dyDescent="0.25">
      <c r="A19" s="11"/>
      <c r="B19" s="4"/>
      <c r="C19" s="4"/>
      <c r="D19" s="4"/>
      <c r="E19" s="5"/>
    </row>
    <row r="20" spans="1:8" x14ac:dyDescent="0.25">
      <c r="A20" s="11" t="s">
        <v>54</v>
      </c>
      <c r="B20" s="4">
        <f>B17*B16/2+E17*E16/2+100*(1-((B17+E17)/2))</f>
        <v>100</v>
      </c>
      <c r="C20" s="4"/>
      <c r="D20" s="4"/>
      <c r="E20" s="5"/>
    </row>
    <row r="21" spans="1:8" x14ac:dyDescent="0.25">
      <c r="A21" s="11" t="s">
        <v>63</v>
      </c>
      <c r="B21" s="4">
        <f>B16+B18</f>
        <v>200</v>
      </c>
      <c r="C21" s="4"/>
      <c r="D21" s="4"/>
      <c r="E21" s="5"/>
    </row>
    <row r="22" spans="1:8" x14ac:dyDescent="0.25">
      <c r="A22" s="11" t="s">
        <v>64</v>
      </c>
      <c r="B22" s="4">
        <f>E16+E18</f>
        <v>200</v>
      </c>
      <c r="C22" s="4"/>
      <c r="D22" s="4"/>
      <c r="E22" s="5"/>
    </row>
    <row r="23" spans="1:8" x14ac:dyDescent="0.25">
      <c r="A23" s="11"/>
      <c r="B23" s="4" t="s">
        <v>57</v>
      </c>
      <c r="C23" s="4"/>
      <c r="D23" s="4"/>
      <c r="E23" s="5"/>
    </row>
    <row r="24" spans="1:8" x14ac:dyDescent="0.25">
      <c r="A24" s="23" t="s">
        <v>56</v>
      </c>
      <c r="B24" s="6">
        <f>MIN(B20:B22)</f>
        <v>100</v>
      </c>
      <c r="C24" s="6"/>
      <c r="D24" s="6"/>
      <c r="E24" s="7"/>
    </row>
    <row r="26" spans="1:8" x14ac:dyDescent="0.25">
      <c r="A26" s="98" t="s">
        <v>67</v>
      </c>
      <c r="B26" s="100"/>
      <c r="C26" s="100"/>
      <c r="D26" s="100"/>
      <c r="E26" s="100"/>
      <c r="F26" s="100"/>
      <c r="G26" s="100"/>
      <c r="H26" s="99"/>
    </row>
    <row r="27" spans="1:8" x14ac:dyDescent="0.25">
      <c r="A27" s="11"/>
      <c r="B27" s="4" t="s">
        <v>58</v>
      </c>
      <c r="C27" s="4"/>
      <c r="D27" s="4"/>
      <c r="E27" s="4"/>
      <c r="F27" s="4"/>
      <c r="G27" s="4"/>
      <c r="H27" s="5"/>
    </row>
    <row r="28" spans="1:8" x14ac:dyDescent="0.25">
      <c r="A28" s="11" t="s">
        <v>62</v>
      </c>
      <c r="B28" s="4">
        <v>100</v>
      </c>
      <c r="C28" s="4"/>
      <c r="D28" s="4" t="s">
        <v>61</v>
      </c>
      <c r="E28" s="4">
        <v>100</v>
      </c>
      <c r="F28" s="4"/>
      <c r="G28" s="4" t="s">
        <v>69</v>
      </c>
      <c r="H28" s="5">
        <v>100</v>
      </c>
    </row>
    <row r="29" spans="1:8" x14ac:dyDescent="0.25">
      <c r="A29" s="11" t="s">
        <v>65</v>
      </c>
      <c r="B29" s="4">
        <v>1</v>
      </c>
      <c r="C29" s="4"/>
      <c r="D29" s="4" t="s">
        <v>72</v>
      </c>
      <c r="E29" s="4">
        <v>1</v>
      </c>
      <c r="F29" s="4"/>
      <c r="G29" s="4" t="s">
        <v>70</v>
      </c>
      <c r="H29" s="5">
        <v>1</v>
      </c>
    </row>
    <row r="30" spans="1:8" x14ac:dyDescent="0.25">
      <c r="A30" s="11" t="s">
        <v>66</v>
      </c>
      <c r="B30" s="4">
        <v>100</v>
      </c>
      <c r="C30" s="4"/>
      <c r="D30" s="4" t="s">
        <v>73</v>
      </c>
      <c r="E30" s="4">
        <v>100</v>
      </c>
      <c r="F30" s="4"/>
      <c r="G30" s="4" t="s">
        <v>71</v>
      </c>
      <c r="H30" s="5">
        <v>100</v>
      </c>
    </row>
    <row r="31" spans="1:8" x14ac:dyDescent="0.25">
      <c r="A31" s="11"/>
      <c r="B31" s="4"/>
      <c r="C31" s="4"/>
      <c r="D31" s="4"/>
      <c r="E31" s="4"/>
      <c r="F31" s="4"/>
      <c r="G31" s="4"/>
      <c r="H31" s="5"/>
    </row>
    <row r="32" spans="1:8" x14ac:dyDescent="0.25">
      <c r="A32" s="11" t="s">
        <v>54</v>
      </c>
      <c r="B32" s="4">
        <f>B29*B28/3+E29*E28/3+H29*H28/3+100*(1-((B29+E29+H29)/3))</f>
        <v>100</v>
      </c>
      <c r="C32" s="4"/>
      <c r="D32" s="4"/>
      <c r="F32" s="4"/>
      <c r="G32" s="4"/>
      <c r="H32" s="5"/>
    </row>
    <row r="33" spans="1:17" x14ac:dyDescent="0.25">
      <c r="A33" s="11" t="s">
        <v>63</v>
      </c>
      <c r="B33" s="4">
        <f>B28+B30</f>
        <v>200</v>
      </c>
      <c r="C33" s="4"/>
      <c r="D33" s="4"/>
      <c r="E33" s="4"/>
      <c r="F33" s="4"/>
      <c r="G33" s="4"/>
      <c r="H33" s="5"/>
    </row>
    <row r="34" spans="1:17" x14ac:dyDescent="0.25">
      <c r="A34" s="11" t="s">
        <v>64</v>
      </c>
      <c r="B34" s="4">
        <f>E28+E30</f>
        <v>200</v>
      </c>
      <c r="C34" s="4"/>
      <c r="D34" s="4"/>
      <c r="E34" s="4"/>
      <c r="F34" s="4"/>
      <c r="G34" s="4"/>
      <c r="H34" s="5"/>
    </row>
    <row r="35" spans="1:17" x14ac:dyDescent="0.25">
      <c r="A35" s="11" t="s">
        <v>68</v>
      </c>
      <c r="B35" s="4">
        <f>H28+H30</f>
        <v>200</v>
      </c>
      <c r="C35" s="4"/>
      <c r="D35" s="4"/>
      <c r="E35" s="4"/>
      <c r="F35" s="4"/>
      <c r="G35" s="4"/>
      <c r="H35" s="5"/>
    </row>
    <row r="36" spans="1:17" x14ac:dyDescent="0.25">
      <c r="A36" s="11"/>
      <c r="B36" s="4" t="s">
        <v>57</v>
      </c>
      <c r="C36" s="4"/>
      <c r="D36" s="4"/>
      <c r="E36" s="4"/>
      <c r="F36" s="4"/>
      <c r="G36" s="4"/>
      <c r="H36" s="5"/>
    </row>
    <row r="37" spans="1:17" x14ac:dyDescent="0.25">
      <c r="A37" s="23" t="s">
        <v>56</v>
      </c>
      <c r="B37" s="6">
        <f>MIN(B32:B35)</f>
        <v>100</v>
      </c>
      <c r="C37" s="6"/>
      <c r="D37" s="6"/>
      <c r="E37" s="6"/>
      <c r="F37" s="6"/>
      <c r="G37" s="6"/>
      <c r="H37" s="7"/>
    </row>
    <row r="40" spans="1:17" x14ac:dyDescent="0.25">
      <c r="A40" s="98" t="s">
        <v>74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99"/>
    </row>
    <row r="41" spans="1:17" x14ac:dyDescent="0.25">
      <c r="A41" s="11"/>
      <c r="B41" s="4" t="s">
        <v>58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5"/>
    </row>
    <row r="42" spans="1:17" x14ac:dyDescent="0.25">
      <c r="A42" s="11" t="s">
        <v>62</v>
      </c>
      <c r="B42" s="4">
        <v>100</v>
      </c>
      <c r="C42" s="4"/>
      <c r="D42" s="4" t="s">
        <v>61</v>
      </c>
      <c r="E42" s="4">
        <v>100</v>
      </c>
      <c r="F42" s="4"/>
      <c r="G42" s="4" t="s">
        <v>69</v>
      </c>
      <c r="H42" s="4">
        <v>100</v>
      </c>
      <c r="I42" s="4"/>
      <c r="J42" s="4" t="s">
        <v>75</v>
      </c>
      <c r="K42" s="4">
        <v>100</v>
      </c>
      <c r="L42" s="4"/>
      <c r="M42" s="4" t="s">
        <v>79</v>
      </c>
      <c r="N42" s="4">
        <v>100</v>
      </c>
      <c r="O42" s="4"/>
      <c r="P42" s="4" t="s">
        <v>81</v>
      </c>
      <c r="Q42" s="5">
        <v>100</v>
      </c>
    </row>
    <row r="43" spans="1:17" x14ac:dyDescent="0.25">
      <c r="A43" s="11" t="s">
        <v>65</v>
      </c>
      <c r="B43" s="4">
        <v>1</v>
      </c>
      <c r="C43" s="4"/>
      <c r="D43" s="4" t="s">
        <v>72</v>
      </c>
      <c r="E43" s="4">
        <v>1</v>
      </c>
      <c r="F43" s="4"/>
      <c r="G43" s="4" t="s">
        <v>70</v>
      </c>
      <c r="H43" s="4">
        <v>1</v>
      </c>
      <c r="I43" s="4"/>
      <c r="J43" s="4" t="s">
        <v>76</v>
      </c>
      <c r="K43" s="4">
        <v>1</v>
      </c>
      <c r="L43" s="4"/>
      <c r="M43" s="4" t="s">
        <v>78</v>
      </c>
      <c r="N43" s="4">
        <v>1</v>
      </c>
      <c r="O43" s="4"/>
      <c r="P43" s="4" t="s">
        <v>82</v>
      </c>
      <c r="Q43" s="5">
        <v>1</v>
      </c>
    </row>
    <row r="44" spans="1:17" x14ac:dyDescent="0.25">
      <c r="A44" s="11" t="s">
        <v>66</v>
      </c>
      <c r="B44" s="4">
        <v>100</v>
      </c>
      <c r="C44" s="4"/>
      <c r="D44" s="4" t="s">
        <v>73</v>
      </c>
      <c r="E44" s="4">
        <v>100</v>
      </c>
      <c r="F44" s="4"/>
      <c r="G44" s="4" t="s">
        <v>71</v>
      </c>
      <c r="H44" s="4">
        <v>100</v>
      </c>
      <c r="I44" s="4"/>
      <c r="J44" s="4" t="s">
        <v>77</v>
      </c>
      <c r="K44" s="4">
        <v>100</v>
      </c>
      <c r="L44" s="4"/>
      <c r="M44" s="4" t="s">
        <v>80</v>
      </c>
      <c r="N44" s="4">
        <v>100</v>
      </c>
      <c r="O44" s="4"/>
      <c r="P44" s="4" t="s">
        <v>83</v>
      </c>
      <c r="Q44" s="5">
        <v>100</v>
      </c>
    </row>
    <row r="45" spans="1:17" x14ac:dyDescent="0.25">
      <c r="A45" s="1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5"/>
    </row>
    <row r="46" spans="1:17" x14ac:dyDescent="0.25">
      <c r="A46" s="11" t="s">
        <v>54</v>
      </c>
      <c r="B46" s="4">
        <f>B43*B42/6+E43*E42/6+H43*H42/6+K42*K43/6+N42*N43/6+Q42*Q43/6+100*(1-((B43+E43+H43+K43+N43+Q43)/6))</f>
        <v>100.00000000000001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5"/>
    </row>
    <row r="47" spans="1:17" x14ac:dyDescent="0.25">
      <c r="A47" s="11" t="s">
        <v>63</v>
      </c>
      <c r="B47" s="4">
        <f>B42+B44</f>
        <v>200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5"/>
    </row>
    <row r="48" spans="1:17" x14ac:dyDescent="0.25">
      <c r="A48" s="11" t="s">
        <v>64</v>
      </c>
      <c r="B48" s="4">
        <f>E42+E44</f>
        <v>200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5"/>
    </row>
    <row r="49" spans="1:17" x14ac:dyDescent="0.25">
      <c r="A49" s="11" t="s">
        <v>68</v>
      </c>
      <c r="B49" s="4">
        <f>H42+H44</f>
        <v>200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5"/>
    </row>
    <row r="50" spans="1:17" x14ac:dyDescent="0.25">
      <c r="A50" s="11" t="s">
        <v>84</v>
      </c>
      <c r="B50" s="4">
        <f>K42+K44</f>
        <v>200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5"/>
    </row>
    <row r="51" spans="1:17" x14ac:dyDescent="0.25">
      <c r="A51" s="11" t="s">
        <v>85</v>
      </c>
      <c r="B51" s="4">
        <f>N42+N44</f>
        <v>200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5"/>
    </row>
    <row r="52" spans="1:17" x14ac:dyDescent="0.25">
      <c r="A52" s="11" t="s">
        <v>86</v>
      </c>
      <c r="B52" s="4">
        <f>Q42+Q44</f>
        <v>200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5"/>
    </row>
    <row r="53" spans="1:17" x14ac:dyDescent="0.25">
      <c r="A53" s="11"/>
      <c r="B53" s="4" t="s">
        <v>57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5"/>
    </row>
    <row r="54" spans="1:17" x14ac:dyDescent="0.25">
      <c r="A54" s="23" t="s">
        <v>56</v>
      </c>
      <c r="B54" s="6">
        <f>MIN(B46:B52)</f>
        <v>100.00000000000001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7"/>
    </row>
  </sheetData>
  <mergeCells count="5">
    <mergeCell ref="A2:B2"/>
    <mergeCell ref="A14:E14"/>
    <mergeCell ref="A26:H26"/>
    <mergeCell ref="A40:Q40"/>
    <mergeCell ref="A1:Q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83"/>
  <sheetViews>
    <sheetView zoomScale="55" zoomScaleNormal="55" workbookViewId="0">
      <selection sqref="A1:D1"/>
    </sheetView>
  </sheetViews>
  <sheetFormatPr defaultColWidth="8.85546875" defaultRowHeight="15" x14ac:dyDescent="0.25"/>
  <cols>
    <col min="45" max="45" width="8.85546875" customWidth="1"/>
  </cols>
  <sheetData>
    <row r="1" spans="1:47" x14ac:dyDescent="0.25">
      <c r="A1" s="82" t="s">
        <v>286</v>
      </c>
      <c r="B1" s="83"/>
      <c r="C1" s="83"/>
      <c r="D1" s="84"/>
      <c r="I1" s="85" t="s">
        <v>296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V1" s="85" t="s">
        <v>298</v>
      </c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J1" s="85" t="s">
        <v>297</v>
      </c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</row>
    <row r="2" spans="1:47" ht="15.75" x14ac:dyDescent="0.25">
      <c r="A2" s="28" t="s">
        <v>93</v>
      </c>
      <c r="B2" s="29" t="s">
        <v>94</v>
      </c>
      <c r="C2" s="29" t="s">
        <v>95</v>
      </c>
      <c r="D2" s="30" t="s">
        <v>96</v>
      </c>
      <c r="J2" s="1" t="s">
        <v>283</v>
      </c>
      <c r="K2" s="1" t="s">
        <v>271</v>
      </c>
      <c r="M2" t="s">
        <v>274</v>
      </c>
      <c r="V2" s="1" t="s">
        <v>284</v>
      </c>
      <c r="W2" s="1" t="s">
        <v>272</v>
      </c>
      <c r="Y2" t="s">
        <v>275</v>
      </c>
      <c r="AI2" s="1" t="s">
        <v>285</v>
      </c>
      <c r="AJ2" s="1" t="s">
        <v>273</v>
      </c>
      <c r="AK2" s="1"/>
      <c r="AL2" t="s">
        <v>276</v>
      </c>
    </row>
    <row r="3" spans="1:47" x14ac:dyDescent="0.25">
      <c r="A3" s="11" t="s">
        <v>97</v>
      </c>
      <c r="B3" s="4" t="s">
        <v>98</v>
      </c>
      <c r="C3" s="4" t="s">
        <v>99</v>
      </c>
      <c r="D3" s="5">
        <v>0.85</v>
      </c>
    </row>
    <row r="4" spans="1:47" x14ac:dyDescent="0.25">
      <c r="A4" s="11"/>
      <c r="B4" s="4"/>
      <c r="C4" s="4" t="s">
        <v>100</v>
      </c>
      <c r="D4" s="5">
        <v>0.62</v>
      </c>
    </row>
    <row r="5" spans="1:47" x14ac:dyDescent="0.25">
      <c r="A5" s="11"/>
      <c r="B5" s="4"/>
      <c r="C5" s="4" t="s">
        <v>101</v>
      </c>
      <c r="D5" s="5">
        <v>0.55000000000000004</v>
      </c>
    </row>
    <row r="6" spans="1:47" x14ac:dyDescent="0.25">
      <c r="A6" s="11"/>
      <c r="B6" s="4"/>
      <c r="C6" s="4" t="s">
        <v>102</v>
      </c>
      <c r="D6" s="5">
        <v>0.2</v>
      </c>
    </row>
    <row r="7" spans="1:47" x14ac:dyDescent="0.25">
      <c r="A7" s="11"/>
      <c r="B7" s="4" t="s">
        <v>103</v>
      </c>
      <c r="C7" s="4" t="s">
        <v>104</v>
      </c>
      <c r="D7" s="5">
        <v>0.77</v>
      </c>
    </row>
    <row r="8" spans="1:47" x14ac:dyDescent="0.25">
      <c r="A8" s="11"/>
      <c r="B8" s="4"/>
      <c r="C8" s="4" t="s">
        <v>105</v>
      </c>
      <c r="D8" s="5">
        <v>0.44</v>
      </c>
    </row>
    <row r="9" spans="1:47" x14ac:dyDescent="0.25">
      <c r="A9" s="11"/>
      <c r="B9" s="4" t="s">
        <v>106</v>
      </c>
      <c r="C9" s="4" t="s">
        <v>107</v>
      </c>
      <c r="D9" s="5">
        <v>0.85</v>
      </c>
    </row>
    <row r="10" spans="1:47" x14ac:dyDescent="0.25">
      <c r="A10" s="11"/>
      <c r="B10" s="4"/>
      <c r="C10" s="4" t="s">
        <v>104</v>
      </c>
      <c r="D10" s="5" t="s">
        <v>108</v>
      </c>
    </row>
    <row r="11" spans="1:47" x14ac:dyDescent="0.25">
      <c r="A11" s="11"/>
      <c r="B11" s="4"/>
      <c r="C11" s="4" t="s">
        <v>105</v>
      </c>
      <c r="D11" s="5" t="s">
        <v>109</v>
      </c>
    </row>
    <row r="12" spans="1:47" x14ac:dyDescent="0.25">
      <c r="A12" s="11"/>
      <c r="B12" s="4" t="s">
        <v>110</v>
      </c>
      <c r="C12" s="4" t="s">
        <v>107</v>
      </c>
      <c r="D12" s="5">
        <v>0.85</v>
      </c>
    </row>
    <row r="13" spans="1:47" x14ac:dyDescent="0.25">
      <c r="A13" s="11"/>
      <c r="B13" s="4"/>
      <c r="C13" s="4" t="s">
        <v>111</v>
      </c>
      <c r="D13" s="5">
        <v>0.62</v>
      </c>
    </row>
    <row r="14" spans="1:47" x14ac:dyDescent="0.25">
      <c r="A14" s="11" t="s">
        <v>112</v>
      </c>
      <c r="B14" s="4" t="s">
        <v>113</v>
      </c>
      <c r="C14" s="4" t="s">
        <v>114</v>
      </c>
      <c r="D14" s="5">
        <v>1</v>
      </c>
    </row>
    <row r="15" spans="1:47" x14ac:dyDescent="0.25">
      <c r="A15" s="11"/>
      <c r="B15" s="4"/>
      <c r="C15" s="4" t="s">
        <v>105</v>
      </c>
      <c r="D15" s="5">
        <v>1</v>
      </c>
      <c r="J15" s="86" t="s">
        <v>303</v>
      </c>
      <c r="K15" s="87"/>
      <c r="L15" s="87"/>
      <c r="M15" s="87"/>
      <c r="N15" s="87"/>
      <c r="O15" s="87"/>
      <c r="P15" s="87"/>
      <c r="Q15" s="87"/>
      <c r="R15" s="88"/>
      <c r="Y15" s="82" t="s">
        <v>305</v>
      </c>
      <c r="Z15" s="83"/>
      <c r="AA15" s="83"/>
      <c r="AB15" s="83"/>
      <c r="AC15" s="83"/>
      <c r="AD15" s="83"/>
      <c r="AE15" s="84"/>
      <c r="AL15" s="82" t="s">
        <v>304</v>
      </c>
      <c r="AM15" s="83"/>
      <c r="AN15" s="83"/>
      <c r="AO15" s="83"/>
      <c r="AP15" s="83"/>
      <c r="AQ15" s="83"/>
      <c r="AR15" s="84"/>
    </row>
    <row r="16" spans="1:47" x14ac:dyDescent="0.25">
      <c r="A16" s="11"/>
      <c r="B16" s="4"/>
      <c r="C16" s="4" t="s">
        <v>115</v>
      </c>
      <c r="D16" s="5">
        <v>0.97</v>
      </c>
      <c r="J16" s="72" t="s">
        <v>302</v>
      </c>
      <c r="K16" s="5"/>
      <c r="P16" s="72" t="s">
        <v>182</v>
      </c>
      <c r="Q16" s="4"/>
      <c r="R16" s="5"/>
      <c r="Y16" s="72" t="s">
        <v>245</v>
      </c>
      <c r="Z16" s="5"/>
      <c r="AA16" t="s">
        <v>248</v>
      </c>
      <c r="AC16" s="72" t="s">
        <v>182</v>
      </c>
      <c r="AD16" s="4"/>
      <c r="AE16" s="5"/>
      <c r="AL16" s="72" t="s">
        <v>245</v>
      </c>
      <c r="AM16" s="5"/>
      <c r="AP16" s="72" t="s">
        <v>182</v>
      </c>
      <c r="AQ16" s="4"/>
      <c r="AR16" s="5"/>
    </row>
    <row r="17" spans="1:44" x14ac:dyDescent="0.25">
      <c r="A17" s="11"/>
      <c r="B17" s="4"/>
      <c r="C17" s="4" t="s">
        <v>116</v>
      </c>
      <c r="D17" s="5">
        <v>0.94</v>
      </c>
      <c r="J17" s="11" t="s">
        <v>136</v>
      </c>
      <c r="K17" s="5"/>
      <c r="P17" s="11" t="s">
        <v>183</v>
      </c>
      <c r="Q17" s="4"/>
      <c r="R17" s="5"/>
      <c r="Y17" s="11" t="s">
        <v>246</v>
      </c>
      <c r="Z17" s="5"/>
      <c r="AC17" s="11" t="s">
        <v>183</v>
      </c>
      <c r="AD17" s="4"/>
      <c r="AE17" s="5"/>
      <c r="AL17" s="11" t="s">
        <v>246</v>
      </c>
      <c r="AM17" s="5"/>
      <c r="AP17" s="11" t="s">
        <v>183</v>
      </c>
      <c r="AQ17" s="4"/>
      <c r="AR17" s="5"/>
    </row>
    <row r="18" spans="1:44" x14ac:dyDescent="0.25">
      <c r="A18" s="11"/>
      <c r="B18" s="4"/>
      <c r="C18" s="4" t="s">
        <v>117</v>
      </c>
      <c r="D18" s="5">
        <v>0.91</v>
      </c>
      <c r="J18" s="11" t="s">
        <v>99</v>
      </c>
      <c r="K18" s="5">
        <v>0.85</v>
      </c>
      <c r="P18" s="11" t="s">
        <v>137</v>
      </c>
      <c r="Q18" s="4" t="s">
        <v>184</v>
      </c>
      <c r="R18" s="5">
        <v>0.85</v>
      </c>
      <c r="Y18" s="11" t="s">
        <v>99</v>
      </c>
      <c r="Z18" s="5">
        <v>0.85</v>
      </c>
      <c r="AC18" s="11" t="s">
        <v>137</v>
      </c>
      <c r="AD18" s="4" t="s">
        <v>184</v>
      </c>
      <c r="AE18" s="5">
        <v>0.85</v>
      </c>
      <c r="AL18" s="11" t="s">
        <v>99</v>
      </c>
      <c r="AM18" s="5">
        <v>0.85</v>
      </c>
      <c r="AP18" s="11" t="s">
        <v>137</v>
      </c>
      <c r="AQ18" s="4" t="s">
        <v>184</v>
      </c>
      <c r="AR18" s="5">
        <v>0.85</v>
      </c>
    </row>
    <row r="19" spans="1:44" x14ac:dyDescent="0.25">
      <c r="A19" s="11"/>
      <c r="B19" s="4" t="s">
        <v>118</v>
      </c>
      <c r="C19" s="4" t="s">
        <v>114</v>
      </c>
      <c r="D19" s="5">
        <v>1</v>
      </c>
      <c r="J19" s="11" t="s">
        <v>105</v>
      </c>
      <c r="K19" s="5">
        <v>0.44</v>
      </c>
      <c r="P19" s="11" t="s">
        <v>138</v>
      </c>
      <c r="Q19" s="4" t="s">
        <v>185</v>
      </c>
      <c r="R19" s="5">
        <v>0.77</v>
      </c>
      <c r="Y19" s="11" t="s">
        <v>104</v>
      </c>
      <c r="Z19" s="5">
        <v>0.77</v>
      </c>
      <c r="AC19" s="11" t="s">
        <v>138</v>
      </c>
      <c r="AD19" s="4" t="s">
        <v>185</v>
      </c>
      <c r="AE19" s="5">
        <v>0.77</v>
      </c>
      <c r="AL19" s="11" t="s">
        <v>104</v>
      </c>
      <c r="AM19" s="5">
        <v>0.77</v>
      </c>
      <c r="AP19" s="11" t="s">
        <v>138</v>
      </c>
      <c r="AQ19" s="4" t="s">
        <v>185</v>
      </c>
      <c r="AR19" s="5">
        <v>0.77</v>
      </c>
    </row>
    <row r="20" spans="1:44" x14ac:dyDescent="0.25">
      <c r="A20" s="11"/>
      <c r="B20" s="4"/>
      <c r="C20" s="4" t="s">
        <v>119</v>
      </c>
      <c r="D20" s="5">
        <v>1</v>
      </c>
      <c r="J20" s="11" t="s">
        <v>107</v>
      </c>
      <c r="K20" s="5">
        <v>0.85</v>
      </c>
      <c r="P20" s="11" t="s">
        <v>139</v>
      </c>
      <c r="Q20" s="4" t="s">
        <v>186</v>
      </c>
      <c r="R20" s="5">
        <v>0.85</v>
      </c>
      <c r="Y20" s="11" t="s">
        <v>107</v>
      </c>
      <c r="Z20" s="5">
        <v>0.85</v>
      </c>
      <c r="AC20" s="11" t="s">
        <v>139</v>
      </c>
      <c r="AD20" s="4" t="s">
        <v>186</v>
      </c>
      <c r="AE20" s="5">
        <v>0.85</v>
      </c>
      <c r="AL20" s="11" t="s">
        <v>107</v>
      </c>
      <c r="AM20" s="5">
        <v>0.85</v>
      </c>
      <c r="AP20" s="11" t="s">
        <v>139</v>
      </c>
      <c r="AQ20" s="4" t="s">
        <v>186</v>
      </c>
      <c r="AR20" s="5">
        <v>0.85</v>
      </c>
    </row>
    <row r="21" spans="1:44" x14ac:dyDescent="0.25">
      <c r="A21" s="11"/>
      <c r="B21" s="4"/>
      <c r="C21" s="4" t="s">
        <v>120</v>
      </c>
      <c r="D21" s="5">
        <v>0.97</v>
      </c>
      <c r="J21" s="11" t="s">
        <v>107</v>
      </c>
      <c r="K21" s="5">
        <v>0.85</v>
      </c>
      <c r="P21" s="11" t="s">
        <v>140</v>
      </c>
      <c r="Q21" s="4" t="s">
        <v>186</v>
      </c>
      <c r="R21" s="5">
        <v>0.85</v>
      </c>
      <c r="Y21" s="11" t="s">
        <v>111</v>
      </c>
      <c r="Z21" s="5">
        <v>0.62</v>
      </c>
      <c r="AC21" s="11" t="s">
        <v>140</v>
      </c>
      <c r="AD21" s="4" t="s">
        <v>186</v>
      </c>
      <c r="AE21" s="5">
        <v>0.85</v>
      </c>
      <c r="AL21" s="11" t="s">
        <v>111</v>
      </c>
      <c r="AM21" s="5">
        <v>0.62</v>
      </c>
      <c r="AP21" s="11" t="s">
        <v>140</v>
      </c>
      <c r="AQ21" s="4" t="s">
        <v>186</v>
      </c>
      <c r="AR21" s="5">
        <v>0.85</v>
      </c>
    </row>
    <row r="22" spans="1:44" x14ac:dyDescent="0.25">
      <c r="A22" s="11"/>
      <c r="B22" s="4"/>
      <c r="C22" s="4" t="s">
        <v>121</v>
      </c>
      <c r="D22" s="5">
        <v>0.96</v>
      </c>
      <c r="J22" s="11" t="s">
        <v>145</v>
      </c>
      <c r="K22" s="5"/>
      <c r="P22" s="11" t="s">
        <v>141</v>
      </c>
      <c r="Q22" s="4" t="s">
        <v>187</v>
      </c>
      <c r="R22" s="5"/>
      <c r="Y22" s="11" t="s">
        <v>247</v>
      </c>
      <c r="Z22" s="5"/>
      <c r="AC22" s="11" t="s">
        <v>141</v>
      </c>
      <c r="AD22" s="4" t="s">
        <v>187</v>
      </c>
      <c r="AE22" s="5"/>
      <c r="AL22" s="11" t="s">
        <v>247</v>
      </c>
      <c r="AM22" s="5"/>
      <c r="AP22" s="11" t="s">
        <v>141</v>
      </c>
      <c r="AQ22" s="4" t="s">
        <v>187</v>
      </c>
      <c r="AR22" s="5"/>
    </row>
    <row r="23" spans="1:44" x14ac:dyDescent="0.25">
      <c r="A23" s="11"/>
      <c r="B23" s="4"/>
      <c r="C23" s="4" t="s">
        <v>122</v>
      </c>
      <c r="D23" s="5">
        <v>0.95</v>
      </c>
      <c r="J23" s="11" t="s">
        <v>107</v>
      </c>
      <c r="K23" s="5">
        <v>100</v>
      </c>
      <c r="P23" s="11" t="s">
        <v>142</v>
      </c>
      <c r="Q23" s="4" t="s">
        <v>186</v>
      </c>
      <c r="R23" s="5">
        <v>100</v>
      </c>
      <c r="Y23" s="11" t="s">
        <v>193</v>
      </c>
      <c r="Z23" s="5">
        <v>0</v>
      </c>
      <c r="AC23" s="11" t="s">
        <v>142</v>
      </c>
      <c r="AD23" s="4" t="s">
        <v>186</v>
      </c>
      <c r="AE23" s="5">
        <v>100</v>
      </c>
      <c r="AL23" s="11" t="s">
        <v>193</v>
      </c>
      <c r="AM23" s="5">
        <v>0</v>
      </c>
      <c r="AP23" s="11" t="s">
        <v>142</v>
      </c>
      <c r="AQ23" s="4" t="s">
        <v>186</v>
      </c>
      <c r="AR23" s="5">
        <v>100</v>
      </c>
    </row>
    <row r="24" spans="1:44" x14ac:dyDescent="0.25">
      <c r="A24" s="11"/>
      <c r="B24" s="4" t="s">
        <v>123</v>
      </c>
      <c r="C24" s="4" t="s">
        <v>114</v>
      </c>
      <c r="D24" s="5">
        <v>1</v>
      </c>
      <c r="J24" s="11" t="s">
        <v>193</v>
      </c>
      <c r="K24" s="5">
        <v>0</v>
      </c>
      <c r="P24" s="11" t="s">
        <v>143</v>
      </c>
      <c r="Q24" s="4" t="s">
        <v>186</v>
      </c>
      <c r="R24" s="5">
        <v>100</v>
      </c>
      <c r="Y24" s="11" t="s">
        <v>193</v>
      </c>
      <c r="Z24" s="5">
        <v>0</v>
      </c>
      <c r="AC24" s="11" t="s">
        <v>143</v>
      </c>
      <c r="AD24" s="4" t="s">
        <v>186</v>
      </c>
      <c r="AE24" s="5">
        <v>100</v>
      </c>
      <c r="AL24" s="11" t="s">
        <v>193</v>
      </c>
      <c r="AM24" s="5">
        <v>0</v>
      </c>
      <c r="AP24" s="11" t="s">
        <v>143</v>
      </c>
      <c r="AQ24" s="4" t="s">
        <v>186</v>
      </c>
      <c r="AR24" s="5">
        <v>100</v>
      </c>
    </row>
    <row r="25" spans="1:44" x14ac:dyDescent="0.25">
      <c r="A25" s="11"/>
      <c r="B25" s="4"/>
      <c r="C25" s="4" t="s">
        <v>124</v>
      </c>
      <c r="D25" s="5">
        <v>1</v>
      </c>
      <c r="J25" s="11" t="s">
        <v>107</v>
      </c>
      <c r="K25" s="5">
        <v>100</v>
      </c>
      <c r="P25" s="12" t="s">
        <v>144</v>
      </c>
      <c r="Q25" s="6" t="s">
        <v>188</v>
      </c>
      <c r="R25" s="7">
        <v>0</v>
      </c>
      <c r="Y25" s="12" t="s">
        <v>193</v>
      </c>
      <c r="Z25" s="7">
        <v>0</v>
      </c>
      <c r="AC25" s="12" t="s">
        <v>144</v>
      </c>
      <c r="AD25" s="6" t="s">
        <v>188</v>
      </c>
      <c r="AE25" s="7">
        <v>0</v>
      </c>
      <c r="AL25" s="12" t="s">
        <v>193</v>
      </c>
      <c r="AM25" s="7">
        <v>0</v>
      </c>
      <c r="AP25" s="12" t="s">
        <v>144</v>
      </c>
      <c r="AQ25" s="6" t="s">
        <v>188</v>
      </c>
      <c r="AR25" s="7">
        <v>0</v>
      </c>
    </row>
    <row r="26" spans="1:44" x14ac:dyDescent="0.25">
      <c r="A26" s="11"/>
      <c r="B26" s="4"/>
      <c r="C26" s="4" t="s">
        <v>125</v>
      </c>
      <c r="D26" s="5">
        <v>0.96</v>
      </c>
      <c r="J26" s="12" t="s">
        <v>189</v>
      </c>
      <c r="K26" s="7">
        <v>0.97</v>
      </c>
    </row>
    <row r="27" spans="1:44" x14ac:dyDescent="0.25">
      <c r="A27" s="12"/>
      <c r="B27" s="6"/>
      <c r="C27" s="6" t="s">
        <v>126</v>
      </c>
      <c r="D27" s="7">
        <v>0.92</v>
      </c>
    </row>
    <row r="28" spans="1:44" x14ac:dyDescent="0.25">
      <c r="K28" s="4" t="s">
        <v>151</v>
      </c>
      <c r="R28" s="4" t="s">
        <v>155</v>
      </c>
      <c r="T28" s="1"/>
      <c r="Z28" s="4" t="s">
        <v>267</v>
      </c>
      <c r="AE28" s="4" t="s">
        <v>155</v>
      </c>
      <c r="AR28" s="4" t="s">
        <v>155</v>
      </c>
    </row>
    <row r="29" spans="1:44" x14ac:dyDescent="0.25">
      <c r="I29" t="s">
        <v>146</v>
      </c>
      <c r="J29" t="s">
        <v>147</v>
      </c>
      <c r="K29">
        <f>2.1*K18*K19*K20*K21*K26</f>
        <v>0.55042795499999997</v>
      </c>
      <c r="P29" t="s">
        <v>146</v>
      </c>
      <c r="Q29" t="s">
        <v>147</v>
      </c>
      <c r="R29">
        <f>2.1*R18*R19*R20*R21</f>
        <v>0.99304012499999983</v>
      </c>
      <c r="X29" t="s">
        <v>146</v>
      </c>
      <c r="Y29" t="s">
        <v>147</v>
      </c>
      <c r="Z29">
        <f>2.1*Z18*Z19*Z20*Z21</f>
        <v>0.72433514999999993</v>
      </c>
      <c r="AC29" t="s">
        <v>146</v>
      </c>
      <c r="AD29" t="s">
        <v>147</v>
      </c>
      <c r="AE29">
        <f>2.1*AE18*AE19*AE20*AE21</f>
        <v>0.99304012499999983</v>
      </c>
      <c r="AK29" t="s">
        <v>146</v>
      </c>
      <c r="AL29" t="s">
        <v>147</v>
      </c>
      <c r="AM29">
        <f>2.1*AM18*AM19*AM20*AM21</f>
        <v>0.72433514999999993</v>
      </c>
      <c r="AP29" t="s">
        <v>146</v>
      </c>
      <c r="AQ29" t="s">
        <v>147</v>
      </c>
      <c r="AR29">
        <f>2.1*AR18*AR19*AR20*AR21</f>
        <v>0.99304012499999983</v>
      </c>
    </row>
    <row r="30" spans="1:44" x14ac:dyDescent="0.25">
      <c r="A30" s="108" t="s">
        <v>301</v>
      </c>
      <c r="B30" s="109"/>
      <c r="C30" s="109"/>
      <c r="D30" s="109"/>
      <c r="E30" s="109"/>
    </row>
    <row r="31" spans="1:44" x14ac:dyDescent="0.25">
      <c r="A31" t="s">
        <v>93</v>
      </c>
      <c r="B31" s="17" t="s">
        <v>94</v>
      </c>
      <c r="C31" s="9" t="s">
        <v>95</v>
      </c>
      <c r="D31" s="9" t="s">
        <v>96</v>
      </c>
      <c r="E31" s="10" t="s">
        <v>300</v>
      </c>
    </row>
    <row r="32" spans="1:44" x14ac:dyDescent="0.25">
      <c r="A32" t="s">
        <v>97</v>
      </c>
      <c r="B32" s="11" t="s">
        <v>128</v>
      </c>
      <c r="C32" s="4" t="s">
        <v>105</v>
      </c>
      <c r="D32" s="4">
        <v>0.56000000000000005</v>
      </c>
      <c r="E32" s="5">
        <v>0</v>
      </c>
      <c r="T32" s="86" t="s">
        <v>321</v>
      </c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8"/>
    </row>
    <row r="33" spans="1:30" x14ac:dyDescent="0.25">
      <c r="B33" s="11"/>
      <c r="C33" s="4" t="s">
        <v>104</v>
      </c>
      <c r="D33" s="4">
        <v>0.22</v>
      </c>
      <c r="E33" s="5">
        <v>61</v>
      </c>
    </row>
    <row r="34" spans="1:30" x14ac:dyDescent="0.25">
      <c r="B34" s="11"/>
      <c r="C34" s="4" t="s">
        <v>107</v>
      </c>
      <c r="D34" s="4">
        <v>0</v>
      </c>
      <c r="E34" s="5">
        <v>100</v>
      </c>
    </row>
    <row r="35" spans="1:30" x14ac:dyDescent="0.25">
      <c r="B35" s="11" t="s">
        <v>129</v>
      </c>
      <c r="C35" s="4" t="s">
        <v>105</v>
      </c>
      <c r="D35" s="4">
        <v>0.56000000000000005</v>
      </c>
      <c r="E35" s="5">
        <v>0</v>
      </c>
    </row>
    <row r="36" spans="1:30" x14ac:dyDescent="0.25">
      <c r="B36" s="11"/>
      <c r="C36" s="4" t="s">
        <v>104</v>
      </c>
      <c r="D36" s="4">
        <v>0.22</v>
      </c>
      <c r="E36" s="5">
        <v>61</v>
      </c>
    </row>
    <row r="37" spans="1:30" x14ac:dyDescent="0.25">
      <c r="B37" s="11"/>
      <c r="C37" s="4" t="s">
        <v>107</v>
      </c>
      <c r="D37" s="4">
        <v>0</v>
      </c>
      <c r="E37" s="5">
        <v>100</v>
      </c>
    </row>
    <row r="38" spans="1:30" x14ac:dyDescent="0.25">
      <c r="B38" s="11" t="s">
        <v>130</v>
      </c>
      <c r="C38" s="4" t="s">
        <v>105</v>
      </c>
      <c r="D38" s="4">
        <v>0.56000000000000005</v>
      </c>
      <c r="E38" s="5">
        <v>0</v>
      </c>
    </row>
    <row r="39" spans="1:30" x14ac:dyDescent="0.25">
      <c r="B39" s="11"/>
      <c r="C39" s="4" t="s">
        <v>104</v>
      </c>
      <c r="D39" s="4">
        <v>0.22</v>
      </c>
      <c r="E39" s="5">
        <v>61</v>
      </c>
    </row>
    <row r="40" spans="1:30" x14ac:dyDescent="0.25">
      <c r="B40" s="12"/>
      <c r="C40" s="6" t="s">
        <v>107</v>
      </c>
      <c r="D40" s="6">
        <v>0</v>
      </c>
      <c r="E40" s="7">
        <v>100</v>
      </c>
    </row>
    <row r="41" spans="1:30" x14ac:dyDescent="0.25">
      <c r="A41" t="s">
        <v>131</v>
      </c>
      <c r="B41" t="s">
        <v>132</v>
      </c>
      <c r="C41" t="s">
        <v>114</v>
      </c>
      <c r="D41">
        <v>1</v>
      </c>
    </row>
    <row r="42" spans="1:30" x14ac:dyDescent="0.25">
      <c r="C42" t="s">
        <v>105</v>
      </c>
      <c r="D42">
        <v>1.5</v>
      </c>
    </row>
    <row r="43" spans="1:30" ht="15.75" thickBot="1" x14ac:dyDescent="0.3">
      <c r="C43" t="s">
        <v>133</v>
      </c>
      <c r="D43">
        <v>1</v>
      </c>
      <c r="U43" s="85" t="s">
        <v>306</v>
      </c>
      <c r="V43" s="85"/>
      <c r="W43" s="85"/>
      <c r="X43" s="85"/>
      <c r="Y43" s="85"/>
      <c r="Z43" s="85"/>
      <c r="AA43" s="85"/>
      <c r="AB43" s="85"/>
      <c r="AC43" s="85"/>
      <c r="AD43" s="85"/>
    </row>
    <row r="44" spans="1:30" x14ac:dyDescent="0.25">
      <c r="C44" t="s">
        <v>104</v>
      </c>
      <c r="D44">
        <v>0.5</v>
      </c>
      <c r="U44" s="56"/>
      <c r="V44" s="57"/>
      <c r="W44" s="57"/>
      <c r="X44" s="57"/>
      <c r="Y44" s="57"/>
      <c r="Z44" s="57"/>
      <c r="AA44" s="57"/>
      <c r="AB44" s="57"/>
      <c r="AC44" s="57"/>
      <c r="AD44" s="58"/>
    </row>
    <row r="45" spans="1:30" x14ac:dyDescent="0.25">
      <c r="B45" t="s">
        <v>134</v>
      </c>
      <c r="C45" t="s">
        <v>114</v>
      </c>
      <c r="D45">
        <v>1</v>
      </c>
      <c r="U45" s="59"/>
      <c r="V45" s="4"/>
      <c r="W45" s="4"/>
      <c r="X45" s="4"/>
      <c r="Y45" s="4"/>
      <c r="Z45" s="4"/>
      <c r="AA45" s="4"/>
      <c r="AB45" s="4"/>
      <c r="AC45" s="4"/>
      <c r="AD45" s="60"/>
    </row>
    <row r="46" spans="1:30" x14ac:dyDescent="0.25">
      <c r="C46" t="s">
        <v>105</v>
      </c>
      <c r="D46">
        <v>1.5</v>
      </c>
      <c r="U46" s="59"/>
      <c r="V46" s="4"/>
      <c r="W46" s="4"/>
      <c r="X46" s="4"/>
      <c r="Y46" s="101" t="s">
        <v>264</v>
      </c>
      <c r="Z46" s="101"/>
      <c r="AA46" s="101"/>
      <c r="AB46" s="101"/>
      <c r="AC46" s="4"/>
      <c r="AD46" s="60"/>
    </row>
    <row r="47" spans="1:30" x14ac:dyDescent="0.25">
      <c r="C47" t="s">
        <v>133</v>
      </c>
      <c r="D47">
        <v>1</v>
      </c>
      <c r="U47" s="59"/>
      <c r="V47" s="4"/>
      <c r="W47" s="4"/>
      <c r="X47" s="4"/>
      <c r="Y47" s="4"/>
      <c r="Z47" s="4"/>
      <c r="AA47" s="4"/>
      <c r="AB47" s="4"/>
      <c r="AC47" s="4"/>
      <c r="AD47" s="60"/>
    </row>
    <row r="48" spans="1:30" x14ac:dyDescent="0.25">
      <c r="C48" t="s">
        <v>104</v>
      </c>
      <c r="D48">
        <v>0.5</v>
      </c>
      <c r="U48" s="59"/>
      <c r="V48" s="4"/>
      <c r="W48" s="4"/>
      <c r="X48" s="4"/>
      <c r="AC48" s="4"/>
      <c r="AD48" s="60"/>
    </row>
    <row r="49" spans="1:30" x14ac:dyDescent="0.25">
      <c r="B49" t="s">
        <v>135</v>
      </c>
      <c r="C49" t="s">
        <v>114</v>
      </c>
      <c r="D49">
        <v>1</v>
      </c>
      <c r="U49" s="59"/>
      <c r="V49" s="4"/>
      <c r="W49" s="4"/>
      <c r="X49" s="4"/>
      <c r="Y49" s="4"/>
      <c r="Z49" s="25" t="s">
        <v>241</v>
      </c>
      <c r="AA49" s="53" t="s">
        <v>242</v>
      </c>
      <c r="AB49" s="4"/>
      <c r="AC49" s="4"/>
      <c r="AD49" s="60"/>
    </row>
    <row r="50" spans="1:30" x14ac:dyDescent="0.25">
      <c r="C50" t="s">
        <v>105</v>
      </c>
      <c r="D50">
        <v>1.5</v>
      </c>
      <c r="U50" s="59"/>
      <c r="V50" s="4"/>
      <c r="W50" s="4"/>
      <c r="X50" s="4"/>
      <c r="Y50" s="4"/>
      <c r="Z50" s="4"/>
      <c r="AA50" s="4"/>
      <c r="AB50" s="4"/>
      <c r="AC50" s="4"/>
      <c r="AD50" s="60"/>
    </row>
    <row r="51" spans="1:30" x14ac:dyDescent="0.25">
      <c r="C51" t="s">
        <v>133</v>
      </c>
      <c r="D51">
        <v>1</v>
      </c>
      <c r="U51" s="59"/>
      <c r="V51" s="4"/>
      <c r="W51" s="4"/>
      <c r="X51" s="4"/>
      <c r="Y51" s="4"/>
      <c r="Z51" s="4" t="s">
        <v>265</v>
      </c>
      <c r="AA51" s="4"/>
      <c r="AB51" s="4"/>
      <c r="AC51" s="4"/>
      <c r="AD51" s="60"/>
    </row>
    <row r="52" spans="1:30" x14ac:dyDescent="0.25">
      <c r="C52" t="s">
        <v>104</v>
      </c>
      <c r="D52">
        <v>0.5</v>
      </c>
      <c r="U52" s="59"/>
      <c r="V52" s="4"/>
      <c r="W52" s="4"/>
      <c r="X52" s="4"/>
      <c r="Y52" s="4" t="s">
        <v>253</v>
      </c>
      <c r="Z52" s="4" t="s">
        <v>244</v>
      </c>
      <c r="AA52" s="25">
        <v>0.5</v>
      </c>
      <c r="AB52" s="4"/>
      <c r="AC52" s="4"/>
      <c r="AD52" s="60"/>
    </row>
    <row r="53" spans="1:30" x14ac:dyDescent="0.25">
      <c r="U53" s="59"/>
      <c r="V53" s="4"/>
      <c r="W53" s="4"/>
      <c r="X53" s="4" t="s">
        <v>249</v>
      </c>
      <c r="Y53" s="4"/>
      <c r="Z53" s="4"/>
      <c r="AA53" s="4"/>
      <c r="AB53" s="4" t="s">
        <v>263</v>
      </c>
      <c r="AC53" s="4"/>
      <c r="AD53" s="60"/>
    </row>
    <row r="54" spans="1:30" x14ac:dyDescent="0.25">
      <c r="U54" s="59"/>
      <c r="V54" s="4"/>
      <c r="W54" s="4"/>
      <c r="X54" s="4" t="s">
        <v>267</v>
      </c>
      <c r="Y54" s="18">
        <f>$Z$29</f>
        <v>0.72433514999999993</v>
      </c>
      <c r="Z54" s="4"/>
      <c r="AA54" s="4"/>
      <c r="AB54" s="4" t="s">
        <v>266</v>
      </c>
      <c r="AC54" s="18">
        <v>1</v>
      </c>
      <c r="AD54" s="60"/>
    </row>
    <row r="55" spans="1:30" x14ac:dyDescent="0.25">
      <c r="U55" s="59"/>
      <c r="V55" s="4"/>
      <c r="W55" s="4" t="s">
        <v>255</v>
      </c>
      <c r="X55" s="4" t="s">
        <v>237</v>
      </c>
      <c r="Y55" s="61">
        <f>Y54*AA52</f>
        <v>0.36216757499999996</v>
      </c>
      <c r="Z55" s="4"/>
      <c r="AA55" s="4" t="s">
        <v>254</v>
      </c>
      <c r="AB55" s="4" t="s">
        <v>150</v>
      </c>
      <c r="AC55" s="61">
        <f>AA52*AC54</f>
        <v>0.5</v>
      </c>
      <c r="AD55" s="60"/>
    </row>
    <row r="56" spans="1:30" x14ac:dyDescent="0.25">
      <c r="A56" s="104" t="s">
        <v>287</v>
      </c>
      <c r="B56" s="105"/>
      <c r="C56" s="105"/>
      <c r="D56" s="105"/>
      <c r="E56" s="105"/>
      <c r="U56" s="59"/>
      <c r="V56" s="4"/>
      <c r="W56" s="4"/>
      <c r="X56" s="4" t="s">
        <v>238</v>
      </c>
      <c r="Y56" s="18">
        <f>$E$59</f>
        <v>0.24259566326530613</v>
      </c>
      <c r="Z56" s="4"/>
      <c r="AA56" s="4"/>
      <c r="AB56" s="4"/>
      <c r="AC56" s="4"/>
      <c r="AD56" s="60"/>
    </row>
    <row r="57" spans="1:30" x14ac:dyDescent="0.25">
      <c r="A57" s="17" t="s">
        <v>93</v>
      </c>
      <c r="B57" s="9" t="s">
        <v>202</v>
      </c>
      <c r="C57" s="9" t="s">
        <v>94</v>
      </c>
      <c r="D57" s="9" t="s">
        <v>95</v>
      </c>
      <c r="E57" s="10" t="s">
        <v>96</v>
      </c>
      <c r="U57" s="59"/>
      <c r="V57" s="4"/>
      <c r="W57" s="4" t="s">
        <v>256</v>
      </c>
      <c r="X57" s="4" t="s">
        <v>149</v>
      </c>
      <c r="Y57" s="61">
        <f>Y55*Y56</f>
        <v>8.7860283070312489E-2</v>
      </c>
      <c r="Z57" s="4"/>
      <c r="AA57" s="4"/>
      <c r="AB57" s="4"/>
      <c r="AC57" s="4"/>
      <c r="AD57" s="60"/>
    </row>
    <row r="58" spans="1:30" x14ac:dyDescent="0.25">
      <c r="A58" s="102" t="s">
        <v>203</v>
      </c>
      <c r="B58" s="103" t="s">
        <v>92</v>
      </c>
      <c r="C58" s="71" t="s">
        <v>204</v>
      </c>
      <c r="D58" s="4" t="s">
        <v>205</v>
      </c>
      <c r="E58" s="5">
        <v>0.31893112244897953</v>
      </c>
      <c r="U58" s="59"/>
      <c r="V58" s="4" t="s">
        <v>251</v>
      </c>
      <c r="W58" s="4"/>
      <c r="X58" s="4"/>
      <c r="Y58" s="4" t="s">
        <v>250</v>
      </c>
      <c r="Z58" s="4"/>
      <c r="AB58" s="4" t="s">
        <v>263</v>
      </c>
      <c r="AC58" s="4"/>
      <c r="AD58" s="60"/>
    </row>
    <row r="59" spans="1:30" x14ac:dyDescent="0.25">
      <c r="A59" s="102"/>
      <c r="B59" s="103"/>
      <c r="C59" s="71" t="s">
        <v>206</v>
      </c>
      <c r="D59" s="4" t="s">
        <v>205</v>
      </c>
      <c r="E59" s="5">
        <v>0.24259566326530613</v>
      </c>
      <c r="U59" s="59"/>
      <c r="V59" s="4"/>
      <c r="W59" s="4"/>
      <c r="X59" s="4"/>
      <c r="Y59" s="4" t="s">
        <v>239</v>
      </c>
      <c r="Z59" s="18">
        <v>1</v>
      </c>
      <c r="AA59" t="s">
        <v>240</v>
      </c>
      <c r="AB59" s="4" t="s">
        <v>151</v>
      </c>
      <c r="AC59" s="18">
        <f>$K$29</f>
        <v>0.55042795499999997</v>
      </c>
      <c r="AD59" s="60"/>
    </row>
    <row r="60" spans="1:30" x14ac:dyDescent="0.25">
      <c r="A60" s="102"/>
      <c r="B60" s="103"/>
      <c r="C60" s="71" t="s">
        <v>207</v>
      </c>
      <c r="D60" s="4" t="s">
        <v>205</v>
      </c>
      <c r="E60" s="5">
        <v>0.12895790816326533</v>
      </c>
      <c r="U60" s="59"/>
      <c r="V60" s="4"/>
      <c r="W60" s="4"/>
      <c r="X60" s="4"/>
      <c r="Y60" s="4"/>
      <c r="Z60" s="4" t="s">
        <v>252</v>
      </c>
      <c r="AA60" s="4"/>
      <c r="AB60" s="4"/>
      <c r="AC60" s="4"/>
      <c r="AD60" s="60"/>
    </row>
    <row r="61" spans="1:30" x14ac:dyDescent="0.25">
      <c r="A61" s="102"/>
      <c r="B61" s="103" t="s">
        <v>127</v>
      </c>
      <c r="C61" s="103" t="s">
        <v>208</v>
      </c>
      <c r="D61" s="4" t="s">
        <v>209</v>
      </c>
      <c r="E61" s="5">
        <v>0.3</v>
      </c>
      <c r="U61" s="59"/>
      <c r="V61" s="4"/>
      <c r="W61" s="4"/>
      <c r="X61" s="4"/>
      <c r="Y61" s="4" t="s">
        <v>257</v>
      </c>
      <c r="Z61" s="4" t="s">
        <v>152</v>
      </c>
      <c r="AA61" s="53">
        <f>AC59*(1-((1-Y57)*(1-AC55)))</f>
        <v>0.29939435546805659</v>
      </c>
      <c r="AB61" s="4"/>
      <c r="AC61" s="4"/>
      <c r="AD61" s="60"/>
    </row>
    <row r="62" spans="1:30" x14ac:dyDescent="0.25">
      <c r="A62" s="102"/>
      <c r="B62" s="103"/>
      <c r="C62" s="103"/>
      <c r="D62" s="4" t="s">
        <v>210</v>
      </c>
      <c r="E62" s="5">
        <v>0.45</v>
      </c>
      <c r="U62" s="59"/>
      <c r="V62" s="4" t="s">
        <v>251</v>
      </c>
      <c r="W62" s="4"/>
      <c r="X62" s="4"/>
      <c r="Y62" s="4"/>
      <c r="Z62" s="4" t="s">
        <v>252</v>
      </c>
      <c r="AA62" s="4"/>
      <c r="AB62" s="4"/>
      <c r="AC62" s="4"/>
      <c r="AD62" s="60"/>
    </row>
    <row r="63" spans="1:30" x14ac:dyDescent="0.25">
      <c r="A63" s="102"/>
      <c r="B63" s="103"/>
      <c r="C63" s="103"/>
      <c r="D63" s="4" t="s">
        <v>211</v>
      </c>
      <c r="E63" s="5">
        <v>1</v>
      </c>
      <c r="U63" s="59" t="s">
        <v>268</v>
      </c>
      <c r="V63" s="4" t="s">
        <v>243</v>
      </c>
      <c r="W63" s="18">
        <v>1</v>
      </c>
      <c r="X63" s="4"/>
      <c r="Y63" s="4"/>
      <c r="Z63" s="4" t="s">
        <v>153</v>
      </c>
      <c r="AA63" s="18">
        <v>1</v>
      </c>
      <c r="AB63" t="s">
        <v>240</v>
      </c>
      <c r="AC63" s="4"/>
      <c r="AD63" s="60"/>
    </row>
    <row r="64" spans="1:30" x14ac:dyDescent="0.25">
      <c r="A64" s="102" t="s">
        <v>212</v>
      </c>
      <c r="B64" s="103" t="s">
        <v>213</v>
      </c>
      <c r="C64" s="103" t="s">
        <v>214</v>
      </c>
      <c r="D64" s="4" t="s">
        <v>215</v>
      </c>
      <c r="E64" s="5"/>
      <c r="U64" s="59"/>
      <c r="V64" s="4"/>
      <c r="W64" s="4"/>
      <c r="X64" s="4"/>
      <c r="Y64" s="4"/>
      <c r="Z64" s="4"/>
      <c r="AA64" s="4"/>
      <c r="AB64" s="4"/>
      <c r="AC64" s="4"/>
      <c r="AD64" s="60"/>
    </row>
    <row r="65" spans="1:30" x14ac:dyDescent="0.25">
      <c r="A65" s="102"/>
      <c r="B65" s="103"/>
      <c r="C65" s="103"/>
      <c r="D65" s="4" t="s">
        <v>216</v>
      </c>
      <c r="E65" s="5"/>
      <c r="U65" s="59"/>
      <c r="V65" s="4"/>
      <c r="W65" s="4"/>
      <c r="X65" s="4"/>
      <c r="Y65" s="4"/>
      <c r="Z65" s="4"/>
      <c r="AA65" s="4"/>
      <c r="AB65" s="4"/>
      <c r="AC65" s="4"/>
      <c r="AD65" s="60"/>
    </row>
    <row r="66" spans="1:30" x14ac:dyDescent="0.25">
      <c r="A66" s="102"/>
      <c r="B66" s="103"/>
      <c r="C66" s="103" t="s">
        <v>217</v>
      </c>
      <c r="D66" s="4" t="s">
        <v>218</v>
      </c>
      <c r="E66" s="5"/>
      <c r="U66" s="59"/>
      <c r="V66" s="4"/>
      <c r="W66" s="4"/>
      <c r="X66" s="4"/>
      <c r="Y66" s="4"/>
      <c r="Z66" s="4"/>
      <c r="AA66" s="4"/>
      <c r="AB66" s="4"/>
      <c r="AC66" s="4"/>
      <c r="AD66" s="60"/>
    </row>
    <row r="67" spans="1:30" x14ac:dyDescent="0.25">
      <c r="A67" s="102"/>
      <c r="B67" s="103"/>
      <c r="C67" s="103"/>
      <c r="D67" s="4" t="s">
        <v>219</v>
      </c>
      <c r="E67" s="5"/>
      <c r="U67" s="59"/>
      <c r="V67" s="4"/>
      <c r="W67" s="4"/>
      <c r="X67" s="4"/>
      <c r="Y67" s="4"/>
      <c r="Z67" s="4" t="s">
        <v>265</v>
      </c>
      <c r="AA67" s="4"/>
      <c r="AB67" s="4"/>
      <c r="AC67" s="4"/>
      <c r="AD67" s="60"/>
    </row>
    <row r="68" spans="1:30" x14ac:dyDescent="0.25">
      <c r="A68" s="102"/>
      <c r="B68" s="103"/>
      <c r="C68" s="103" t="s">
        <v>220</v>
      </c>
      <c r="D68" s="4" t="s">
        <v>107</v>
      </c>
      <c r="E68" s="5"/>
      <c r="U68" s="59"/>
      <c r="V68" s="4"/>
      <c r="W68" s="4"/>
      <c r="X68" s="4"/>
      <c r="Y68" s="4" t="s">
        <v>258</v>
      </c>
      <c r="Z68" s="4" t="s">
        <v>154</v>
      </c>
      <c r="AA68" s="53">
        <f>W63*(1-((1-Y57)*(1-AA61)))</f>
        <v>0.36094976571729187</v>
      </c>
      <c r="AB68" s="4"/>
      <c r="AC68" s="4"/>
      <c r="AD68" s="60"/>
    </row>
    <row r="69" spans="1:30" x14ac:dyDescent="0.25">
      <c r="A69" s="102"/>
      <c r="B69" s="103"/>
      <c r="C69" s="103"/>
      <c r="D69" s="4" t="s">
        <v>221</v>
      </c>
      <c r="E69" s="5"/>
      <c r="U69" s="59"/>
      <c r="V69" s="4"/>
      <c r="W69" s="4"/>
      <c r="X69" s="4"/>
      <c r="Y69" s="4"/>
      <c r="Z69" s="4" t="s">
        <v>155</v>
      </c>
      <c r="AA69" s="18">
        <f>$R$29</f>
        <v>0.99304012499999983</v>
      </c>
      <c r="AB69" s="4"/>
      <c r="AC69" s="4"/>
      <c r="AD69" s="60"/>
    </row>
    <row r="70" spans="1:30" x14ac:dyDescent="0.25">
      <c r="A70" s="102"/>
      <c r="B70" s="103"/>
      <c r="C70" s="103"/>
      <c r="D70" s="4" t="s">
        <v>222</v>
      </c>
      <c r="E70" s="5"/>
      <c r="U70" s="59"/>
      <c r="V70" s="4"/>
      <c r="W70" s="4"/>
      <c r="X70" s="4"/>
      <c r="Y70" s="4" t="s">
        <v>259</v>
      </c>
      <c r="Z70" s="4" t="s">
        <v>148</v>
      </c>
      <c r="AA70" s="53">
        <f>AA69*AA68</f>
        <v>0.35843760046662015</v>
      </c>
      <c r="AB70" s="4"/>
      <c r="AC70" s="4"/>
      <c r="AD70" s="60"/>
    </row>
    <row r="71" spans="1:30" x14ac:dyDescent="0.25">
      <c r="A71" s="102"/>
      <c r="B71" s="103"/>
      <c r="C71" s="103" t="s">
        <v>223</v>
      </c>
      <c r="D71" s="4" t="s">
        <v>224</v>
      </c>
      <c r="E71" s="5"/>
      <c r="U71" s="59"/>
      <c r="V71" s="4"/>
      <c r="W71" s="4"/>
      <c r="X71" s="4"/>
      <c r="Y71" s="4"/>
      <c r="Z71" s="4"/>
      <c r="AB71" s="4"/>
      <c r="AC71" s="4"/>
      <c r="AD71" s="60"/>
    </row>
    <row r="72" spans="1:30" x14ac:dyDescent="0.25">
      <c r="A72" s="102"/>
      <c r="B72" s="103"/>
      <c r="C72" s="103"/>
      <c r="D72" s="4" t="s">
        <v>225</v>
      </c>
      <c r="E72" s="5"/>
      <c r="U72" s="59"/>
      <c r="V72" s="4"/>
      <c r="W72" s="4"/>
      <c r="X72" s="4"/>
      <c r="Y72" s="4"/>
      <c r="Z72" s="4"/>
      <c r="AA72" s="4"/>
      <c r="AB72" s="4"/>
      <c r="AC72" s="4"/>
      <c r="AD72" s="60"/>
    </row>
    <row r="73" spans="1:30" x14ac:dyDescent="0.25">
      <c r="A73" s="102"/>
      <c r="B73" s="103"/>
      <c r="C73" s="103"/>
      <c r="D73" s="4" t="s">
        <v>226</v>
      </c>
      <c r="E73" s="5"/>
      <c r="U73" s="59"/>
      <c r="V73" s="4"/>
      <c r="W73" s="85" t="s">
        <v>299</v>
      </c>
      <c r="X73" s="85"/>
      <c r="Y73" s="85"/>
      <c r="Z73" s="85"/>
      <c r="AA73" s="85"/>
      <c r="AB73" s="85"/>
      <c r="AC73" s="4"/>
      <c r="AD73" s="60"/>
    </row>
    <row r="74" spans="1:30" x14ac:dyDescent="0.25">
      <c r="A74" s="102"/>
      <c r="B74" s="103" t="s">
        <v>227</v>
      </c>
      <c r="C74" s="103" t="s">
        <v>228</v>
      </c>
      <c r="D74" s="4" t="s">
        <v>229</v>
      </c>
      <c r="E74" s="5"/>
      <c r="U74" s="59"/>
      <c r="V74" s="4"/>
      <c r="W74" s="17"/>
      <c r="X74" s="9"/>
      <c r="Y74" s="9" t="s">
        <v>236</v>
      </c>
      <c r="Z74" s="9"/>
      <c r="AA74" s="9"/>
      <c r="AB74" s="10"/>
      <c r="AC74" s="4"/>
      <c r="AD74" s="60"/>
    </row>
    <row r="75" spans="1:30" x14ac:dyDescent="0.25">
      <c r="A75" s="102"/>
      <c r="B75" s="103"/>
      <c r="C75" s="103"/>
      <c r="D75" s="4" t="s">
        <v>230</v>
      </c>
      <c r="E75" s="5"/>
      <c r="U75" s="59"/>
      <c r="V75" s="4"/>
      <c r="W75" s="11"/>
      <c r="X75" s="4" t="s">
        <v>253</v>
      </c>
      <c r="Y75" s="4" t="s">
        <v>244</v>
      </c>
      <c r="Z75" s="18">
        <f>AA52</f>
        <v>0.5</v>
      </c>
      <c r="AA75" s="4"/>
      <c r="AB75" s="5"/>
      <c r="AC75" s="4"/>
      <c r="AD75" s="60"/>
    </row>
    <row r="76" spans="1:30" x14ac:dyDescent="0.25">
      <c r="A76" s="102"/>
      <c r="B76" s="103"/>
      <c r="C76" s="103" t="s">
        <v>231</v>
      </c>
      <c r="D76" s="4" t="s">
        <v>229</v>
      </c>
      <c r="E76" s="5"/>
      <c r="U76" s="59"/>
      <c r="V76" s="4"/>
      <c r="W76" s="11"/>
      <c r="X76" s="4" t="s">
        <v>260</v>
      </c>
      <c r="Y76" s="4" t="s">
        <v>237</v>
      </c>
      <c r="Z76" s="18">
        <f>Y55</f>
        <v>0.36216757499999996</v>
      </c>
      <c r="AA76" s="4"/>
      <c r="AB76" s="5"/>
      <c r="AC76" s="4"/>
      <c r="AD76" s="60"/>
    </row>
    <row r="77" spans="1:30" x14ac:dyDescent="0.25">
      <c r="A77" s="102"/>
      <c r="B77" s="103"/>
      <c r="C77" s="103"/>
      <c r="D77" s="4" t="s">
        <v>230</v>
      </c>
      <c r="E77" s="5"/>
      <c r="U77" s="59"/>
      <c r="V77" s="4"/>
      <c r="W77" s="11" t="s">
        <v>261</v>
      </c>
      <c r="X77" s="4" t="s">
        <v>256</v>
      </c>
      <c r="Y77" s="4" t="s">
        <v>149</v>
      </c>
      <c r="Z77" s="18">
        <f>Y57</f>
        <v>8.7860283070312489E-2</v>
      </c>
      <c r="AA77" s="4" t="s">
        <v>262</v>
      </c>
      <c r="AB77" s="5" t="s">
        <v>278</v>
      </c>
      <c r="AC77" s="4"/>
      <c r="AD77" s="60"/>
    </row>
    <row r="78" spans="1:30" x14ac:dyDescent="0.25">
      <c r="A78" s="102"/>
      <c r="B78" s="103"/>
      <c r="C78" s="103" t="s">
        <v>232</v>
      </c>
      <c r="D78" s="4" t="s">
        <v>233</v>
      </c>
      <c r="E78" s="5"/>
      <c r="U78" s="59"/>
      <c r="V78" s="4"/>
      <c r="W78" s="11" t="s">
        <v>4</v>
      </c>
      <c r="X78" s="4" t="s">
        <v>254</v>
      </c>
      <c r="Y78" s="4" t="s">
        <v>150</v>
      </c>
      <c r="Z78" s="18">
        <f>AC55</f>
        <v>0.5</v>
      </c>
      <c r="AA78" s="4"/>
      <c r="AB78" s="5"/>
      <c r="AC78" s="4"/>
      <c r="AD78" s="60"/>
    </row>
    <row r="79" spans="1:30" x14ac:dyDescent="0.25">
      <c r="A79" s="102"/>
      <c r="B79" s="103"/>
      <c r="C79" s="103"/>
      <c r="D79" s="4" t="s">
        <v>234</v>
      </c>
      <c r="E79" s="5"/>
      <c r="U79" s="59"/>
      <c r="V79" s="4"/>
      <c r="W79" s="11" t="s">
        <v>5</v>
      </c>
      <c r="X79" s="4" t="s">
        <v>257</v>
      </c>
      <c r="Y79" s="4" t="s">
        <v>152</v>
      </c>
      <c r="Z79" s="61">
        <f>AA61</f>
        <v>0.29939435546805659</v>
      </c>
      <c r="AA79" s="4" t="s">
        <v>262</v>
      </c>
      <c r="AB79" s="5" t="s">
        <v>279</v>
      </c>
      <c r="AC79" s="4"/>
      <c r="AD79" s="60"/>
    </row>
    <row r="80" spans="1:30" x14ac:dyDescent="0.25">
      <c r="A80" s="106"/>
      <c r="B80" s="107"/>
      <c r="C80" s="107"/>
      <c r="D80" s="6" t="s">
        <v>235</v>
      </c>
      <c r="E80" s="7"/>
      <c r="U80" s="59"/>
      <c r="V80" s="4"/>
      <c r="W80" s="11" t="s">
        <v>6</v>
      </c>
      <c r="X80" s="4" t="s">
        <v>258</v>
      </c>
      <c r="Y80" s="4" t="s">
        <v>154</v>
      </c>
      <c r="Z80" s="18">
        <f>AA68</f>
        <v>0.36094976571729187</v>
      </c>
      <c r="AA80" s="4"/>
      <c r="AB80" s="5"/>
      <c r="AC80" s="4"/>
      <c r="AD80" s="60"/>
    </row>
    <row r="81" spans="21:30" x14ac:dyDescent="0.25">
      <c r="U81" s="59"/>
      <c r="V81" s="4"/>
      <c r="W81" s="12" t="s">
        <v>7</v>
      </c>
      <c r="X81" s="6" t="s">
        <v>259</v>
      </c>
      <c r="Y81" s="6" t="s">
        <v>148</v>
      </c>
      <c r="Z81" s="65">
        <f>AA70</f>
        <v>0.35843760046662015</v>
      </c>
      <c r="AA81" s="6" t="s">
        <v>3</v>
      </c>
      <c r="AB81" s="7" t="s">
        <v>280</v>
      </c>
      <c r="AC81" s="4"/>
      <c r="AD81" s="60"/>
    </row>
    <row r="82" spans="21:30" x14ac:dyDescent="0.25">
      <c r="U82" s="59"/>
      <c r="V82" s="4"/>
      <c r="W82" s="4"/>
      <c r="X82" s="4"/>
      <c r="Y82" s="4"/>
      <c r="Z82" s="4"/>
      <c r="AA82" s="4"/>
      <c r="AB82" s="4"/>
      <c r="AC82" s="4"/>
      <c r="AD82" s="60"/>
    </row>
    <row r="83" spans="21:30" ht="15.75" thickBot="1" x14ac:dyDescent="0.3">
      <c r="U83" s="62"/>
      <c r="V83" s="63"/>
      <c r="W83" s="63"/>
      <c r="X83" s="63"/>
      <c r="Y83" s="63"/>
      <c r="Z83" s="63"/>
      <c r="AA83" s="63"/>
      <c r="AB83" s="63"/>
      <c r="AC83" s="63"/>
      <c r="AD83" s="64"/>
    </row>
  </sheetData>
  <mergeCells count="27">
    <mergeCell ref="J15:R15"/>
    <mergeCell ref="Y15:AE15"/>
    <mergeCell ref="AL15:AR15"/>
    <mergeCell ref="I1:T1"/>
    <mergeCell ref="V1:AG1"/>
    <mergeCell ref="AJ1:AU1"/>
    <mergeCell ref="C74:C75"/>
    <mergeCell ref="C76:C77"/>
    <mergeCell ref="C78:C80"/>
    <mergeCell ref="A30:E30"/>
    <mergeCell ref="A1:D1"/>
    <mergeCell ref="W73:AB73"/>
    <mergeCell ref="T32:AE32"/>
    <mergeCell ref="Y46:AB46"/>
    <mergeCell ref="A58:A63"/>
    <mergeCell ref="B58:B60"/>
    <mergeCell ref="B61:B63"/>
    <mergeCell ref="C61:C63"/>
    <mergeCell ref="A56:E56"/>
    <mergeCell ref="U43:AD43"/>
    <mergeCell ref="A64:A80"/>
    <mergeCell ref="B64:B73"/>
    <mergeCell ref="C64:C65"/>
    <mergeCell ref="C66:C67"/>
    <mergeCell ref="C68:C70"/>
    <mergeCell ref="C71:C73"/>
    <mergeCell ref="B74:B8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H92"/>
  <sheetViews>
    <sheetView zoomScale="85" zoomScaleNormal="85" workbookViewId="0">
      <selection activeCell="F3" sqref="F3:H4"/>
    </sheetView>
  </sheetViews>
  <sheetFormatPr defaultColWidth="8.85546875" defaultRowHeight="15" x14ac:dyDescent="0.25"/>
  <cols>
    <col min="1" max="1" width="8.140625" bestFit="1" customWidth="1"/>
    <col min="2" max="2" width="4.140625" customWidth="1"/>
    <col min="3" max="3" width="4.7109375" customWidth="1"/>
    <col min="4" max="7" width="4.140625" customWidth="1"/>
    <col min="8" max="8" width="10.7109375" customWidth="1"/>
    <col min="9" max="17" width="4.140625" customWidth="1"/>
    <col min="18" max="51" width="3.85546875" customWidth="1"/>
    <col min="52" max="52" width="4.140625" customWidth="1"/>
    <col min="53" max="53" width="4" bestFit="1" customWidth="1"/>
    <col min="54" max="54" width="4.140625" bestFit="1" customWidth="1"/>
    <col min="55" max="55" width="4.28515625" customWidth="1"/>
    <col min="56" max="57" width="4.140625" bestFit="1" customWidth="1"/>
    <col min="58" max="58" width="4.140625" customWidth="1"/>
    <col min="59" max="60" width="4.140625" bestFit="1" customWidth="1"/>
    <col min="61" max="61" width="3.7109375" bestFit="1" customWidth="1"/>
    <col min="62" max="63" width="4.140625" bestFit="1" customWidth="1"/>
    <col min="64" max="64" width="3.7109375" bestFit="1" customWidth="1"/>
    <col min="65" max="71" width="4.140625" bestFit="1" customWidth="1"/>
  </cols>
  <sheetData>
    <row r="1" spans="1:60" x14ac:dyDescent="0.25">
      <c r="A1" s="85" t="s">
        <v>281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10"/>
      <c r="P1" s="110"/>
      <c r="Q1" s="110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</row>
    <row r="2" spans="1:6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3" t="s">
        <v>89</v>
      </c>
      <c r="P2" s="74"/>
      <c r="Q2" s="75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</row>
    <row r="3" spans="1:60" x14ac:dyDescent="0.25">
      <c r="A3" s="85" t="s">
        <v>307</v>
      </c>
      <c r="B3" s="85"/>
      <c r="C3" s="85"/>
      <c r="F3" s="112" t="s">
        <v>322</v>
      </c>
      <c r="G3" s="112"/>
      <c r="H3" s="112"/>
      <c r="P3" t="s">
        <v>88</v>
      </c>
      <c r="Q3" t="s">
        <v>87</v>
      </c>
      <c r="T3" s="82" t="s">
        <v>319</v>
      </c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4"/>
      <c r="AO3" s="82" t="s">
        <v>320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4"/>
    </row>
    <row r="4" spans="1:60" x14ac:dyDescent="0.25">
      <c r="B4" t="s">
        <v>90</v>
      </c>
      <c r="C4" t="s">
        <v>91</v>
      </c>
      <c r="F4" s="111" t="s">
        <v>323</v>
      </c>
      <c r="G4" s="111"/>
      <c r="H4" s="111"/>
      <c r="O4" s="89">
        <v>1</v>
      </c>
      <c r="P4" s="9" t="s">
        <v>19</v>
      </c>
      <c r="Q4" s="10">
        <v>2</v>
      </c>
      <c r="T4" s="17"/>
      <c r="U4" s="9"/>
      <c r="V4" s="92" t="s">
        <v>30</v>
      </c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4"/>
      <c r="AO4" s="17"/>
      <c r="AP4" s="9"/>
      <c r="AQ4" s="92" t="s">
        <v>30</v>
      </c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4"/>
    </row>
    <row r="5" spans="1:60" x14ac:dyDescent="0.25">
      <c r="A5" s="10" t="s">
        <v>10</v>
      </c>
      <c r="B5" s="24">
        <v>100</v>
      </c>
      <c r="O5" s="90"/>
      <c r="P5" s="4" t="s">
        <v>20</v>
      </c>
      <c r="Q5" s="5">
        <v>1</v>
      </c>
      <c r="T5" s="11"/>
      <c r="U5" s="22" t="s">
        <v>28</v>
      </c>
      <c r="V5" s="12" t="s">
        <v>10</v>
      </c>
      <c r="W5" s="6" t="s">
        <v>11</v>
      </c>
      <c r="X5" s="6" t="s">
        <v>12</v>
      </c>
      <c r="Y5" s="6" t="s">
        <v>13</v>
      </c>
      <c r="Z5" s="6" t="s">
        <v>14</v>
      </c>
      <c r="AA5" s="6" t="s">
        <v>15</v>
      </c>
      <c r="AB5" s="6" t="s">
        <v>16</v>
      </c>
      <c r="AC5" s="6" t="s">
        <v>17</v>
      </c>
      <c r="AD5" s="6" t="s">
        <v>18</v>
      </c>
      <c r="AE5" s="6" t="s">
        <v>19</v>
      </c>
      <c r="AF5" s="6" t="s">
        <v>20</v>
      </c>
      <c r="AG5" s="6" t="s">
        <v>21</v>
      </c>
      <c r="AH5" s="6" t="s">
        <v>22</v>
      </c>
      <c r="AI5" s="6" t="s">
        <v>23</v>
      </c>
      <c r="AJ5" s="6" t="s">
        <v>24</v>
      </c>
      <c r="AK5" s="6" t="s">
        <v>25</v>
      </c>
      <c r="AL5" s="6" t="s">
        <v>26</v>
      </c>
      <c r="AM5" s="7" t="s">
        <v>27</v>
      </c>
      <c r="AO5" s="11"/>
      <c r="AP5" s="22" t="s">
        <v>31</v>
      </c>
      <c r="AQ5" s="12" t="s">
        <v>10</v>
      </c>
      <c r="AR5" s="6" t="s">
        <v>11</v>
      </c>
      <c r="AS5" s="6" t="s">
        <v>12</v>
      </c>
      <c r="AT5" s="6" t="s">
        <v>13</v>
      </c>
      <c r="AU5" s="6" t="s">
        <v>14</v>
      </c>
      <c r="AV5" s="6" t="s">
        <v>15</v>
      </c>
      <c r="AW5" s="6" t="s">
        <v>16</v>
      </c>
      <c r="AX5" s="6" t="s">
        <v>17</v>
      </c>
      <c r="AY5" s="6" t="s">
        <v>18</v>
      </c>
      <c r="AZ5" s="6" t="s">
        <v>19</v>
      </c>
      <c r="BA5" s="6" t="s">
        <v>20</v>
      </c>
      <c r="BB5" s="6" t="s">
        <v>21</v>
      </c>
      <c r="BC5" s="6" t="s">
        <v>22</v>
      </c>
      <c r="BD5" s="6" t="s">
        <v>23</v>
      </c>
      <c r="BE5" s="6" t="s">
        <v>24</v>
      </c>
      <c r="BF5" s="6" t="s">
        <v>25</v>
      </c>
      <c r="BG5" s="6" t="s">
        <v>26</v>
      </c>
      <c r="BH5" s="7" t="s">
        <v>27</v>
      </c>
    </row>
    <row r="6" spans="1:60" x14ac:dyDescent="0.25">
      <c r="A6" s="5" t="s">
        <v>11</v>
      </c>
      <c r="B6" s="24">
        <v>100</v>
      </c>
      <c r="O6" s="91"/>
      <c r="P6" s="4" t="s">
        <v>21</v>
      </c>
      <c r="Q6" s="5">
        <v>2</v>
      </c>
      <c r="T6" s="89" t="s">
        <v>29</v>
      </c>
      <c r="U6" s="10" t="s">
        <v>10</v>
      </c>
      <c r="V6" s="4"/>
      <c r="W6" s="4"/>
      <c r="X6" s="4"/>
      <c r="Y6" s="25">
        <v>0.3</v>
      </c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5"/>
      <c r="AO6" s="89" t="s">
        <v>29</v>
      </c>
      <c r="AP6" s="10" t="s">
        <v>10</v>
      </c>
      <c r="AQ6" s="4"/>
      <c r="AR6" s="4"/>
      <c r="AS6" s="4"/>
      <c r="AT6" s="25">
        <v>50</v>
      </c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5"/>
    </row>
    <row r="7" spans="1:60" x14ac:dyDescent="0.25">
      <c r="A7" s="5" t="s">
        <v>12</v>
      </c>
      <c r="B7" s="24">
        <v>100</v>
      </c>
      <c r="G7" t="s">
        <v>190</v>
      </c>
      <c r="H7" s="66">
        <f>'Cost Analysis'!L17</f>
        <v>34821.498185262761</v>
      </c>
      <c r="O7" s="89">
        <v>2</v>
      </c>
      <c r="P7" s="9" t="s">
        <v>13</v>
      </c>
      <c r="Q7" s="10">
        <v>6</v>
      </c>
      <c r="T7" s="90"/>
      <c r="U7" s="5" t="s">
        <v>11</v>
      </c>
      <c r="V7" s="4"/>
      <c r="W7" s="4"/>
      <c r="X7" s="4"/>
      <c r="Y7" s="25">
        <v>0.3</v>
      </c>
      <c r="Z7" s="25">
        <v>0.5</v>
      </c>
      <c r="AA7" s="25">
        <v>0.9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O7" s="90"/>
      <c r="AP7" s="5" t="s">
        <v>11</v>
      </c>
      <c r="AQ7" s="4"/>
      <c r="AR7" s="4"/>
      <c r="AS7" s="4"/>
      <c r="AT7" s="25">
        <v>50</v>
      </c>
      <c r="AU7" s="25">
        <v>50</v>
      </c>
      <c r="AV7" s="25">
        <v>10</v>
      </c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5"/>
    </row>
    <row r="8" spans="1:60" x14ac:dyDescent="0.25">
      <c r="A8" s="5" t="s">
        <v>13</v>
      </c>
      <c r="B8" s="34">
        <f>B61*C8</f>
        <v>70</v>
      </c>
      <c r="C8" s="32">
        <v>0.7</v>
      </c>
      <c r="O8" s="90"/>
      <c r="P8" s="4" t="s">
        <v>14</v>
      </c>
      <c r="Q8" s="5">
        <v>3</v>
      </c>
      <c r="T8" s="90"/>
      <c r="U8" s="5" t="s">
        <v>12</v>
      </c>
      <c r="V8" s="4"/>
      <c r="W8" s="4"/>
      <c r="X8" s="4"/>
      <c r="Y8" s="4"/>
      <c r="Z8" s="4"/>
      <c r="AA8" s="25">
        <v>0.8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5"/>
      <c r="AO8" s="90"/>
      <c r="AP8" s="5" t="s">
        <v>12</v>
      </c>
      <c r="AQ8" s="4"/>
      <c r="AR8" s="4"/>
      <c r="AS8" s="4"/>
      <c r="AT8" s="4"/>
      <c r="AU8" s="4"/>
      <c r="AV8" s="25">
        <v>10</v>
      </c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5"/>
    </row>
    <row r="9" spans="1:60" x14ac:dyDescent="0.25">
      <c r="A9" s="5" t="s">
        <v>14</v>
      </c>
      <c r="B9" s="34">
        <f>T58*C9</f>
        <v>70</v>
      </c>
      <c r="C9" s="32">
        <v>0.7</v>
      </c>
      <c r="G9" t="s">
        <v>152</v>
      </c>
      <c r="H9" s="33">
        <f>'Attack Graph'!$Z$79</f>
        <v>0.29939435546805659</v>
      </c>
      <c r="I9" t="s">
        <v>191</v>
      </c>
      <c r="O9" s="91"/>
      <c r="P9" s="6" t="s">
        <v>15</v>
      </c>
      <c r="Q9" s="7">
        <v>6</v>
      </c>
      <c r="T9" s="90"/>
      <c r="U9" s="5" t="s">
        <v>13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5">
        <v>1</v>
      </c>
      <c r="AI9" s="4"/>
      <c r="AJ9" s="4"/>
      <c r="AK9" s="4"/>
      <c r="AL9" s="4"/>
      <c r="AM9" s="5"/>
      <c r="AO9" s="90"/>
      <c r="AP9" s="5" t="s">
        <v>13</v>
      </c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25">
        <v>0</v>
      </c>
      <c r="BD9" s="4"/>
      <c r="BE9" s="4"/>
      <c r="BF9" s="4"/>
      <c r="BG9" s="4"/>
      <c r="BH9" s="5"/>
    </row>
    <row r="10" spans="1:60" x14ac:dyDescent="0.25">
      <c r="A10" s="5" t="s">
        <v>15</v>
      </c>
      <c r="B10" s="34">
        <f>AC61*C10</f>
        <v>58.8</v>
      </c>
      <c r="C10" s="32">
        <v>0.7</v>
      </c>
      <c r="G10" t="s">
        <v>148</v>
      </c>
      <c r="H10" s="33">
        <f>'Attack Graph'!$Z$81</f>
        <v>0.35843760046662015</v>
      </c>
      <c r="I10" t="s">
        <v>192</v>
      </c>
      <c r="O10" s="90">
        <v>3</v>
      </c>
      <c r="P10" s="4" t="s">
        <v>22</v>
      </c>
      <c r="Q10" s="5">
        <v>2</v>
      </c>
      <c r="T10" s="90"/>
      <c r="U10" s="5" t="s">
        <v>14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5">
        <v>1</v>
      </c>
      <c r="AI10" s="25">
        <v>1</v>
      </c>
      <c r="AJ10" s="25">
        <v>1</v>
      </c>
      <c r="AK10" s="4"/>
      <c r="AL10" s="4"/>
      <c r="AM10" s="5"/>
      <c r="AO10" s="90"/>
      <c r="AP10" s="5" t="s">
        <v>14</v>
      </c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25">
        <v>0</v>
      </c>
      <c r="BD10" s="25">
        <v>0</v>
      </c>
      <c r="BE10" s="25">
        <v>0</v>
      </c>
      <c r="BF10" s="4"/>
      <c r="BG10" s="4"/>
      <c r="BH10" s="5"/>
    </row>
    <row r="11" spans="1:60" x14ac:dyDescent="0.25">
      <c r="A11" s="5" t="s">
        <v>16</v>
      </c>
      <c r="B11" s="24">
        <v>100</v>
      </c>
      <c r="O11" s="90"/>
      <c r="P11" s="4" t="s">
        <v>23</v>
      </c>
      <c r="Q11" s="5">
        <v>1</v>
      </c>
      <c r="T11" s="90"/>
      <c r="U11" s="5" t="s">
        <v>15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25">
        <v>1</v>
      </c>
      <c r="AK11" s="4"/>
      <c r="AL11" s="4"/>
      <c r="AM11" s="5"/>
      <c r="AO11" s="90"/>
      <c r="AP11" s="5" t="s">
        <v>15</v>
      </c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25">
        <v>0</v>
      </c>
      <c r="BF11" s="4"/>
      <c r="BG11" s="4"/>
      <c r="BH11" s="5"/>
    </row>
    <row r="12" spans="1:60" x14ac:dyDescent="0.25">
      <c r="A12" s="5" t="s">
        <v>17</v>
      </c>
      <c r="B12" s="24">
        <v>100</v>
      </c>
      <c r="O12" s="90"/>
      <c r="P12" s="4" t="s">
        <v>24</v>
      </c>
      <c r="Q12" s="5">
        <v>2</v>
      </c>
      <c r="T12" s="90"/>
      <c r="U12" s="5" t="s">
        <v>16</v>
      </c>
      <c r="V12" s="4"/>
      <c r="W12" s="4"/>
      <c r="X12" s="4"/>
      <c r="Y12" s="25">
        <v>0.8</v>
      </c>
      <c r="Z12" s="4"/>
      <c r="AA12" s="4"/>
      <c r="AB12" s="4"/>
      <c r="AC12" s="4"/>
      <c r="AD12" s="4"/>
      <c r="AE12" s="25">
        <v>0.8</v>
      </c>
      <c r="AF12" s="4"/>
      <c r="AG12" s="4"/>
      <c r="AH12" s="4"/>
      <c r="AI12" s="4"/>
      <c r="AJ12" s="4"/>
      <c r="AK12" s="4"/>
      <c r="AL12" s="4"/>
      <c r="AM12" s="5"/>
      <c r="AO12" s="90"/>
      <c r="AP12" s="5" t="s">
        <v>16</v>
      </c>
      <c r="AQ12" s="4"/>
      <c r="AR12" s="4"/>
      <c r="AS12" s="4"/>
      <c r="AT12" s="25">
        <v>20</v>
      </c>
      <c r="AU12" s="4"/>
      <c r="AV12" s="4"/>
      <c r="AW12" s="4"/>
      <c r="AX12" s="4"/>
      <c r="AY12" s="4"/>
      <c r="AZ12" s="25">
        <v>20</v>
      </c>
      <c r="BA12" s="4"/>
      <c r="BB12" s="4"/>
      <c r="BC12" s="4"/>
      <c r="BD12" s="4"/>
      <c r="BE12" s="4"/>
      <c r="BF12" s="4"/>
      <c r="BG12" s="4"/>
      <c r="BH12" s="5"/>
    </row>
    <row r="13" spans="1:60" x14ac:dyDescent="0.25">
      <c r="A13" s="5" t="s">
        <v>18</v>
      </c>
      <c r="B13" s="24">
        <v>100</v>
      </c>
      <c r="H13" s="85" t="s">
        <v>308</v>
      </c>
      <c r="I13" s="85"/>
      <c r="J13" s="85"/>
      <c r="K13" s="85"/>
      <c r="O13" s="89">
        <v>4</v>
      </c>
      <c r="P13" s="9" t="s">
        <v>25</v>
      </c>
      <c r="Q13" s="10">
        <v>2</v>
      </c>
      <c r="T13" s="90"/>
      <c r="U13" s="5" t="s">
        <v>17</v>
      </c>
      <c r="V13" s="4"/>
      <c r="W13" s="4"/>
      <c r="X13" s="4"/>
      <c r="Y13" s="25">
        <v>0.9</v>
      </c>
      <c r="Z13" s="25">
        <v>0.8</v>
      </c>
      <c r="AA13" s="25">
        <v>0.5</v>
      </c>
      <c r="AB13" s="4"/>
      <c r="AC13" s="4"/>
      <c r="AD13" s="4"/>
      <c r="AE13" s="25">
        <v>1</v>
      </c>
      <c r="AF13" s="25">
        <v>0.9</v>
      </c>
      <c r="AG13" s="25">
        <v>0.5</v>
      </c>
      <c r="AH13" s="4"/>
      <c r="AI13" s="4"/>
      <c r="AJ13" s="4"/>
      <c r="AK13" s="4"/>
      <c r="AL13" s="4"/>
      <c r="AM13" s="5"/>
      <c r="AO13" s="90"/>
      <c r="AP13" s="5" t="s">
        <v>17</v>
      </c>
      <c r="AQ13" s="4"/>
      <c r="AR13" s="4"/>
      <c r="AS13" s="4"/>
      <c r="AT13" s="25">
        <v>10</v>
      </c>
      <c r="AU13" s="25">
        <v>20</v>
      </c>
      <c r="AV13" s="25">
        <v>30</v>
      </c>
      <c r="AW13" s="4"/>
      <c r="AX13" s="4"/>
      <c r="AY13" s="4"/>
      <c r="AZ13" s="25">
        <v>0</v>
      </c>
      <c r="BA13" s="25">
        <v>10</v>
      </c>
      <c r="BB13" s="25">
        <v>50</v>
      </c>
      <c r="BC13" s="4"/>
      <c r="BD13" s="4"/>
      <c r="BE13" s="4"/>
      <c r="BF13" s="4"/>
      <c r="BG13" s="4"/>
      <c r="BH13" s="5"/>
    </row>
    <row r="14" spans="1:60" x14ac:dyDescent="0.25">
      <c r="A14" s="5" t="s">
        <v>19</v>
      </c>
      <c r="B14" s="34">
        <f>B44*C14</f>
        <v>100</v>
      </c>
      <c r="C14" s="32">
        <v>1</v>
      </c>
      <c r="O14" s="90"/>
      <c r="P14" s="4" t="s">
        <v>26</v>
      </c>
      <c r="Q14" s="5">
        <v>1</v>
      </c>
      <c r="T14" s="90"/>
      <c r="U14" s="5" t="s">
        <v>18</v>
      </c>
      <c r="V14" s="4"/>
      <c r="W14" s="4"/>
      <c r="X14" s="4"/>
      <c r="Y14" s="4"/>
      <c r="Z14" s="4"/>
      <c r="AA14" s="25">
        <v>0.3</v>
      </c>
      <c r="AB14" s="4"/>
      <c r="AC14" s="4"/>
      <c r="AD14" s="4"/>
      <c r="AE14" s="4"/>
      <c r="AF14" s="4"/>
      <c r="AG14" s="25">
        <v>0.5</v>
      </c>
      <c r="AH14" s="4"/>
      <c r="AI14" s="4"/>
      <c r="AJ14" s="4"/>
      <c r="AK14" s="4"/>
      <c r="AL14" s="4"/>
      <c r="AM14" s="5"/>
      <c r="AO14" s="90"/>
      <c r="AP14" s="5" t="s">
        <v>18</v>
      </c>
      <c r="AQ14" s="4"/>
      <c r="AR14" s="4"/>
      <c r="AS14" s="4"/>
      <c r="AT14" s="4"/>
      <c r="AU14" s="4"/>
      <c r="AV14" s="25">
        <v>30</v>
      </c>
      <c r="AW14" s="4"/>
      <c r="AX14" s="4"/>
      <c r="AY14" s="4"/>
      <c r="AZ14" s="4"/>
      <c r="BA14" s="4"/>
      <c r="BB14" s="25">
        <v>50</v>
      </c>
      <c r="BC14" s="4"/>
      <c r="BD14" s="4"/>
      <c r="BE14" s="4"/>
      <c r="BF14" s="4"/>
      <c r="BG14" s="4"/>
      <c r="BH14" s="5"/>
    </row>
    <row r="15" spans="1:60" x14ac:dyDescent="0.25">
      <c r="A15" s="5" t="s">
        <v>20</v>
      </c>
      <c r="B15" s="34">
        <f>J43*C15</f>
        <v>100</v>
      </c>
      <c r="C15" s="32">
        <v>1</v>
      </c>
      <c r="O15" s="91"/>
      <c r="P15" s="6" t="s">
        <v>27</v>
      </c>
      <c r="Q15" s="7">
        <v>2</v>
      </c>
      <c r="T15" s="90"/>
      <c r="U15" s="5" t="s">
        <v>19</v>
      </c>
      <c r="V15" s="4"/>
      <c r="W15" s="4"/>
      <c r="X15" s="4"/>
      <c r="Y15" s="25">
        <v>0.5</v>
      </c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O15" s="90"/>
      <c r="AP15" s="5" t="s">
        <v>19</v>
      </c>
      <c r="AQ15" s="4"/>
      <c r="AR15" s="4"/>
      <c r="AS15" s="4"/>
      <c r="AT15" s="25">
        <v>25</v>
      </c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5"/>
    </row>
    <row r="16" spans="1:60" x14ac:dyDescent="0.25">
      <c r="A16" s="5" t="s">
        <v>21</v>
      </c>
      <c r="B16" s="34">
        <f>M44*C16</f>
        <v>64</v>
      </c>
      <c r="C16" s="32">
        <v>0.64</v>
      </c>
      <c r="T16" s="90"/>
      <c r="U16" s="5" t="s">
        <v>20</v>
      </c>
      <c r="V16" s="4"/>
      <c r="W16" s="4"/>
      <c r="X16" s="4"/>
      <c r="Y16" s="25">
        <v>0.1</v>
      </c>
      <c r="Z16" s="25">
        <v>1</v>
      </c>
      <c r="AA16" s="25">
        <v>0.1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O16" s="90"/>
      <c r="AP16" s="5" t="s">
        <v>20</v>
      </c>
      <c r="AQ16" s="4"/>
      <c r="AR16" s="4"/>
      <c r="AS16" s="4"/>
      <c r="AT16" s="25">
        <v>50</v>
      </c>
      <c r="AU16" s="25">
        <v>0</v>
      </c>
      <c r="AV16" s="25">
        <v>80</v>
      </c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5"/>
    </row>
    <row r="17" spans="1:60" x14ac:dyDescent="0.25">
      <c r="A17" s="5" t="s">
        <v>22</v>
      </c>
      <c r="B17" s="34">
        <f>B77*C17</f>
        <v>70</v>
      </c>
      <c r="C17" s="32">
        <v>1</v>
      </c>
      <c r="T17" s="90"/>
      <c r="U17" s="5" t="s">
        <v>21</v>
      </c>
      <c r="V17" s="4"/>
      <c r="W17" s="4"/>
      <c r="X17" s="4"/>
      <c r="Y17" s="4"/>
      <c r="Z17" s="4"/>
      <c r="AA17" s="25">
        <v>0.8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O17" s="90"/>
      <c r="AP17" s="5" t="s">
        <v>21</v>
      </c>
      <c r="AQ17" s="4"/>
      <c r="AR17" s="4"/>
      <c r="AS17" s="4"/>
      <c r="AT17" s="4"/>
      <c r="AU17" s="4"/>
      <c r="AV17" s="25">
        <v>20</v>
      </c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5"/>
    </row>
    <row r="18" spans="1:60" x14ac:dyDescent="0.25">
      <c r="A18" s="5" t="s">
        <v>23</v>
      </c>
      <c r="B18" s="34">
        <f>J76*C18</f>
        <v>70</v>
      </c>
      <c r="C18" s="32">
        <v>1</v>
      </c>
      <c r="T18" s="90"/>
      <c r="U18" s="5" t="s">
        <v>22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25">
        <v>0.4</v>
      </c>
      <c r="AL18" s="4"/>
      <c r="AM18" s="5"/>
      <c r="AO18" s="90"/>
      <c r="AP18" s="5" t="s">
        <v>22</v>
      </c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25">
        <v>60</v>
      </c>
      <c r="BG18" s="4"/>
      <c r="BH18" s="5"/>
    </row>
    <row r="19" spans="1:60" x14ac:dyDescent="0.25">
      <c r="A19" s="5" t="s">
        <v>24</v>
      </c>
      <c r="B19" s="34">
        <f>M77*C19</f>
        <v>58.8</v>
      </c>
      <c r="C19" s="32">
        <v>1</v>
      </c>
      <c r="T19" s="90"/>
      <c r="U19" s="5" t="s">
        <v>23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25">
        <v>0.4</v>
      </c>
      <c r="AL19" s="25">
        <v>0.4</v>
      </c>
      <c r="AM19" s="26">
        <v>0.4</v>
      </c>
      <c r="AO19" s="90"/>
      <c r="AP19" s="5" t="s">
        <v>23</v>
      </c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25">
        <v>55</v>
      </c>
      <c r="BG19" s="25">
        <v>60</v>
      </c>
      <c r="BH19" s="26">
        <v>55</v>
      </c>
    </row>
    <row r="20" spans="1:60" x14ac:dyDescent="0.25">
      <c r="A20" s="5" t="s">
        <v>25</v>
      </c>
      <c r="B20" s="34">
        <f>B92*C20</f>
        <v>88</v>
      </c>
      <c r="C20" s="32">
        <v>1</v>
      </c>
      <c r="T20" s="90"/>
      <c r="U20" s="5" t="s">
        <v>24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26">
        <v>0.4</v>
      </c>
      <c r="AO20" s="90"/>
      <c r="AP20" s="5" t="s">
        <v>24</v>
      </c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26">
        <v>60</v>
      </c>
    </row>
    <row r="21" spans="1:60" x14ac:dyDescent="0.25">
      <c r="A21" s="5" t="s">
        <v>26</v>
      </c>
      <c r="B21" s="34">
        <f>J91*C21</f>
        <v>88</v>
      </c>
      <c r="C21" s="32">
        <v>1</v>
      </c>
      <c r="T21" s="90"/>
      <c r="U21" s="5" t="s">
        <v>25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O21" s="90"/>
      <c r="AP21" s="5" t="s">
        <v>25</v>
      </c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5"/>
    </row>
    <row r="22" spans="1:60" x14ac:dyDescent="0.25">
      <c r="A22" s="7" t="s">
        <v>27</v>
      </c>
      <c r="B22" s="34">
        <f>M92*C22</f>
        <v>85.759999999999991</v>
      </c>
      <c r="C22" s="32">
        <v>1</v>
      </c>
      <c r="T22" s="90"/>
      <c r="U22" s="5" t="s">
        <v>26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5"/>
      <c r="AO22" s="90"/>
      <c r="AP22" s="5" t="s">
        <v>26</v>
      </c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5"/>
    </row>
    <row r="23" spans="1:60" x14ac:dyDescent="0.25">
      <c r="T23" s="91"/>
      <c r="U23" s="7" t="s">
        <v>27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7"/>
      <c r="AO23" s="91"/>
      <c r="AP23" s="7" t="s">
        <v>27</v>
      </c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7"/>
    </row>
    <row r="32" spans="1:60" x14ac:dyDescent="0.25">
      <c r="A32" s="86" t="s">
        <v>309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8"/>
    </row>
    <row r="33" spans="1:44" x14ac:dyDescent="0.25">
      <c r="A33" s="1" t="s">
        <v>19</v>
      </c>
      <c r="I33" s="1" t="s">
        <v>20</v>
      </c>
      <c r="L33" s="1" t="s">
        <v>21</v>
      </c>
    </row>
    <row r="34" spans="1:44" x14ac:dyDescent="0.25">
      <c r="A34" s="98" t="s">
        <v>60</v>
      </c>
      <c r="B34" s="100"/>
      <c r="C34" s="100"/>
      <c r="D34" s="100"/>
      <c r="E34" s="99"/>
      <c r="I34" s="98" t="s">
        <v>59</v>
      </c>
      <c r="J34" s="99"/>
      <c r="L34" s="98" t="s">
        <v>60</v>
      </c>
      <c r="M34" s="100"/>
      <c r="N34" s="100"/>
      <c r="O34" s="100"/>
      <c r="P34" s="99"/>
    </row>
    <row r="35" spans="1:44" x14ac:dyDescent="0.25">
      <c r="A35" s="11"/>
      <c r="B35" s="4" t="s">
        <v>58</v>
      </c>
      <c r="C35" s="4"/>
      <c r="D35" s="4"/>
      <c r="E35" s="5"/>
      <c r="I35" s="11"/>
      <c r="J35" s="5" t="s">
        <v>58</v>
      </c>
      <c r="L35" s="11"/>
      <c r="M35" s="4" t="s">
        <v>58</v>
      </c>
      <c r="N35" s="4"/>
      <c r="O35" s="4"/>
      <c r="P35" s="5"/>
    </row>
    <row r="36" spans="1:44" x14ac:dyDescent="0.25">
      <c r="A36" s="11" t="s">
        <v>16</v>
      </c>
      <c r="B36" s="4">
        <f>B11</f>
        <v>100</v>
      </c>
      <c r="C36" s="4"/>
      <c r="D36" s="4" t="s">
        <v>17</v>
      </c>
      <c r="E36" s="5">
        <f>B12</f>
        <v>100</v>
      </c>
      <c r="I36" s="11" t="s">
        <v>17</v>
      </c>
      <c r="J36" s="5">
        <f>B12</f>
        <v>100</v>
      </c>
      <c r="L36" s="11" t="s">
        <v>17</v>
      </c>
      <c r="M36" s="4">
        <f>B12</f>
        <v>100</v>
      </c>
      <c r="N36" s="4"/>
      <c r="O36" s="4" t="s">
        <v>18</v>
      </c>
      <c r="P36" s="5">
        <f>B13</f>
        <v>100</v>
      </c>
    </row>
    <row r="37" spans="1:44" x14ac:dyDescent="0.25">
      <c r="A37" s="11" t="s">
        <v>65</v>
      </c>
      <c r="B37" s="4">
        <f>AE12</f>
        <v>0.8</v>
      </c>
      <c r="C37" s="4"/>
      <c r="D37" s="4" t="s">
        <v>72</v>
      </c>
      <c r="E37" s="5">
        <f>AE13</f>
        <v>1</v>
      </c>
      <c r="I37" s="11" t="s">
        <v>52</v>
      </c>
      <c r="J37" s="5">
        <f>AF13</f>
        <v>0.9</v>
      </c>
      <c r="L37" s="11" t="s">
        <v>65</v>
      </c>
      <c r="M37" s="4">
        <f>AG13</f>
        <v>0.5</v>
      </c>
      <c r="N37" s="4"/>
      <c r="O37" s="4" t="s">
        <v>72</v>
      </c>
      <c r="P37" s="5">
        <f>AG14</f>
        <v>0.5</v>
      </c>
    </row>
    <row r="38" spans="1:44" x14ac:dyDescent="0.25">
      <c r="A38" s="11" t="s">
        <v>66</v>
      </c>
      <c r="B38" s="4">
        <f>AZ12</f>
        <v>20</v>
      </c>
      <c r="C38" s="4"/>
      <c r="D38" s="4" t="s">
        <v>73</v>
      </c>
      <c r="E38" s="5">
        <f>AZ13</f>
        <v>0</v>
      </c>
      <c r="I38" s="11" t="s">
        <v>53</v>
      </c>
      <c r="J38" s="5">
        <f>BA13</f>
        <v>10</v>
      </c>
      <c r="L38" s="11" t="s">
        <v>66</v>
      </c>
      <c r="M38" s="4">
        <f>BB13</f>
        <v>50</v>
      </c>
      <c r="N38" s="4"/>
      <c r="O38" s="4" t="s">
        <v>73</v>
      </c>
      <c r="P38" s="5">
        <f>BB14</f>
        <v>50</v>
      </c>
    </row>
    <row r="39" spans="1:44" x14ac:dyDescent="0.25">
      <c r="A39" s="11"/>
      <c r="B39" s="4"/>
      <c r="C39" s="4"/>
      <c r="D39" s="4"/>
      <c r="E39" s="5"/>
      <c r="I39" s="11"/>
      <c r="J39" s="5"/>
      <c r="L39" s="11"/>
      <c r="M39" s="4"/>
      <c r="N39" s="4"/>
      <c r="O39" s="4"/>
      <c r="P39" s="5"/>
    </row>
    <row r="40" spans="1:44" x14ac:dyDescent="0.25">
      <c r="A40" s="11" t="s">
        <v>54</v>
      </c>
      <c r="B40" s="4">
        <f>B37*B36/2+E37*E36/2+100*(1-((B37+E37)/2))</f>
        <v>100</v>
      </c>
      <c r="C40" s="4"/>
      <c r="D40" s="4"/>
      <c r="E40" s="5"/>
      <c r="I40" s="11" t="s">
        <v>54</v>
      </c>
      <c r="J40" s="5">
        <f>J37*J36+100*(1-J37)</f>
        <v>100</v>
      </c>
      <c r="L40" s="11" t="s">
        <v>54</v>
      </c>
      <c r="M40" s="4">
        <f>M37*M36/2+P37*P36/2+100*(1-((M37+P37)/2))</f>
        <v>100</v>
      </c>
      <c r="N40" s="4"/>
      <c r="O40" s="4"/>
      <c r="P40" s="5"/>
    </row>
    <row r="41" spans="1:44" x14ac:dyDescent="0.25">
      <c r="A41" s="11" t="s">
        <v>63</v>
      </c>
      <c r="B41" s="4">
        <f>B36+B38</f>
        <v>120</v>
      </c>
      <c r="C41" s="4"/>
      <c r="D41" s="4"/>
      <c r="E41" s="5"/>
      <c r="I41" s="11" t="s">
        <v>55</v>
      </c>
      <c r="J41" s="5">
        <f>J36+J38</f>
        <v>110</v>
      </c>
      <c r="L41" s="11" t="s">
        <v>63</v>
      </c>
      <c r="M41" s="4">
        <f>M36+M38</f>
        <v>150</v>
      </c>
      <c r="N41" s="4"/>
      <c r="O41" s="4"/>
      <c r="P41" s="5"/>
    </row>
    <row r="42" spans="1:44" x14ac:dyDescent="0.25">
      <c r="A42" s="11" t="s">
        <v>64</v>
      </c>
      <c r="B42" s="4">
        <f>E36+E38</f>
        <v>100</v>
      </c>
      <c r="C42" s="4"/>
      <c r="D42" s="4"/>
      <c r="E42" s="5"/>
      <c r="I42" s="11"/>
      <c r="J42" s="5" t="s">
        <v>57</v>
      </c>
      <c r="L42" s="11" t="s">
        <v>64</v>
      </c>
      <c r="M42" s="4">
        <f>P36+P38</f>
        <v>150</v>
      </c>
      <c r="N42" s="4"/>
      <c r="O42" s="4"/>
      <c r="P42" s="5"/>
    </row>
    <row r="43" spans="1:44" x14ac:dyDescent="0.25">
      <c r="A43" s="11"/>
      <c r="B43" s="4" t="s">
        <v>57</v>
      </c>
      <c r="C43" s="4"/>
      <c r="D43" s="4"/>
      <c r="E43" s="5"/>
      <c r="I43" s="23" t="s">
        <v>20</v>
      </c>
      <c r="J43" s="7">
        <f>MIN(J40:J41)</f>
        <v>100</v>
      </c>
      <c r="L43" s="11"/>
      <c r="M43" s="4" t="s">
        <v>57</v>
      </c>
      <c r="N43" s="4"/>
      <c r="O43" s="4"/>
      <c r="P43" s="5"/>
    </row>
    <row r="44" spans="1:44" x14ac:dyDescent="0.25">
      <c r="A44" s="23" t="s">
        <v>19</v>
      </c>
      <c r="B44" s="6">
        <f>MIN(B40:B42)</f>
        <v>100</v>
      </c>
      <c r="C44" s="6"/>
      <c r="D44" s="6"/>
      <c r="E44" s="7"/>
      <c r="L44" s="23" t="s">
        <v>21</v>
      </c>
      <c r="M44" s="6">
        <f>MIN(M40:M42)</f>
        <v>100</v>
      </c>
      <c r="N44" s="6"/>
      <c r="O44" s="6"/>
      <c r="P44" s="7"/>
    </row>
    <row r="46" spans="1:44" x14ac:dyDescent="0.25">
      <c r="A46" s="1" t="s">
        <v>13</v>
      </c>
      <c r="S46" s="1" t="s">
        <v>14</v>
      </c>
      <c r="AB46" s="1" t="s">
        <v>15</v>
      </c>
    </row>
    <row r="47" spans="1:44" x14ac:dyDescent="0.25">
      <c r="A47" s="98" t="s">
        <v>74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99"/>
      <c r="S47" s="98" t="s">
        <v>67</v>
      </c>
      <c r="T47" s="100"/>
      <c r="U47" s="100"/>
      <c r="V47" s="100"/>
      <c r="W47" s="100"/>
      <c r="X47" s="100"/>
      <c r="Y47" s="100"/>
      <c r="Z47" s="99"/>
      <c r="AB47" s="98" t="s">
        <v>74</v>
      </c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99"/>
    </row>
    <row r="48" spans="1:44" x14ac:dyDescent="0.25">
      <c r="A48" s="11"/>
      <c r="B48" s="4" t="s">
        <v>58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5"/>
      <c r="S48" s="11"/>
      <c r="T48" s="4" t="s">
        <v>58</v>
      </c>
      <c r="U48" s="4"/>
      <c r="V48" s="4"/>
      <c r="W48" s="4"/>
      <c r="X48" s="4"/>
      <c r="Y48" s="4"/>
      <c r="Z48" s="5"/>
      <c r="AB48" s="11"/>
      <c r="AC48" s="4" t="s">
        <v>58</v>
      </c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5"/>
    </row>
    <row r="49" spans="1:44" x14ac:dyDescent="0.25">
      <c r="A49" s="11" t="s">
        <v>10</v>
      </c>
      <c r="B49" s="4">
        <f>B5</f>
        <v>100</v>
      </c>
      <c r="C49" s="4"/>
      <c r="D49" s="4" t="s">
        <v>11</v>
      </c>
      <c r="E49" s="4">
        <f>B6</f>
        <v>100</v>
      </c>
      <c r="F49" s="4"/>
      <c r="G49" s="4" t="s">
        <v>16</v>
      </c>
      <c r="H49" s="4">
        <f>B11</f>
        <v>100</v>
      </c>
      <c r="I49" s="4"/>
      <c r="J49" s="4" t="s">
        <v>17</v>
      </c>
      <c r="K49" s="4">
        <f>B12</f>
        <v>100</v>
      </c>
      <c r="L49" s="4"/>
      <c r="M49" s="4" t="s">
        <v>19</v>
      </c>
      <c r="N49" s="4">
        <f>B14</f>
        <v>100</v>
      </c>
      <c r="O49" s="4"/>
      <c r="P49" s="4" t="s">
        <v>20</v>
      </c>
      <c r="Q49" s="5">
        <f>B15</f>
        <v>100</v>
      </c>
      <c r="S49" s="11" t="s">
        <v>11</v>
      </c>
      <c r="T49" s="4">
        <f>B6</f>
        <v>100</v>
      </c>
      <c r="U49" s="4"/>
      <c r="V49" s="4" t="s">
        <v>17</v>
      </c>
      <c r="W49" s="4">
        <f>B12</f>
        <v>100</v>
      </c>
      <c r="X49" s="4"/>
      <c r="Y49" s="4" t="s">
        <v>20</v>
      </c>
      <c r="Z49" s="5">
        <f>Q49</f>
        <v>100</v>
      </c>
      <c r="AB49" s="11" t="s">
        <v>11</v>
      </c>
      <c r="AC49" s="4">
        <f>B6</f>
        <v>100</v>
      </c>
      <c r="AD49" s="4"/>
      <c r="AE49" s="4" t="s">
        <v>12</v>
      </c>
      <c r="AF49" s="4">
        <f>B7</f>
        <v>100</v>
      </c>
      <c r="AG49" s="4"/>
      <c r="AH49" s="4" t="s">
        <v>17</v>
      </c>
      <c r="AI49" s="4">
        <f>B12</f>
        <v>100</v>
      </c>
      <c r="AJ49" s="4"/>
      <c r="AK49" s="4" t="s">
        <v>18</v>
      </c>
      <c r="AL49" s="4">
        <f>B13</f>
        <v>100</v>
      </c>
      <c r="AM49" s="4"/>
      <c r="AN49" s="4" t="s">
        <v>20</v>
      </c>
      <c r="AO49" s="4">
        <f>Q49</f>
        <v>100</v>
      </c>
      <c r="AP49" s="4"/>
      <c r="AQ49" s="4" t="s">
        <v>21</v>
      </c>
      <c r="AR49" s="5">
        <f>B16</f>
        <v>64</v>
      </c>
    </row>
    <row r="50" spans="1:44" x14ac:dyDescent="0.25">
      <c r="A50" s="11" t="s">
        <v>65</v>
      </c>
      <c r="B50" s="4">
        <f>Y6</f>
        <v>0.3</v>
      </c>
      <c r="C50" s="4"/>
      <c r="D50" s="4" t="s">
        <v>72</v>
      </c>
      <c r="E50" s="4">
        <f>Y7</f>
        <v>0.3</v>
      </c>
      <c r="F50" s="4"/>
      <c r="G50" s="4" t="s">
        <v>70</v>
      </c>
      <c r="H50" s="4">
        <f>Y12</f>
        <v>0.8</v>
      </c>
      <c r="I50" s="4"/>
      <c r="J50" s="4" t="s">
        <v>76</v>
      </c>
      <c r="K50" s="4">
        <f>Y13</f>
        <v>0.9</v>
      </c>
      <c r="L50" s="4"/>
      <c r="M50" s="4" t="s">
        <v>78</v>
      </c>
      <c r="N50" s="4">
        <f>Y15</f>
        <v>0.5</v>
      </c>
      <c r="O50" s="4"/>
      <c r="P50" s="4" t="s">
        <v>82</v>
      </c>
      <c r="Q50" s="5">
        <f>Y16</f>
        <v>0.1</v>
      </c>
      <c r="S50" s="11" t="s">
        <v>65</v>
      </c>
      <c r="T50" s="4">
        <f>Z7</f>
        <v>0.5</v>
      </c>
      <c r="U50" s="4"/>
      <c r="V50" s="4" t="s">
        <v>72</v>
      </c>
      <c r="W50" s="4">
        <f>Z13</f>
        <v>0.8</v>
      </c>
      <c r="X50" s="4"/>
      <c r="Y50" s="4" t="s">
        <v>70</v>
      </c>
      <c r="Z50" s="5">
        <f>Z16</f>
        <v>1</v>
      </c>
      <c r="AB50" s="11" t="s">
        <v>65</v>
      </c>
      <c r="AC50" s="4">
        <f>AA7</f>
        <v>0.9</v>
      </c>
      <c r="AD50" s="4"/>
      <c r="AE50" s="4" t="s">
        <v>72</v>
      </c>
      <c r="AF50" s="4">
        <f>AA8</f>
        <v>0.8</v>
      </c>
      <c r="AG50" s="4"/>
      <c r="AH50" s="4" t="s">
        <v>70</v>
      </c>
      <c r="AI50" s="4">
        <f>AA13</f>
        <v>0.5</v>
      </c>
      <c r="AJ50" s="4"/>
      <c r="AK50" s="4" t="s">
        <v>76</v>
      </c>
      <c r="AL50" s="4">
        <f>AA14</f>
        <v>0.3</v>
      </c>
      <c r="AM50" s="4"/>
      <c r="AN50" s="4" t="s">
        <v>78</v>
      </c>
      <c r="AO50" s="4">
        <f>AA16</f>
        <v>0.1</v>
      </c>
      <c r="AP50" s="4"/>
      <c r="AQ50" s="4" t="s">
        <v>82</v>
      </c>
      <c r="AR50" s="5">
        <f>AA17</f>
        <v>0.8</v>
      </c>
    </row>
    <row r="51" spans="1:44" x14ac:dyDescent="0.25">
      <c r="A51" s="11" t="s">
        <v>66</v>
      </c>
      <c r="B51" s="4">
        <f>AT6</f>
        <v>50</v>
      </c>
      <c r="C51" s="4"/>
      <c r="D51" s="4" t="s">
        <v>73</v>
      </c>
      <c r="E51" s="4">
        <f>AT7</f>
        <v>50</v>
      </c>
      <c r="F51" s="4"/>
      <c r="G51" s="4" t="s">
        <v>71</v>
      </c>
      <c r="H51" s="4">
        <f>AT12</f>
        <v>20</v>
      </c>
      <c r="I51" s="4"/>
      <c r="J51" s="4" t="s">
        <v>77</v>
      </c>
      <c r="K51" s="4">
        <f>AT13</f>
        <v>10</v>
      </c>
      <c r="L51" s="4"/>
      <c r="M51" s="4" t="s">
        <v>80</v>
      </c>
      <c r="N51" s="4">
        <f>AT15</f>
        <v>25</v>
      </c>
      <c r="O51" s="4"/>
      <c r="P51" s="4" t="s">
        <v>83</v>
      </c>
      <c r="Q51" s="5">
        <f>AT16</f>
        <v>50</v>
      </c>
      <c r="S51" s="11" t="s">
        <v>66</v>
      </c>
      <c r="T51" s="4">
        <f>AU7</f>
        <v>50</v>
      </c>
      <c r="U51" s="4"/>
      <c r="V51" s="4" t="s">
        <v>73</v>
      </c>
      <c r="W51" s="4">
        <f>AU13</f>
        <v>20</v>
      </c>
      <c r="X51" s="4"/>
      <c r="Y51" s="4" t="s">
        <v>71</v>
      </c>
      <c r="Z51" s="5">
        <f>AU16</f>
        <v>0</v>
      </c>
      <c r="AB51" s="11" t="s">
        <v>66</v>
      </c>
      <c r="AC51" s="4">
        <f>AV7</f>
        <v>10</v>
      </c>
      <c r="AD51" s="4"/>
      <c r="AE51" s="4" t="s">
        <v>73</v>
      </c>
      <c r="AF51" s="4">
        <f>AV8</f>
        <v>10</v>
      </c>
      <c r="AG51" s="4"/>
      <c r="AH51" s="4" t="s">
        <v>71</v>
      </c>
      <c r="AI51" s="4">
        <f>AV13</f>
        <v>30</v>
      </c>
      <c r="AJ51" s="4"/>
      <c r="AK51" s="4" t="s">
        <v>77</v>
      </c>
      <c r="AL51" s="4">
        <f>AV14</f>
        <v>30</v>
      </c>
      <c r="AM51" s="4"/>
      <c r="AN51" s="4" t="s">
        <v>80</v>
      </c>
      <c r="AO51" s="4">
        <f>AV16</f>
        <v>80</v>
      </c>
      <c r="AP51" s="4"/>
      <c r="AQ51" s="4" t="s">
        <v>83</v>
      </c>
      <c r="AR51" s="5">
        <f>AV17</f>
        <v>20</v>
      </c>
    </row>
    <row r="52" spans="1:44" x14ac:dyDescent="0.25">
      <c r="A52" s="1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5"/>
      <c r="S52" s="11"/>
      <c r="T52" s="4"/>
      <c r="U52" s="4"/>
      <c r="V52" s="4"/>
      <c r="W52" s="4"/>
      <c r="X52" s="4"/>
      <c r="Y52" s="4"/>
      <c r="Z52" s="5"/>
      <c r="AB52" s="11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5"/>
    </row>
    <row r="53" spans="1:44" x14ac:dyDescent="0.25">
      <c r="A53" s="11" t="s">
        <v>54</v>
      </c>
      <c r="B53" s="4">
        <f>B50*B49/6+E50*E49/6+H50*H49/6+K49*K50/6+N49*N50/6+Q49*Q50/6+100*(1-((B50+E50+H50+K50+N50+Q50)/6))</f>
        <v>100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5"/>
      <c r="S53" s="11" t="s">
        <v>54</v>
      </c>
      <c r="T53" s="4">
        <f>T50*T49/3+W50*W49/3+Z50*Z49/3+100*(1-((T50+W50+Z50)/3))</f>
        <v>100.00000000000001</v>
      </c>
      <c r="U53" s="4"/>
      <c r="V53" s="4"/>
      <c r="W53" s="4"/>
      <c r="X53" s="4"/>
      <c r="Y53" s="4"/>
      <c r="Z53" s="5"/>
      <c r="AB53" s="11" t="s">
        <v>54</v>
      </c>
      <c r="AC53" s="4">
        <f>AC50*AC49/6+AF50*AF49/6+AI50*AI49/6+AL49*AL50/6+AO49*AO50/6+AR49*AR50/6+100*(1-((AC50+AF50+AI50+AL50+AO50+AR50)/6))</f>
        <v>95.199999999999989</v>
      </c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5"/>
    </row>
    <row r="54" spans="1:44" x14ac:dyDescent="0.25">
      <c r="A54" s="11" t="s">
        <v>63</v>
      </c>
      <c r="B54" s="4">
        <f>B49+B51</f>
        <v>150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5"/>
      <c r="S54" s="11" t="s">
        <v>63</v>
      </c>
      <c r="T54" s="4">
        <f>T49+T51</f>
        <v>150</v>
      </c>
      <c r="U54" s="4"/>
      <c r="V54" s="4"/>
      <c r="W54" s="4"/>
      <c r="X54" s="4"/>
      <c r="Y54" s="4"/>
      <c r="Z54" s="5"/>
      <c r="AB54" s="11" t="s">
        <v>63</v>
      </c>
      <c r="AC54" s="4">
        <f>AC49+AC51</f>
        <v>110</v>
      </c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5"/>
    </row>
    <row r="55" spans="1:44" x14ac:dyDescent="0.25">
      <c r="A55" s="11" t="s">
        <v>64</v>
      </c>
      <c r="B55" s="4">
        <f>E49+E51</f>
        <v>150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5"/>
      <c r="S55" s="11" t="s">
        <v>64</v>
      </c>
      <c r="T55" s="4">
        <f>W49+W51</f>
        <v>120</v>
      </c>
      <c r="U55" s="4"/>
      <c r="V55" s="4"/>
      <c r="W55" s="4"/>
      <c r="X55" s="4"/>
      <c r="Y55" s="4"/>
      <c r="Z55" s="5"/>
      <c r="AB55" s="11" t="s">
        <v>64</v>
      </c>
      <c r="AC55" s="4">
        <f>AF49+AF51</f>
        <v>110</v>
      </c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5"/>
    </row>
    <row r="56" spans="1:44" x14ac:dyDescent="0.25">
      <c r="A56" s="11" t="s">
        <v>68</v>
      </c>
      <c r="B56" s="4">
        <f>H49+H51</f>
        <v>120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5"/>
      <c r="S56" s="11" t="s">
        <v>68</v>
      </c>
      <c r="T56" s="4">
        <f>Z49+Z51</f>
        <v>100</v>
      </c>
      <c r="U56" s="4"/>
      <c r="V56" s="4"/>
      <c r="W56" s="4"/>
      <c r="X56" s="4"/>
      <c r="Y56" s="4"/>
      <c r="Z56" s="5"/>
      <c r="AB56" s="11" t="s">
        <v>68</v>
      </c>
      <c r="AC56" s="4">
        <f>AI49+AI51</f>
        <v>130</v>
      </c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5"/>
    </row>
    <row r="57" spans="1:44" x14ac:dyDescent="0.25">
      <c r="A57" s="11" t="s">
        <v>84</v>
      </c>
      <c r="B57" s="4">
        <f>K49+K51</f>
        <v>110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5"/>
      <c r="S57" s="11"/>
      <c r="T57" s="4" t="s">
        <v>57</v>
      </c>
      <c r="U57" s="4"/>
      <c r="V57" s="4"/>
      <c r="W57" s="4"/>
      <c r="X57" s="4"/>
      <c r="Y57" s="4"/>
      <c r="Z57" s="5"/>
      <c r="AB57" s="11" t="s">
        <v>84</v>
      </c>
      <c r="AC57" s="4">
        <f>AL49+AL51</f>
        <v>130</v>
      </c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5"/>
    </row>
    <row r="58" spans="1:44" x14ac:dyDescent="0.25">
      <c r="A58" s="11" t="s">
        <v>85</v>
      </c>
      <c r="B58" s="4">
        <f>N49+N51</f>
        <v>125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5"/>
      <c r="S58" s="23" t="s">
        <v>14</v>
      </c>
      <c r="T58" s="6">
        <f>MIN(T53:T56)</f>
        <v>100</v>
      </c>
      <c r="U58" s="6"/>
      <c r="V58" s="6"/>
      <c r="W58" s="6"/>
      <c r="X58" s="6"/>
      <c r="Y58" s="6"/>
      <c r="Z58" s="7"/>
      <c r="AB58" s="11" t="s">
        <v>85</v>
      </c>
      <c r="AC58" s="4">
        <f>AO49+AO51</f>
        <v>180</v>
      </c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5"/>
    </row>
    <row r="59" spans="1:44" x14ac:dyDescent="0.25">
      <c r="A59" s="11" t="s">
        <v>86</v>
      </c>
      <c r="B59" s="4">
        <f>Q49+Q51</f>
        <v>150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5"/>
      <c r="AB59" s="11" t="s">
        <v>86</v>
      </c>
      <c r="AC59" s="4">
        <f>AR49+AR51</f>
        <v>84</v>
      </c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5"/>
    </row>
    <row r="60" spans="1:44" x14ac:dyDescent="0.25">
      <c r="A60" s="11"/>
      <c r="B60" s="4" t="s">
        <v>57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5"/>
      <c r="AB60" s="11"/>
      <c r="AC60" s="4" t="s">
        <v>57</v>
      </c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5"/>
    </row>
    <row r="61" spans="1:44" x14ac:dyDescent="0.25">
      <c r="A61" s="23" t="s">
        <v>13</v>
      </c>
      <c r="B61" s="6">
        <f>MIN(B53:B59)</f>
        <v>100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7"/>
      <c r="AB61" s="23" t="s">
        <v>15</v>
      </c>
      <c r="AC61" s="6">
        <f>MIN(AC53:AC59)</f>
        <v>84</v>
      </c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7"/>
    </row>
    <row r="66" spans="1:16" x14ac:dyDescent="0.25">
      <c r="A66" s="1" t="s">
        <v>22</v>
      </c>
      <c r="I66" s="1" t="s">
        <v>23</v>
      </c>
      <c r="L66" s="1" t="s">
        <v>24</v>
      </c>
    </row>
    <row r="67" spans="1:16" x14ac:dyDescent="0.25">
      <c r="A67" s="98" t="s">
        <v>60</v>
      </c>
      <c r="B67" s="100"/>
      <c r="C67" s="100"/>
      <c r="D67" s="100"/>
      <c r="E67" s="99"/>
      <c r="I67" s="98" t="s">
        <v>59</v>
      </c>
      <c r="J67" s="99"/>
      <c r="L67" s="98" t="s">
        <v>60</v>
      </c>
      <c r="M67" s="100"/>
      <c r="N67" s="100"/>
      <c r="O67" s="100"/>
      <c r="P67" s="99"/>
    </row>
    <row r="68" spans="1:16" x14ac:dyDescent="0.25">
      <c r="A68" s="11"/>
      <c r="B68" s="4" t="s">
        <v>58</v>
      </c>
      <c r="C68" s="4"/>
      <c r="D68" s="4"/>
      <c r="E68" s="5"/>
      <c r="I68" s="11"/>
      <c r="J68" s="5" t="s">
        <v>58</v>
      </c>
      <c r="L68" s="11"/>
      <c r="M68" s="4" t="s">
        <v>58</v>
      </c>
      <c r="N68" s="4"/>
      <c r="O68" s="4"/>
      <c r="P68" s="5"/>
    </row>
    <row r="69" spans="1:16" x14ac:dyDescent="0.25">
      <c r="A69" s="11" t="s">
        <v>13</v>
      </c>
      <c r="B69" s="4">
        <f>B8</f>
        <v>70</v>
      </c>
      <c r="C69" s="4"/>
      <c r="D69" s="4" t="s">
        <v>14</v>
      </c>
      <c r="E69" s="5">
        <f>B9</f>
        <v>70</v>
      </c>
      <c r="I69" s="11" t="s">
        <v>14</v>
      </c>
      <c r="J69" s="5">
        <f>E69</f>
        <v>70</v>
      </c>
      <c r="L69" s="11" t="s">
        <v>14</v>
      </c>
      <c r="M69" s="4">
        <f>E69</f>
        <v>70</v>
      </c>
      <c r="N69" s="4"/>
      <c r="O69" s="4" t="s">
        <v>15</v>
      </c>
      <c r="P69" s="5">
        <f>B10</f>
        <v>58.8</v>
      </c>
    </row>
    <row r="70" spans="1:16" x14ac:dyDescent="0.25">
      <c r="A70" s="11" t="s">
        <v>65</v>
      </c>
      <c r="B70" s="4">
        <f>AH9</f>
        <v>1</v>
      </c>
      <c r="C70" s="4"/>
      <c r="D70" s="4" t="s">
        <v>72</v>
      </c>
      <c r="E70" s="5">
        <f>AH10</f>
        <v>1</v>
      </c>
      <c r="I70" s="11" t="s">
        <v>52</v>
      </c>
      <c r="J70" s="5">
        <f>AI10</f>
        <v>1</v>
      </c>
      <c r="L70" s="11" t="s">
        <v>65</v>
      </c>
      <c r="M70" s="4">
        <f>AJ10</f>
        <v>1</v>
      </c>
      <c r="N70" s="4"/>
      <c r="O70" s="4" t="s">
        <v>72</v>
      </c>
      <c r="P70" s="5">
        <f>AJ11</f>
        <v>1</v>
      </c>
    </row>
    <row r="71" spans="1:16" x14ac:dyDescent="0.25">
      <c r="A71" s="11" t="s">
        <v>66</v>
      </c>
      <c r="B71" s="4">
        <f>BC9</f>
        <v>0</v>
      </c>
      <c r="C71" s="4"/>
      <c r="D71" s="4" t="s">
        <v>73</v>
      </c>
      <c r="E71" s="5">
        <f>BC10</f>
        <v>0</v>
      </c>
      <c r="I71" s="11" t="s">
        <v>53</v>
      </c>
      <c r="J71" s="5">
        <f>BD10</f>
        <v>0</v>
      </c>
      <c r="L71" s="11" t="s">
        <v>66</v>
      </c>
      <c r="M71" s="4">
        <f>BE10</f>
        <v>0</v>
      </c>
      <c r="N71" s="4"/>
      <c r="O71" s="4" t="s">
        <v>73</v>
      </c>
      <c r="P71" s="5">
        <f>BE11</f>
        <v>0</v>
      </c>
    </row>
    <row r="72" spans="1:16" x14ac:dyDescent="0.25">
      <c r="A72" s="11"/>
      <c r="B72" s="4"/>
      <c r="C72" s="4"/>
      <c r="D72" s="4"/>
      <c r="E72" s="5"/>
      <c r="I72" s="11"/>
      <c r="J72" s="5"/>
      <c r="L72" s="11"/>
      <c r="M72" s="4"/>
      <c r="N72" s="4"/>
      <c r="O72" s="4"/>
      <c r="P72" s="5"/>
    </row>
    <row r="73" spans="1:16" x14ac:dyDescent="0.25">
      <c r="A73" s="11" t="s">
        <v>54</v>
      </c>
      <c r="B73" s="4">
        <f>B70*B69/2+E70*E69/2+100*(1-((B70+E70)/2))</f>
        <v>70</v>
      </c>
      <c r="C73" s="4"/>
      <c r="D73" s="4"/>
      <c r="E73" s="5"/>
      <c r="I73" s="11" t="s">
        <v>54</v>
      </c>
      <c r="J73" s="5">
        <f>J70*J69+100*(1-J70)</f>
        <v>70</v>
      </c>
      <c r="L73" s="11" t="s">
        <v>54</v>
      </c>
      <c r="M73" s="4">
        <f>M70*M69/2+P70*P69/2+100*(1-((M70+P70)/2))</f>
        <v>64.400000000000006</v>
      </c>
      <c r="N73" s="4"/>
      <c r="O73" s="4"/>
      <c r="P73" s="5"/>
    </row>
    <row r="74" spans="1:16" x14ac:dyDescent="0.25">
      <c r="A74" s="11" t="s">
        <v>63</v>
      </c>
      <c r="B74" s="4">
        <f>B69+B71</f>
        <v>70</v>
      </c>
      <c r="C74" s="4"/>
      <c r="D74" s="4"/>
      <c r="E74" s="5"/>
      <c r="I74" s="11" t="s">
        <v>55</v>
      </c>
      <c r="J74" s="5">
        <f>J69+J71</f>
        <v>70</v>
      </c>
      <c r="L74" s="11" t="s">
        <v>63</v>
      </c>
      <c r="M74" s="4">
        <f>M69+M71</f>
        <v>70</v>
      </c>
      <c r="N74" s="4"/>
      <c r="O74" s="4"/>
      <c r="P74" s="5"/>
    </row>
    <row r="75" spans="1:16" x14ac:dyDescent="0.25">
      <c r="A75" s="11" t="s">
        <v>64</v>
      </c>
      <c r="B75" s="4">
        <f>E69+E71</f>
        <v>70</v>
      </c>
      <c r="C75" s="4"/>
      <c r="D75" s="4"/>
      <c r="E75" s="5"/>
      <c r="I75" s="11"/>
      <c r="J75" s="5" t="s">
        <v>57</v>
      </c>
      <c r="L75" s="11" t="s">
        <v>64</v>
      </c>
      <c r="M75" s="4">
        <f>P69+P71</f>
        <v>58.8</v>
      </c>
      <c r="N75" s="4"/>
      <c r="O75" s="4"/>
      <c r="P75" s="5"/>
    </row>
    <row r="76" spans="1:16" x14ac:dyDescent="0.25">
      <c r="A76" s="11"/>
      <c r="B76" s="4" t="s">
        <v>57</v>
      </c>
      <c r="C76" s="4"/>
      <c r="D76" s="4"/>
      <c r="E76" s="5"/>
      <c r="I76" s="23" t="s">
        <v>23</v>
      </c>
      <c r="J76" s="7">
        <f>MIN(J73:J74)</f>
        <v>70</v>
      </c>
      <c r="L76" s="11"/>
      <c r="M76" s="4" t="s">
        <v>57</v>
      </c>
      <c r="N76" s="4"/>
      <c r="O76" s="4"/>
      <c r="P76" s="5"/>
    </row>
    <row r="77" spans="1:16" x14ac:dyDescent="0.25">
      <c r="A77" s="23" t="s">
        <v>22</v>
      </c>
      <c r="B77" s="6">
        <f>MIN(B73:B75)</f>
        <v>70</v>
      </c>
      <c r="C77" s="6"/>
      <c r="D77" s="6"/>
      <c r="E77" s="7"/>
      <c r="L77" s="23" t="s">
        <v>24</v>
      </c>
      <c r="M77" s="6">
        <f>MIN(M73:M75)</f>
        <v>58.8</v>
      </c>
      <c r="N77" s="6"/>
      <c r="O77" s="6"/>
      <c r="P77" s="7"/>
    </row>
    <row r="81" spans="1:16" x14ac:dyDescent="0.25">
      <c r="A81" s="1" t="s">
        <v>25</v>
      </c>
      <c r="I81" s="1" t="s">
        <v>26</v>
      </c>
      <c r="L81" s="1" t="s">
        <v>27</v>
      </c>
      <c r="M81" s="1"/>
    </row>
    <row r="82" spans="1:16" x14ac:dyDescent="0.25">
      <c r="A82" s="98" t="s">
        <v>60</v>
      </c>
      <c r="B82" s="100"/>
      <c r="C82" s="100"/>
      <c r="D82" s="100"/>
      <c r="E82" s="99"/>
      <c r="I82" s="98" t="s">
        <v>59</v>
      </c>
      <c r="J82" s="99"/>
      <c r="L82" s="98" t="s">
        <v>60</v>
      </c>
      <c r="M82" s="100"/>
      <c r="N82" s="100"/>
      <c r="O82" s="100"/>
      <c r="P82" s="99"/>
    </row>
    <row r="83" spans="1:16" x14ac:dyDescent="0.25">
      <c r="A83" s="11"/>
      <c r="B83" s="4" t="s">
        <v>58</v>
      </c>
      <c r="C83" s="4"/>
      <c r="D83" s="4"/>
      <c r="E83" s="5"/>
      <c r="I83" s="11"/>
      <c r="J83" s="5" t="s">
        <v>58</v>
      </c>
      <c r="L83" s="11"/>
      <c r="M83" s="4" t="s">
        <v>58</v>
      </c>
      <c r="N83" s="4"/>
      <c r="O83" s="4"/>
      <c r="P83" s="5"/>
    </row>
    <row r="84" spans="1:16" x14ac:dyDescent="0.25">
      <c r="A84" s="11" t="s">
        <v>22</v>
      </c>
      <c r="B84" s="4">
        <f>B17</f>
        <v>70</v>
      </c>
      <c r="C84" s="4"/>
      <c r="D84" s="4" t="s">
        <v>23</v>
      </c>
      <c r="E84" s="5">
        <f>B18</f>
        <v>70</v>
      </c>
      <c r="I84" s="11" t="s">
        <v>23</v>
      </c>
      <c r="J84" s="5">
        <f>E84</f>
        <v>70</v>
      </c>
      <c r="L84" s="11" t="s">
        <v>23</v>
      </c>
      <c r="M84" s="4">
        <f>E84</f>
        <v>70</v>
      </c>
      <c r="N84" s="4"/>
      <c r="O84" s="4" t="s">
        <v>24</v>
      </c>
      <c r="P84" s="5">
        <f>B19</f>
        <v>58.8</v>
      </c>
    </row>
    <row r="85" spans="1:16" x14ac:dyDescent="0.25">
      <c r="A85" s="11" t="s">
        <v>65</v>
      </c>
      <c r="B85" s="4">
        <f>AK18</f>
        <v>0.4</v>
      </c>
      <c r="C85" s="4"/>
      <c r="D85" s="4" t="s">
        <v>72</v>
      </c>
      <c r="E85" s="5">
        <f>AK19</f>
        <v>0.4</v>
      </c>
      <c r="I85" s="11" t="s">
        <v>52</v>
      </c>
      <c r="J85" s="5">
        <f>AL19</f>
        <v>0.4</v>
      </c>
      <c r="L85" s="11" t="s">
        <v>65</v>
      </c>
      <c r="M85" s="4">
        <f>AM19</f>
        <v>0.4</v>
      </c>
      <c r="N85" s="4"/>
      <c r="O85" s="4" t="s">
        <v>72</v>
      </c>
      <c r="P85" s="5">
        <f>AM20</f>
        <v>0.4</v>
      </c>
    </row>
    <row r="86" spans="1:16" x14ac:dyDescent="0.25">
      <c r="A86" s="11" t="s">
        <v>66</v>
      </c>
      <c r="B86" s="4">
        <f>BF18</f>
        <v>60</v>
      </c>
      <c r="C86" s="4"/>
      <c r="D86" s="4" t="s">
        <v>73</v>
      </c>
      <c r="E86" s="5">
        <f>BF19</f>
        <v>55</v>
      </c>
      <c r="I86" s="11" t="s">
        <v>53</v>
      </c>
      <c r="J86" s="5">
        <f>BG19</f>
        <v>60</v>
      </c>
      <c r="L86" s="11" t="s">
        <v>66</v>
      </c>
      <c r="M86" s="4">
        <f>BH19</f>
        <v>55</v>
      </c>
      <c r="N86" s="4"/>
      <c r="O86" s="4" t="s">
        <v>73</v>
      </c>
      <c r="P86" s="5">
        <f>BH20</f>
        <v>60</v>
      </c>
    </row>
    <row r="87" spans="1:16" x14ac:dyDescent="0.25">
      <c r="A87" s="11"/>
      <c r="B87" s="4"/>
      <c r="C87" s="4"/>
      <c r="D87" s="4"/>
      <c r="E87" s="5"/>
      <c r="I87" s="11"/>
      <c r="J87" s="5"/>
      <c r="L87" s="11"/>
      <c r="M87" s="4"/>
      <c r="N87" s="4"/>
      <c r="O87" s="4"/>
      <c r="P87" s="5"/>
    </row>
    <row r="88" spans="1:16" x14ac:dyDescent="0.25">
      <c r="A88" s="11" t="s">
        <v>54</v>
      </c>
      <c r="B88" s="4">
        <f>B85*B84/2+E85*E84/2+100*(1-((B85+E85)/2))</f>
        <v>88</v>
      </c>
      <c r="C88" s="4"/>
      <c r="D88" s="4"/>
      <c r="E88" s="5"/>
      <c r="I88" s="11" t="s">
        <v>54</v>
      </c>
      <c r="J88" s="5">
        <f>J85*J84+100*(1-J85)</f>
        <v>88</v>
      </c>
      <c r="L88" s="11" t="s">
        <v>54</v>
      </c>
      <c r="M88" s="4">
        <f>M85*M84/2+P85*P84/2+100*(1-((M85+P85)/2))</f>
        <v>85.759999999999991</v>
      </c>
      <c r="N88" s="4"/>
      <c r="O88" s="4"/>
      <c r="P88" s="5"/>
    </row>
    <row r="89" spans="1:16" x14ac:dyDescent="0.25">
      <c r="A89" s="11" t="s">
        <v>63</v>
      </c>
      <c r="B89" s="4">
        <f>B84+B86</f>
        <v>130</v>
      </c>
      <c r="C89" s="4"/>
      <c r="D89" s="4"/>
      <c r="E89" s="5"/>
      <c r="I89" s="11" t="s">
        <v>55</v>
      </c>
      <c r="J89" s="5">
        <f>J84+J86</f>
        <v>130</v>
      </c>
      <c r="L89" s="11" t="s">
        <v>63</v>
      </c>
      <c r="M89" s="4">
        <f>M84+M86</f>
        <v>125</v>
      </c>
      <c r="N89" s="4"/>
      <c r="O89" s="4"/>
      <c r="P89" s="5"/>
    </row>
    <row r="90" spans="1:16" x14ac:dyDescent="0.25">
      <c r="A90" s="11" t="s">
        <v>64</v>
      </c>
      <c r="B90" s="4">
        <f>E84+E86</f>
        <v>125</v>
      </c>
      <c r="C90" s="4"/>
      <c r="D90" s="4"/>
      <c r="E90" s="5"/>
      <c r="I90" s="11"/>
      <c r="J90" s="5" t="s">
        <v>57</v>
      </c>
      <c r="L90" s="11" t="s">
        <v>64</v>
      </c>
      <c r="M90" s="4">
        <f>P84+P86</f>
        <v>118.8</v>
      </c>
      <c r="N90" s="4"/>
      <c r="O90" s="4"/>
      <c r="P90" s="5"/>
    </row>
    <row r="91" spans="1:16" x14ac:dyDescent="0.25">
      <c r="A91" s="11"/>
      <c r="B91" s="4" t="s">
        <v>57</v>
      </c>
      <c r="C91" s="4"/>
      <c r="D91" s="4"/>
      <c r="E91" s="5"/>
      <c r="I91" s="23" t="s">
        <v>26</v>
      </c>
      <c r="J91" s="7">
        <f>MIN(J88:J89)</f>
        <v>88</v>
      </c>
      <c r="L91" s="11"/>
      <c r="M91" s="4" t="s">
        <v>57</v>
      </c>
      <c r="N91" s="4"/>
      <c r="O91" s="4"/>
      <c r="P91" s="5"/>
    </row>
    <row r="92" spans="1:16" x14ac:dyDescent="0.25">
      <c r="A92" s="23" t="s">
        <v>25</v>
      </c>
      <c r="B92" s="6">
        <f>MIN(B88:B90)</f>
        <v>88</v>
      </c>
      <c r="C92" s="6"/>
      <c r="D92" s="6"/>
      <c r="E92" s="7"/>
      <c r="L92" s="23" t="s">
        <v>27</v>
      </c>
      <c r="M92" s="6">
        <f>MIN(M88:M90)</f>
        <v>85.759999999999991</v>
      </c>
      <c r="N92" s="6"/>
      <c r="O92" s="6"/>
      <c r="P92" s="7"/>
    </row>
  </sheetData>
  <mergeCells count="28">
    <mergeCell ref="A1:BH1"/>
    <mergeCell ref="T3:AM3"/>
    <mergeCell ref="AO3:BH3"/>
    <mergeCell ref="A3:C3"/>
    <mergeCell ref="H13:K13"/>
    <mergeCell ref="F4:H4"/>
    <mergeCell ref="F3:H3"/>
    <mergeCell ref="AB47:AR47"/>
    <mergeCell ref="O4:O6"/>
    <mergeCell ref="V4:AM4"/>
    <mergeCell ref="AQ4:BH4"/>
    <mergeCell ref="T6:T23"/>
    <mergeCell ref="AO6:AO23"/>
    <mergeCell ref="O7:O9"/>
    <mergeCell ref="O10:O12"/>
    <mergeCell ref="O13:O15"/>
    <mergeCell ref="A32:AR32"/>
    <mergeCell ref="A34:E34"/>
    <mergeCell ref="I34:J34"/>
    <mergeCell ref="L34:P34"/>
    <mergeCell ref="A47:Q47"/>
    <mergeCell ref="S47:Z47"/>
    <mergeCell ref="A67:E67"/>
    <mergeCell ref="I67:J67"/>
    <mergeCell ref="L67:P67"/>
    <mergeCell ref="A82:E82"/>
    <mergeCell ref="I82:J82"/>
    <mergeCell ref="L82:P8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zoomScale="144" workbookViewId="0"/>
  </sheetViews>
  <sheetFormatPr defaultColWidth="8.85546875" defaultRowHeight="15" x14ac:dyDescent="0.25"/>
  <cols>
    <col min="1" max="1" width="27.42578125" bestFit="1" customWidth="1"/>
    <col min="2" max="4" width="10.7109375" bestFit="1" customWidth="1"/>
    <col min="5" max="5" width="12.140625" bestFit="1" customWidth="1"/>
    <col min="6" max="6" width="2.140625" bestFit="1" customWidth="1"/>
    <col min="7" max="7" width="14.140625" bestFit="1" customWidth="1"/>
    <col min="8" max="8" width="3.85546875" customWidth="1"/>
    <col min="9" max="11" width="12.42578125" bestFit="1" customWidth="1"/>
    <col min="12" max="12" width="15.28515625" bestFit="1" customWidth="1"/>
  </cols>
  <sheetData>
    <row r="1" spans="1:12" x14ac:dyDescent="0.25">
      <c r="A1" s="27" t="s">
        <v>282</v>
      </c>
    </row>
    <row r="2" spans="1:12" x14ac:dyDescent="0.25">
      <c r="A2" s="86" t="s">
        <v>310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8"/>
    </row>
    <row r="3" spans="1:12" ht="15.75" x14ac:dyDescent="0.25">
      <c r="A3" s="35"/>
      <c r="B3" s="35" t="s">
        <v>1</v>
      </c>
      <c r="C3" s="35" t="s">
        <v>2</v>
      </c>
      <c r="D3" s="35" t="s">
        <v>3</v>
      </c>
      <c r="E3" s="35" t="s">
        <v>157</v>
      </c>
      <c r="F3" s="54" t="s">
        <v>158</v>
      </c>
      <c r="G3" s="35" t="s">
        <v>159</v>
      </c>
      <c r="H3" s="41" t="s">
        <v>160</v>
      </c>
      <c r="I3" s="50" t="s">
        <v>179</v>
      </c>
      <c r="J3" s="50" t="s">
        <v>180</v>
      </c>
      <c r="K3" s="50" t="s">
        <v>181</v>
      </c>
      <c r="L3" s="49" t="s">
        <v>178</v>
      </c>
    </row>
    <row r="4" spans="1:12" ht="15.75" x14ac:dyDescent="0.25">
      <c r="A4" s="36" t="s">
        <v>161</v>
      </c>
      <c r="B4" s="37">
        <v>0</v>
      </c>
      <c r="C4" s="38"/>
      <c r="D4" s="38"/>
      <c r="E4" s="35"/>
      <c r="F4" s="35"/>
      <c r="G4" s="39"/>
      <c r="H4" s="42"/>
      <c r="I4" s="43">
        <f>B4*K$22</f>
        <v>0</v>
      </c>
      <c r="J4" s="43">
        <f t="shared" ref="J4:K5" si="0">C4*L$22</f>
        <v>0</v>
      </c>
      <c r="K4" s="45">
        <f t="shared" si="0"/>
        <v>0</v>
      </c>
      <c r="L4" s="47">
        <f>SUM(I4:K4)</f>
        <v>0</v>
      </c>
    </row>
    <row r="5" spans="1:12" ht="15.75" x14ac:dyDescent="0.25">
      <c r="A5" s="36" t="s">
        <v>162</v>
      </c>
      <c r="B5" s="37">
        <v>0</v>
      </c>
      <c r="C5" s="37">
        <v>0</v>
      </c>
      <c r="D5" s="37">
        <v>0</v>
      </c>
      <c r="E5" s="36"/>
      <c r="F5" s="36"/>
      <c r="G5" s="39"/>
      <c r="H5" s="42"/>
      <c r="I5" s="43">
        <f t="shared" ref="I5" si="1">B5*K$22</f>
        <v>0</v>
      </c>
      <c r="J5" s="43">
        <f t="shared" si="0"/>
        <v>0</v>
      </c>
      <c r="K5" s="45">
        <f t="shared" si="0"/>
        <v>0</v>
      </c>
      <c r="L5" s="47">
        <f t="shared" ref="L5:L16" si="2">SUM(I5:K5)</f>
        <v>0</v>
      </c>
    </row>
    <row r="6" spans="1:12" ht="15.75" x14ac:dyDescent="0.25">
      <c r="A6" s="36" t="s">
        <v>163</v>
      </c>
      <c r="B6" s="37">
        <v>3622</v>
      </c>
      <c r="C6" s="37">
        <v>4251</v>
      </c>
      <c r="D6" s="37">
        <v>4648</v>
      </c>
      <c r="E6" s="36">
        <v>7</v>
      </c>
      <c r="F6" s="36">
        <v>1</v>
      </c>
      <c r="G6" s="40">
        <v>9.735984769019387</v>
      </c>
      <c r="H6" s="42">
        <v>1.0973598476901938</v>
      </c>
      <c r="I6" s="43">
        <f>B6*K$22*$F$6*$H$6</f>
        <v>476.9564842000658</v>
      </c>
      <c r="J6" s="43">
        <f t="shared" ref="J6:K16" si="3">C6*L$22*$F$6*$H$6</f>
        <v>559.78520550372161</v>
      </c>
      <c r="K6" s="43">
        <f t="shared" si="3"/>
        <v>726.315268661917</v>
      </c>
      <c r="L6" s="47">
        <f t="shared" si="2"/>
        <v>1763.0569583657043</v>
      </c>
    </row>
    <row r="7" spans="1:12" ht="15.75" x14ac:dyDescent="0.25">
      <c r="A7" s="36" t="s">
        <v>164</v>
      </c>
      <c r="B7" s="37">
        <v>0</v>
      </c>
      <c r="C7" s="38"/>
      <c r="D7" s="38"/>
      <c r="E7" s="36">
        <v>7</v>
      </c>
      <c r="F7" s="36">
        <v>1</v>
      </c>
      <c r="G7" s="40">
        <v>9.735984769019387</v>
      </c>
      <c r="H7" s="42">
        <v>1.0973598476901938</v>
      </c>
      <c r="I7" s="43">
        <f t="shared" ref="I7:I16" si="4">B7*K$22*$F$6*$H$6</f>
        <v>0</v>
      </c>
      <c r="J7" s="43">
        <f t="shared" si="3"/>
        <v>0</v>
      </c>
      <c r="K7" s="43">
        <f t="shared" si="3"/>
        <v>0</v>
      </c>
      <c r="L7" s="47">
        <f t="shared" si="2"/>
        <v>0</v>
      </c>
    </row>
    <row r="8" spans="1:12" ht="15.75" x14ac:dyDescent="0.25">
      <c r="A8" s="36" t="s">
        <v>165</v>
      </c>
      <c r="B8" s="37">
        <v>20000</v>
      </c>
      <c r="C8" s="37">
        <v>30000</v>
      </c>
      <c r="D8" s="37">
        <v>30000</v>
      </c>
      <c r="E8" s="36">
        <v>7</v>
      </c>
      <c r="F8" s="36">
        <v>1</v>
      </c>
      <c r="G8" s="40">
        <v>9.735984769019387</v>
      </c>
      <c r="H8" s="42">
        <v>1.0973598476901938</v>
      </c>
      <c r="I8" s="43">
        <f t="shared" si="4"/>
        <v>2633.6636344564649</v>
      </c>
      <c r="J8" s="43">
        <f t="shared" si="3"/>
        <v>3950.4954516846979</v>
      </c>
      <c r="K8" s="43">
        <f t="shared" si="3"/>
        <v>4687.9212693325107</v>
      </c>
      <c r="L8" s="47">
        <f t="shared" si="2"/>
        <v>11272.080355473674</v>
      </c>
    </row>
    <row r="9" spans="1:12" ht="15.75" x14ac:dyDescent="0.25">
      <c r="A9" s="36" t="s">
        <v>166</v>
      </c>
      <c r="B9" s="37">
        <v>7182</v>
      </c>
      <c r="C9" s="37">
        <v>7807</v>
      </c>
      <c r="D9" s="37">
        <v>6270</v>
      </c>
      <c r="E9" s="36">
        <v>7</v>
      </c>
      <c r="F9" s="36">
        <v>1</v>
      </c>
      <c r="G9" s="40">
        <v>9.735984769019387</v>
      </c>
      <c r="H9" s="42">
        <v>1.0973598476901938</v>
      </c>
      <c r="I9" s="43">
        <f t="shared" si="4"/>
        <v>945.74861113331656</v>
      </c>
      <c r="J9" s="43">
        <f t="shared" si="3"/>
        <v>1028.0505997100811</v>
      </c>
      <c r="K9" s="43">
        <f t="shared" si="3"/>
        <v>979.77554529049473</v>
      </c>
      <c r="L9" s="47">
        <f t="shared" si="2"/>
        <v>2953.5747561338926</v>
      </c>
    </row>
    <row r="10" spans="1:12" ht="15.75" x14ac:dyDescent="0.25">
      <c r="A10" s="36" t="s">
        <v>167</v>
      </c>
      <c r="B10" s="37">
        <v>0</v>
      </c>
      <c r="C10" s="37">
        <v>0</v>
      </c>
      <c r="D10" s="37">
        <v>86029</v>
      </c>
      <c r="E10" s="36">
        <v>7</v>
      </c>
      <c r="F10" s="36">
        <v>1</v>
      </c>
      <c r="G10" s="40">
        <v>9.735984769019387</v>
      </c>
      <c r="H10" s="42">
        <v>1.0973598476901938</v>
      </c>
      <c r="I10" s="43">
        <f t="shared" si="4"/>
        <v>0</v>
      </c>
      <c r="J10" s="43">
        <f t="shared" si="3"/>
        <v>0</v>
      </c>
      <c r="K10" s="43">
        <f t="shared" si="3"/>
        <v>13443.239295980218</v>
      </c>
      <c r="L10" s="47">
        <f t="shared" si="2"/>
        <v>13443.239295980218</v>
      </c>
    </row>
    <row r="11" spans="1:12" ht="15.75" x14ac:dyDescent="0.25">
      <c r="A11" s="36" t="s">
        <v>168</v>
      </c>
      <c r="B11" s="37">
        <v>2681</v>
      </c>
      <c r="C11" s="37">
        <v>2923</v>
      </c>
      <c r="D11" s="37">
        <v>3812</v>
      </c>
      <c r="E11" s="36">
        <v>7</v>
      </c>
      <c r="F11" s="36">
        <v>1</v>
      </c>
      <c r="G11" s="40">
        <v>9.735984769019387</v>
      </c>
      <c r="H11" s="42">
        <v>1.0973598476901938</v>
      </c>
      <c r="I11" s="43">
        <f t="shared" si="4"/>
        <v>353.04261019888912</v>
      </c>
      <c r="J11" s="43">
        <f t="shared" si="3"/>
        <v>384.90994017581238</v>
      </c>
      <c r="K11" s="43">
        <f t="shared" si="3"/>
        <v>595.6785292898511</v>
      </c>
      <c r="L11" s="47">
        <f t="shared" si="2"/>
        <v>1333.6310796645525</v>
      </c>
    </row>
    <row r="12" spans="1:12" ht="15.75" x14ac:dyDescent="0.25">
      <c r="A12" s="36" t="s">
        <v>169</v>
      </c>
      <c r="B12" s="37">
        <v>0</v>
      </c>
      <c r="C12" s="37">
        <v>0</v>
      </c>
      <c r="D12" s="37">
        <v>0</v>
      </c>
      <c r="E12" s="36">
        <v>7</v>
      </c>
      <c r="F12" s="36">
        <v>1</v>
      </c>
      <c r="G12" s="40">
        <v>9.735984769019387</v>
      </c>
      <c r="H12" s="42">
        <v>1.0973598476901938</v>
      </c>
      <c r="I12" s="43">
        <f t="shared" si="4"/>
        <v>0</v>
      </c>
      <c r="J12" s="43">
        <f t="shared" si="3"/>
        <v>0</v>
      </c>
      <c r="K12" s="43">
        <f t="shared" si="3"/>
        <v>0</v>
      </c>
      <c r="L12" s="47">
        <f t="shared" si="2"/>
        <v>0</v>
      </c>
    </row>
    <row r="13" spans="1:12" ht="15.75" x14ac:dyDescent="0.25">
      <c r="A13" s="36" t="s">
        <v>170</v>
      </c>
      <c r="B13" s="37">
        <v>0</v>
      </c>
      <c r="C13" s="38"/>
      <c r="D13" s="38"/>
      <c r="E13" s="36">
        <v>7</v>
      </c>
      <c r="F13" s="36">
        <v>1</v>
      </c>
      <c r="G13" s="40">
        <v>9.735984769019387</v>
      </c>
      <c r="H13" s="42">
        <v>1.0973598476901938</v>
      </c>
      <c r="I13" s="43">
        <f t="shared" si="4"/>
        <v>0</v>
      </c>
      <c r="J13" s="43">
        <f t="shared" si="3"/>
        <v>0</v>
      </c>
      <c r="K13" s="43">
        <f t="shared" si="3"/>
        <v>0</v>
      </c>
      <c r="L13" s="47">
        <f t="shared" si="2"/>
        <v>0</v>
      </c>
    </row>
    <row r="14" spans="1:12" ht="15.75" x14ac:dyDescent="0.25">
      <c r="A14" s="36" t="s">
        <v>171</v>
      </c>
      <c r="B14" s="37">
        <v>0</v>
      </c>
      <c r="C14" s="38"/>
      <c r="D14" s="38"/>
      <c r="E14" s="36">
        <v>7</v>
      </c>
      <c r="F14" s="36">
        <v>1</v>
      </c>
      <c r="G14" s="40">
        <v>9.735984769019387</v>
      </c>
      <c r="H14" s="42">
        <v>1.0973598476901938</v>
      </c>
      <c r="I14" s="43">
        <f t="shared" si="4"/>
        <v>0</v>
      </c>
      <c r="J14" s="43">
        <f t="shared" si="3"/>
        <v>0</v>
      </c>
      <c r="K14" s="43">
        <f t="shared" si="3"/>
        <v>0</v>
      </c>
      <c r="L14" s="47">
        <f t="shared" si="2"/>
        <v>0</v>
      </c>
    </row>
    <row r="15" spans="1:12" ht="15.75" x14ac:dyDescent="0.25">
      <c r="A15" s="36" t="s">
        <v>172</v>
      </c>
      <c r="B15" s="37">
        <v>5000</v>
      </c>
      <c r="C15" s="37">
        <v>5812</v>
      </c>
      <c r="D15" s="37">
        <v>5000</v>
      </c>
      <c r="E15" s="36">
        <v>7</v>
      </c>
      <c r="F15" s="36">
        <v>1</v>
      </c>
      <c r="G15" s="40">
        <v>9.735984769019387</v>
      </c>
      <c r="H15" s="42">
        <v>1.0973598476901938</v>
      </c>
      <c r="I15" s="43">
        <f t="shared" si="4"/>
        <v>658.41590861411623</v>
      </c>
      <c r="J15" s="43">
        <f t="shared" si="3"/>
        <v>765.34265217304869</v>
      </c>
      <c r="K15" s="43">
        <f t="shared" si="3"/>
        <v>781.3202115554185</v>
      </c>
      <c r="L15" s="47">
        <f t="shared" si="2"/>
        <v>2205.0787723425833</v>
      </c>
    </row>
    <row r="16" spans="1:12" ht="15.75" x14ac:dyDescent="0.25">
      <c r="A16" s="36" t="s">
        <v>173</v>
      </c>
      <c r="B16" s="37">
        <v>4162</v>
      </c>
      <c r="C16" s="37">
        <v>3363</v>
      </c>
      <c r="D16" s="37">
        <v>5503</v>
      </c>
      <c r="E16" s="36">
        <v>7</v>
      </c>
      <c r="F16" s="36">
        <v>1</v>
      </c>
      <c r="G16" s="40">
        <v>9.735984769019387</v>
      </c>
      <c r="H16" s="42">
        <v>1.0973598476901938</v>
      </c>
      <c r="I16" s="43">
        <f t="shared" si="4"/>
        <v>548.06540233039038</v>
      </c>
      <c r="J16" s="43">
        <f t="shared" si="3"/>
        <v>442.85054013385462</v>
      </c>
      <c r="K16" s="43">
        <f t="shared" si="3"/>
        <v>859.92102483789358</v>
      </c>
      <c r="L16" s="48">
        <f t="shared" si="2"/>
        <v>1850.8369673021386</v>
      </c>
    </row>
    <row r="17" spans="1:13" ht="16.5" thickBot="1" x14ac:dyDescent="0.3">
      <c r="A17" s="36"/>
      <c r="B17" s="37"/>
      <c r="C17" s="37"/>
      <c r="D17" s="37"/>
      <c r="E17" s="36"/>
      <c r="F17" s="36"/>
      <c r="G17" s="40"/>
      <c r="H17" s="39"/>
      <c r="I17" s="43">
        <f t="shared" ref="I17:K17" si="5">SUM(I4:I16)</f>
        <v>5615.8926509332432</v>
      </c>
      <c r="J17" s="43">
        <f t="shared" si="5"/>
        <v>7131.4343893812156</v>
      </c>
      <c r="K17" s="43">
        <f t="shared" si="5"/>
        <v>22074.171144948305</v>
      </c>
      <c r="L17" s="46">
        <f>SUM(L4:L16)</f>
        <v>34821.498185262761</v>
      </c>
    </row>
    <row r="18" spans="1:13" ht="16.5" thickTop="1" x14ac:dyDescent="0.25">
      <c r="A18" s="36"/>
      <c r="B18" s="37"/>
      <c r="C18" s="37"/>
      <c r="D18" s="37"/>
      <c r="E18" s="36"/>
      <c r="F18" s="36"/>
      <c r="G18" s="40"/>
      <c r="H18" s="39"/>
    </row>
    <row r="19" spans="1:13" ht="15.4" customHeight="1" x14ac:dyDescent="0.25">
      <c r="A19" s="82" t="s">
        <v>311</v>
      </c>
      <c r="B19" s="83"/>
      <c r="C19" s="83"/>
      <c r="D19" s="83"/>
      <c r="E19" s="83"/>
      <c r="F19" s="83"/>
      <c r="G19" s="83"/>
      <c r="H19" s="84"/>
      <c r="K19" s="86" t="s">
        <v>312</v>
      </c>
      <c r="L19" s="87"/>
      <c r="M19" s="88"/>
    </row>
    <row r="20" spans="1:13" ht="15.75" x14ac:dyDescent="0.25">
      <c r="A20" s="35"/>
      <c r="B20" s="35" t="s">
        <v>1</v>
      </c>
      <c r="C20" s="35" t="s">
        <v>2</v>
      </c>
      <c r="D20" s="35" t="s">
        <v>3</v>
      </c>
      <c r="E20" s="35" t="s">
        <v>157</v>
      </c>
      <c r="F20" s="54" t="s">
        <v>158</v>
      </c>
      <c r="G20" s="35" t="s">
        <v>159</v>
      </c>
      <c r="H20" s="54" t="s">
        <v>160</v>
      </c>
      <c r="K20" s="44" t="s">
        <v>177</v>
      </c>
    </row>
    <row r="21" spans="1:13" ht="15.75" x14ac:dyDescent="0.25">
      <c r="A21" s="36" t="s">
        <v>161</v>
      </c>
      <c r="B21" s="37">
        <v>0</v>
      </c>
      <c r="C21" s="38"/>
      <c r="D21" s="38"/>
      <c r="E21" s="35"/>
      <c r="F21" s="35"/>
      <c r="G21" s="39"/>
      <c r="H21" s="39"/>
      <c r="K21" s="44" t="s">
        <v>174</v>
      </c>
      <c r="L21" s="44" t="s">
        <v>175</v>
      </c>
      <c r="M21" s="44" t="s">
        <v>176</v>
      </c>
    </row>
    <row r="22" spans="1:13" ht="15.75" x14ac:dyDescent="0.25">
      <c r="A22" s="36" t="s">
        <v>162</v>
      </c>
      <c r="B22" s="37">
        <v>0</v>
      </c>
      <c r="C22" s="37">
        <v>0</v>
      </c>
      <c r="D22" s="37">
        <v>0</v>
      </c>
      <c r="E22" s="36"/>
      <c r="F22" s="36"/>
      <c r="G22" s="39"/>
      <c r="H22" s="39"/>
      <c r="K22" s="68">
        <f>(100-'Impact Graph'!B20)/100</f>
        <v>0.12</v>
      </c>
      <c r="L22" s="68">
        <f>(100-'Impact Graph'!B21)/100</f>
        <v>0.12</v>
      </c>
      <c r="M22" s="68">
        <f>(100-'Impact Graph'!B22)/100</f>
        <v>0.14240000000000008</v>
      </c>
    </row>
    <row r="23" spans="1:13" ht="15.75" x14ac:dyDescent="0.25">
      <c r="A23" s="36" t="s">
        <v>163</v>
      </c>
      <c r="B23" s="37">
        <f ca="1">RANDBETWEEN(3000,5000)</f>
        <v>3360</v>
      </c>
      <c r="C23" s="37">
        <f t="shared" ref="C23:D23" ca="1" si="6">RANDBETWEEN(3000,5000)</f>
        <v>4388</v>
      </c>
      <c r="D23" s="37">
        <f t="shared" ca="1" si="6"/>
        <v>3083</v>
      </c>
      <c r="E23" s="36">
        <f ca="1">RANDBETWEEN(1,7)</f>
        <v>1</v>
      </c>
      <c r="F23" s="36">
        <f ca="1">IF(E23&lt;3,3,IF(E23&lt;6,2,1))</f>
        <v>3</v>
      </c>
      <c r="G23" s="40">
        <f ca="1">RAND()*30</f>
        <v>18.748799717043649</v>
      </c>
      <c r="H23" s="39">
        <f ca="1">G23/100+1</f>
        <v>1.1874879971704364</v>
      </c>
    </row>
    <row r="24" spans="1:13" ht="15.75" x14ac:dyDescent="0.25">
      <c r="A24" s="36" t="s">
        <v>164</v>
      </c>
      <c r="B24" s="37">
        <f ca="1">RANDBETWEEN(6000,10000)</f>
        <v>7828</v>
      </c>
      <c r="C24" s="38"/>
      <c r="D24" s="38"/>
      <c r="E24" s="36">
        <f ca="1">$E$23</f>
        <v>1</v>
      </c>
      <c r="F24" s="36">
        <f ca="1">$F$23</f>
        <v>3</v>
      </c>
      <c r="G24" s="40">
        <f ca="1">$G$23</f>
        <v>18.748799717043649</v>
      </c>
      <c r="H24" s="39">
        <f t="shared" ref="H24:H33" ca="1" si="7">G24/100+1</f>
        <v>1.1874879971704364</v>
      </c>
    </row>
    <row r="25" spans="1:13" ht="15.75" x14ac:dyDescent="0.25">
      <c r="A25" s="36" t="s">
        <v>165</v>
      </c>
      <c r="B25" s="37">
        <f ca="1">RANDBETWEEN(3000,5000)</f>
        <v>3820</v>
      </c>
      <c r="C25" s="37">
        <f t="shared" ref="C25:D25" ca="1" si="8">RANDBETWEEN(3000,5000)</f>
        <v>4998</v>
      </c>
      <c r="D25" s="37">
        <f t="shared" ca="1" si="8"/>
        <v>4434</v>
      </c>
      <c r="E25" s="36">
        <f t="shared" ref="E25:E33" ca="1" si="9">$E$23</f>
        <v>1</v>
      </c>
      <c r="F25" s="36">
        <f t="shared" ref="F25:F33" ca="1" si="10">$F$23</f>
        <v>3</v>
      </c>
      <c r="G25" s="40">
        <f t="shared" ref="G25:G33" ca="1" si="11">$G$23</f>
        <v>18.748799717043649</v>
      </c>
      <c r="H25" s="39">
        <f t="shared" ca="1" si="7"/>
        <v>1.1874879971704364</v>
      </c>
    </row>
    <row r="26" spans="1:13" ht="15.75" x14ac:dyDescent="0.25">
      <c r="A26" s="36" t="s">
        <v>166</v>
      </c>
      <c r="B26" s="37">
        <f ca="1">RANDBETWEEN(6000,8000)</f>
        <v>6867</v>
      </c>
      <c r="C26" s="37">
        <f t="shared" ref="C26:D26" ca="1" si="12">RANDBETWEEN(6000,8000)</f>
        <v>6554</v>
      </c>
      <c r="D26" s="37">
        <f t="shared" ca="1" si="12"/>
        <v>7178</v>
      </c>
      <c r="E26" s="36">
        <f t="shared" ca="1" si="9"/>
        <v>1</v>
      </c>
      <c r="F26" s="36">
        <f t="shared" ca="1" si="10"/>
        <v>3</v>
      </c>
      <c r="G26" s="40">
        <f t="shared" ca="1" si="11"/>
        <v>18.748799717043649</v>
      </c>
      <c r="H26" s="39">
        <f t="shared" ca="1" si="7"/>
        <v>1.1874879971704364</v>
      </c>
    </row>
    <row r="27" spans="1:13" ht="15.75" x14ac:dyDescent="0.25">
      <c r="A27" s="36" t="s">
        <v>167</v>
      </c>
      <c r="B27" s="37">
        <v>0</v>
      </c>
      <c r="C27" s="37">
        <v>0</v>
      </c>
      <c r="D27" s="37">
        <f ca="1">RANDBETWEEN(50000,100000)</f>
        <v>88770</v>
      </c>
      <c r="E27" s="36">
        <f t="shared" ca="1" si="9"/>
        <v>1</v>
      </c>
      <c r="F27" s="36">
        <f t="shared" ca="1" si="10"/>
        <v>3</v>
      </c>
      <c r="G27" s="40">
        <f t="shared" ca="1" si="11"/>
        <v>18.748799717043649</v>
      </c>
      <c r="H27" s="39">
        <f t="shared" ca="1" si="7"/>
        <v>1.1874879971704364</v>
      </c>
    </row>
    <row r="28" spans="1:13" ht="15.75" x14ac:dyDescent="0.25">
      <c r="A28" s="36" t="s">
        <v>168</v>
      </c>
      <c r="B28" s="37">
        <f ca="1">RANDBETWEEN(2500,4000)</f>
        <v>3999</v>
      </c>
      <c r="C28" s="37">
        <f t="shared" ref="C28:D28" ca="1" si="13">RANDBETWEEN(2500,4000)</f>
        <v>3932</v>
      </c>
      <c r="D28" s="37">
        <f t="shared" ca="1" si="13"/>
        <v>3756</v>
      </c>
      <c r="E28" s="36">
        <f t="shared" ca="1" si="9"/>
        <v>1</v>
      </c>
      <c r="F28" s="36">
        <f t="shared" ca="1" si="10"/>
        <v>3</v>
      </c>
      <c r="G28" s="40">
        <f t="shared" ca="1" si="11"/>
        <v>18.748799717043649</v>
      </c>
      <c r="H28" s="39">
        <f t="shared" ca="1" si="7"/>
        <v>1.1874879971704364</v>
      </c>
    </row>
    <row r="29" spans="1:13" ht="15.75" x14ac:dyDescent="0.25">
      <c r="A29" s="36" t="s">
        <v>169</v>
      </c>
      <c r="B29" s="37">
        <v>0</v>
      </c>
      <c r="C29" s="37">
        <v>1</v>
      </c>
      <c r="D29" s="37">
        <v>2</v>
      </c>
      <c r="E29" s="36">
        <f t="shared" ca="1" si="9"/>
        <v>1</v>
      </c>
      <c r="F29" s="36">
        <f t="shared" ca="1" si="10"/>
        <v>3</v>
      </c>
      <c r="G29" s="40">
        <f t="shared" ca="1" si="11"/>
        <v>18.748799717043649</v>
      </c>
      <c r="H29" s="39">
        <f t="shared" ca="1" si="7"/>
        <v>1.1874879971704364</v>
      </c>
    </row>
    <row r="30" spans="1:13" ht="15.75" x14ac:dyDescent="0.25">
      <c r="A30" s="36" t="s">
        <v>170</v>
      </c>
      <c r="B30" s="37">
        <v>0</v>
      </c>
      <c r="C30" s="38"/>
      <c r="D30" s="38"/>
      <c r="E30" s="36">
        <f t="shared" ca="1" si="9"/>
        <v>1</v>
      </c>
      <c r="F30" s="36">
        <f t="shared" ca="1" si="10"/>
        <v>3</v>
      </c>
      <c r="G30" s="40">
        <f t="shared" ca="1" si="11"/>
        <v>18.748799717043649</v>
      </c>
      <c r="H30" s="39">
        <f t="shared" ca="1" si="7"/>
        <v>1.1874879971704364</v>
      </c>
    </row>
    <row r="31" spans="1:13" ht="15.75" x14ac:dyDescent="0.25">
      <c r="A31" s="36" t="s">
        <v>171</v>
      </c>
      <c r="B31" s="37">
        <v>0</v>
      </c>
      <c r="C31" s="38"/>
      <c r="D31" s="38"/>
      <c r="E31" s="36">
        <f t="shared" ca="1" si="9"/>
        <v>1</v>
      </c>
      <c r="F31" s="36">
        <f t="shared" ca="1" si="10"/>
        <v>3</v>
      </c>
      <c r="G31" s="40">
        <f t="shared" ca="1" si="11"/>
        <v>18.748799717043649</v>
      </c>
      <c r="H31" s="39">
        <f t="shared" ca="1" si="7"/>
        <v>1.1874879971704364</v>
      </c>
    </row>
    <row r="32" spans="1:13" ht="15.75" x14ac:dyDescent="0.25">
      <c r="A32" s="36" t="s">
        <v>172</v>
      </c>
      <c r="B32" s="37">
        <f ca="1">RANDBETWEEN(0,10000)</f>
        <v>239</v>
      </c>
      <c r="C32" s="37">
        <f t="shared" ref="C32:D32" ca="1" si="14">RANDBETWEEN(0,10000)</f>
        <v>6395</v>
      </c>
      <c r="D32" s="37">
        <f t="shared" ca="1" si="14"/>
        <v>4870</v>
      </c>
      <c r="E32" s="36">
        <f t="shared" ca="1" si="9"/>
        <v>1</v>
      </c>
      <c r="F32" s="36">
        <f t="shared" ca="1" si="10"/>
        <v>3</v>
      </c>
      <c r="G32" s="40">
        <f t="shared" ca="1" si="11"/>
        <v>18.748799717043649</v>
      </c>
      <c r="H32" s="39">
        <f t="shared" ca="1" si="7"/>
        <v>1.1874879971704364</v>
      </c>
    </row>
    <row r="33" spans="1:8" ht="15.75" x14ac:dyDescent="0.25">
      <c r="A33" s="36" t="s">
        <v>173</v>
      </c>
      <c r="B33" s="37">
        <f ca="1">RANDBETWEEN(3000,6000)</f>
        <v>5091</v>
      </c>
      <c r="C33" s="37">
        <f t="shared" ref="C33:D33" ca="1" si="15">RANDBETWEEN(3000,6000)</f>
        <v>5996</v>
      </c>
      <c r="D33" s="37">
        <f t="shared" ca="1" si="15"/>
        <v>4382</v>
      </c>
      <c r="E33" s="36">
        <f t="shared" ca="1" si="9"/>
        <v>1</v>
      </c>
      <c r="F33" s="36">
        <f t="shared" ca="1" si="10"/>
        <v>3</v>
      </c>
      <c r="G33" s="40">
        <f t="shared" ca="1" si="11"/>
        <v>18.748799717043649</v>
      </c>
      <c r="H33" s="39">
        <f t="shared" ca="1" si="7"/>
        <v>1.1874879971704364</v>
      </c>
    </row>
  </sheetData>
  <mergeCells count="3">
    <mergeCell ref="A2:L2"/>
    <mergeCell ref="A19:H19"/>
    <mergeCell ref="K19:M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8"/>
  <sheetViews>
    <sheetView zoomScale="85" zoomScaleNormal="85" workbookViewId="0">
      <selection sqref="A1:B1"/>
    </sheetView>
  </sheetViews>
  <sheetFormatPr defaultColWidth="8.85546875" defaultRowHeight="15" x14ac:dyDescent="0.25"/>
  <cols>
    <col min="1" max="1" width="4.42578125" bestFit="1" customWidth="1"/>
    <col min="2" max="3" width="5" bestFit="1" customWidth="1"/>
    <col min="5" max="5" width="3.28515625" bestFit="1" customWidth="1"/>
    <col min="6" max="8" width="5" bestFit="1" customWidth="1"/>
    <col min="9" max="11" width="4.42578125" bestFit="1" customWidth="1"/>
    <col min="12" max="12" width="5" bestFit="1" customWidth="1"/>
    <col min="14" max="14" width="27.42578125" bestFit="1" customWidth="1"/>
    <col min="15" max="17" width="9.42578125" bestFit="1" customWidth="1"/>
    <col min="18" max="18" width="12.140625" bestFit="1" customWidth="1"/>
    <col min="19" max="19" width="2.140625" bestFit="1" customWidth="1"/>
    <col min="20" max="20" width="14.140625" bestFit="1" customWidth="1"/>
    <col min="21" max="21" width="3.85546875" bestFit="1" customWidth="1"/>
    <col min="22" max="23" width="8" bestFit="1" customWidth="1"/>
    <col min="24" max="24" width="9" bestFit="1" customWidth="1"/>
    <col min="25" max="25" width="9.7109375" bestFit="1" customWidth="1"/>
  </cols>
  <sheetData>
    <row r="1" spans="1:25" x14ac:dyDescent="0.25">
      <c r="A1" s="85" t="s">
        <v>156</v>
      </c>
      <c r="B1" s="85"/>
      <c r="N1" s="86" t="s">
        <v>318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8"/>
    </row>
    <row r="2" spans="1:25" ht="15.75" x14ac:dyDescent="0.25">
      <c r="N2" s="35"/>
      <c r="O2" s="35" t="s">
        <v>1</v>
      </c>
      <c r="P2" s="35" t="s">
        <v>2</v>
      </c>
      <c r="Q2" s="35" t="s">
        <v>3</v>
      </c>
      <c r="R2" s="35" t="s">
        <v>157</v>
      </c>
      <c r="S2" s="55" t="s">
        <v>158</v>
      </c>
      <c r="T2" s="35" t="s">
        <v>159</v>
      </c>
      <c r="U2" s="41" t="s">
        <v>160</v>
      </c>
      <c r="V2" s="50" t="s">
        <v>179</v>
      </c>
      <c r="W2" s="50" t="s">
        <v>180</v>
      </c>
      <c r="X2" s="50" t="s">
        <v>181</v>
      </c>
      <c r="Y2" s="67" t="s">
        <v>178</v>
      </c>
    </row>
    <row r="3" spans="1:25" ht="15.75" x14ac:dyDescent="0.25">
      <c r="A3" s="85" t="s">
        <v>316</v>
      </c>
      <c r="B3" s="85"/>
      <c r="C3" s="85"/>
      <c r="E3" s="86" t="s">
        <v>317</v>
      </c>
      <c r="F3" s="87"/>
      <c r="G3" s="87"/>
      <c r="H3" s="87"/>
      <c r="I3" s="87"/>
      <c r="J3" s="87"/>
      <c r="K3" s="87"/>
      <c r="L3" s="88"/>
      <c r="N3" s="36" t="s">
        <v>161</v>
      </c>
      <c r="O3" s="37">
        <v>0</v>
      </c>
      <c r="P3" s="38"/>
      <c r="Q3" s="38"/>
      <c r="R3" s="35"/>
      <c r="S3" s="35"/>
      <c r="T3" s="39"/>
      <c r="U3" s="42"/>
      <c r="V3" s="43">
        <v>0</v>
      </c>
      <c r="W3" s="43">
        <v>0</v>
      </c>
      <c r="X3" s="45">
        <v>0</v>
      </c>
      <c r="Y3" s="47">
        <v>0</v>
      </c>
    </row>
    <row r="4" spans="1:25" ht="15.75" x14ac:dyDescent="0.25">
      <c r="B4" t="s">
        <v>194</v>
      </c>
      <c r="C4" t="s">
        <v>91</v>
      </c>
      <c r="E4" s="22"/>
      <c r="F4" s="51" t="s">
        <v>198</v>
      </c>
      <c r="G4" s="51" t="s">
        <v>199</v>
      </c>
      <c r="H4" s="51" t="s">
        <v>200</v>
      </c>
      <c r="I4" s="51" t="s">
        <v>195</v>
      </c>
      <c r="J4" s="51" t="s">
        <v>196</v>
      </c>
      <c r="K4" s="51" t="s">
        <v>197</v>
      </c>
      <c r="L4" s="52" t="s">
        <v>201</v>
      </c>
      <c r="N4" s="36" t="s">
        <v>162</v>
      </c>
      <c r="O4" s="37">
        <v>0</v>
      </c>
      <c r="P4" s="37">
        <v>0</v>
      </c>
      <c r="Q4" s="37">
        <v>0</v>
      </c>
      <c r="R4" s="36"/>
      <c r="S4" s="36"/>
      <c r="T4" s="39"/>
      <c r="U4" s="42"/>
      <c r="V4" s="43">
        <v>0</v>
      </c>
      <c r="W4" s="43">
        <v>0</v>
      </c>
      <c r="X4" s="45">
        <v>0</v>
      </c>
      <c r="Y4" s="47">
        <v>0</v>
      </c>
    </row>
    <row r="5" spans="1:25" ht="15.75" x14ac:dyDescent="0.25">
      <c r="A5" t="s">
        <v>10</v>
      </c>
      <c r="B5">
        <v>100</v>
      </c>
      <c r="E5" s="3" t="s">
        <v>4</v>
      </c>
      <c r="F5" s="4">
        <v>100</v>
      </c>
      <c r="G5" s="4">
        <v>100</v>
      </c>
      <c r="H5" s="4">
        <v>100</v>
      </c>
      <c r="I5" s="18">
        <v>0.1</v>
      </c>
      <c r="J5" s="18">
        <v>0.45</v>
      </c>
      <c r="K5" s="18">
        <v>0.45</v>
      </c>
      <c r="L5" s="4">
        <f>SUMPRODUCT(F5:H5,I5:K5)</f>
        <v>100</v>
      </c>
      <c r="N5" s="36" t="s">
        <v>163</v>
      </c>
      <c r="O5" s="37">
        <v>3622</v>
      </c>
      <c r="P5" s="37">
        <v>4251</v>
      </c>
      <c r="Q5" s="37">
        <v>4648</v>
      </c>
      <c r="R5" s="36">
        <v>7</v>
      </c>
      <c r="S5" s="36">
        <v>1</v>
      </c>
      <c r="T5" s="40">
        <v>9.735984769019387</v>
      </c>
      <c r="U5" s="42">
        <v>1.0973598476901938</v>
      </c>
      <c r="V5" s="43">
        <v>476.9564842000658</v>
      </c>
      <c r="W5" s="43">
        <v>559.78520550372161</v>
      </c>
      <c r="X5" s="45">
        <v>726.315268661917</v>
      </c>
      <c r="Y5" s="47">
        <v>1763.0569583657043</v>
      </c>
    </row>
    <row r="6" spans="1:25" ht="15.75" x14ac:dyDescent="0.25">
      <c r="A6" t="s">
        <v>11</v>
      </c>
      <c r="B6">
        <v>100</v>
      </c>
      <c r="E6" s="3" t="s">
        <v>5</v>
      </c>
      <c r="F6">
        <v>70</v>
      </c>
      <c r="G6">
        <v>70</v>
      </c>
      <c r="H6">
        <v>58.8</v>
      </c>
      <c r="I6" s="18">
        <v>0.1</v>
      </c>
      <c r="J6" s="18">
        <v>0.2</v>
      </c>
      <c r="K6" s="18">
        <v>0.7</v>
      </c>
      <c r="L6" s="4">
        <f t="shared" ref="L6:L10" si="0">SUMPRODUCT(F6:H6,I6:K6)</f>
        <v>62.16</v>
      </c>
      <c r="N6" s="36" t="s">
        <v>164</v>
      </c>
      <c r="O6" s="37">
        <v>0</v>
      </c>
      <c r="P6" s="38"/>
      <c r="Q6" s="38"/>
      <c r="R6" s="36">
        <v>7</v>
      </c>
      <c r="S6" s="36">
        <v>1</v>
      </c>
      <c r="T6" s="40">
        <v>9.735984769019387</v>
      </c>
      <c r="U6" s="42">
        <v>1.0973598476901938</v>
      </c>
      <c r="V6" s="43">
        <v>0</v>
      </c>
      <c r="W6" s="43">
        <v>0</v>
      </c>
      <c r="X6" s="45">
        <v>0</v>
      </c>
      <c r="Y6" s="47">
        <v>0</v>
      </c>
    </row>
    <row r="7" spans="1:25" ht="15.75" x14ac:dyDescent="0.25">
      <c r="A7" t="s">
        <v>12</v>
      </c>
      <c r="B7">
        <v>100</v>
      </c>
      <c r="E7" s="3" t="s">
        <v>6</v>
      </c>
      <c r="F7" s="4">
        <v>100</v>
      </c>
      <c r="G7" s="4">
        <v>100</v>
      </c>
      <c r="H7" s="4">
        <v>100</v>
      </c>
      <c r="I7" s="18">
        <v>0.1</v>
      </c>
      <c r="J7" s="18">
        <v>0.45</v>
      </c>
      <c r="K7" s="18">
        <v>0.45</v>
      </c>
      <c r="L7" s="4">
        <f t="shared" si="0"/>
        <v>100</v>
      </c>
      <c r="N7" s="36" t="s">
        <v>165</v>
      </c>
      <c r="O7" s="37">
        <v>20000</v>
      </c>
      <c r="P7" s="37">
        <v>30000</v>
      </c>
      <c r="Q7" s="37">
        <v>30000</v>
      </c>
      <c r="R7" s="36">
        <v>7</v>
      </c>
      <c r="S7" s="36">
        <v>1</v>
      </c>
      <c r="T7" s="40">
        <v>9.735984769019387</v>
      </c>
      <c r="U7" s="42">
        <v>1.0973598476901938</v>
      </c>
      <c r="V7" s="43">
        <v>2633.6636344564649</v>
      </c>
      <c r="W7" s="43">
        <v>3950.4954516846979</v>
      </c>
      <c r="X7" s="45">
        <v>4687.9212693325107</v>
      </c>
      <c r="Y7" s="47">
        <v>11272.080355473674</v>
      </c>
    </row>
    <row r="8" spans="1:25" ht="15.75" x14ac:dyDescent="0.25">
      <c r="A8" t="s">
        <v>13</v>
      </c>
      <c r="B8">
        <v>70</v>
      </c>
      <c r="C8">
        <v>0.7</v>
      </c>
      <c r="E8" s="3" t="s">
        <v>7</v>
      </c>
      <c r="F8">
        <v>100</v>
      </c>
      <c r="G8">
        <v>100</v>
      </c>
      <c r="H8">
        <v>64</v>
      </c>
      <c r="I8" s="18">
        <v>0.35</v>
      </c>
      <c r="J8" s="18">
        <v>0.35</v>
      </c>
      <c r="K8" s="18">
        <v>0.3</v>
      </c>
      <c r="L8" s="4">
        <f t="shared" si="0"/>
        <v>89.2</v>
      </c>
      <c r="N8" s="36" t="s">
        <v>166</v>
      </c>
      <c r="O8" s="37">
        <v>7182</v>
      </c>
      <c r="P8" s="37">
        <v>7807</v>
      </c>
      <c r="Q8" s="37">
        <v>6270</v>
      </c>
      <c r="R8" s="36">
        <v>7</v>
      </c>
      <c r="S8" s="36">
        <v>1</v>
      </c>
      <c r="T8" s="40">
        <v>9.735984769019387</v>
      </c>
      <c r="U8" s="42">
        <v>1.0973598476901938</v>
      </c>
      <c r="V8" s="43">
        <v>945.74861113331656</v>
      </c>
      <c r="W8" s="43">
        <v>1028.0505997100811</v>
      </c>
      <c r="X8" s="45">
        <v>979.77554529049473</v>
      </c>
      <c r="Y8" s="47">
        <v>2953.5747561338926</v>
      </c>
    </row>
    <row r="9" spans="1:25" ht="15.75" x14ac:dyDescent="0.25">
      <c r="A9" t="s">
        <v>14</v>
      </c>
      <c r="B9">
        <v>70</v>
      </c>
      <c r="C9">
        <v>0.7</v>
      </c>
      <c r="E9" s="3" t="s">
        <v>8</v>
      </c>
      <c r="F9">
        <v>70</v>
      </c>
      <c r="G9">
        <v>70</v>
      </c>
      <c r="H9">
        <v>58.8</v>
      </c>
      <c r="I9" s="18">
        <v>0.2</v>
      </c>
      <c r="J9" s="18">
        <v>0.3</v>
      </c>
      <c r="K9" s="18">
        <v>0.5</v>
      </c>
      <c r="L9" s="4">
        <f t="shared" si="0"/>
        <v>64.400000000000006</v>
      </c>
      <c r="N9" s="36" t="s">
        <v>167</v>
      </c>
      <c r="O9" s="37">
        <v>0</v>
      </c>
      <c r="P9" s="37">
        <v>0</v>
      </c>
      <c r="Q9" s="37">
        <v>86029</v>
      </c>
      <c r="R9" s="36">
        <v>7</v>
      </c>
      <c r="S9" s="36">
        <v>1</v>
      </c>
      <c r="T9" s="40">
        <v>9.735984769019387</v>
      </c>
      <c r="U9" s="42">
        <v>1.0973598476901938</v>
      </c>
      <c r="V9" s="43">
        <v>0</v>
      </c>
      <c r="W9" s="43">
        <v>0</v>
      </c>
      <c r="X9" s="45">
        <v>13443.239295980218</v>
      </c>
      <c r="Y9" s="47">
        <v>13443.239295980218</v>
      </c>
    </row>
    <row r="10" spans="1:25" ht="15.75" x14ac:dyDescent="0.25">
      <c r="A10" t="s">
        <v>15</v>
      </c>
      <c r="B10">
        <v>58.8</v>
      </c>
      <c r="C10">
        <v>0.7</v>
      </c>
      <c r="E10" s="3" t="s">
        <v>9</v>
      </c>
      <c r="F10">
        <v>88</v>
      </c>
      <c r="G10">
        <v>88</v>
      </c>
      <c r="H10">
        <v>85.759999999999991</v>
      </c>
      <c r="I10" s="18">
        <v>0.1</v>
      </c>
      <c r="J10" s="18">
        <v>0.45</v>
      </c>
      <c r="K10" s="18">
        <v>0.45</v>
      </c>
      <c r="L10" s="4">
        <f t="shared" si="0"/>
        <v>86.992000000000004</v>
      </c>
      <c r="N10" s="36" t="s">
        <v>168</v>
      </c>
      <c r="O10" s="37">
        <v>2681</v>
      </c>
      <c r="P10" s="37">
        <v>2923</v>
      </c>
      <c r="Q10" s="37">
        <v>3812</v>
      </c>
      <c r="R10" s="36">
        <v>7</v>
      </c>
      <c r="S10" s="36">
        <v>1</v>
      </c>
      <c r="T10" s="40">
        <v>9.735984769019387</v>
      </c>
      <c r="U10" s="42">
        <v>1.0973598476901938</v>
      </c>
      <c r="V10" s="43">
        <v>353.04261019888912</v>
      </c>
      <c r="W10" s="43">
        <v>384.90994017581238</v>
      </c>
      <c r="X10" s="45">
        <v>595.6785292898511</v>
      </c>
      <c r="Y10" s="47">
        <v>1333.6310796645525</v>
      </c>
    </row>
    <row r="11" spans="1:25" ht="15.75" x14ac:dyDescent="0.25">
      <c r="A11" t="s">
        <v>16</v>
      </c>
      <c r="B11">
        <v>100</v>
      </c>
      <c r="N11" s="36" t="s">
        <v>169</v>
      </c>
      <c r="O11" s="37">
        <v>0</v>
      </c>
      <c r="P11" s="37">
        <v>0</v>
      </c>
      <c r="Q11" s="37">
        <v>0</v>
      </c>
      <c r="R11" s="36">
        <v>7</v>
      </c>
      <c r="S11" s="36">
        <v>1</v>
      </c>
      <c r="T11" s="40">
        <v>9.735984769019387</v>
      </c>
      <c r="U11" s="42">
        <v>1.0973598476901938</v>
      </c>
      <c r="V11" s="43">
        <v>0</v>
      </c>
      <c r="W11" s="43">
        <v>0</v>
      </c>
      <c r="X11" s="45">
        <v>0</v>
      </c>
      <c r="Y11" s="47">
        <v>0</v>
      </c>
    </row>
    <row r="12" spans="1:25" ht="15.75" x14ac:dyDescent="0.25">
      <c r="A12" t="s">
        <v>17</v>
      </c>
      <c r="B12">
        <v>100</v>
      </c>
      <c r="N12" s="36" t="s">
        <v>170</v>
      </c>
      <c r="O12" s="37">
        <v>0</v>
      </c>
      <c r="P12" s="38"/>
      <c r="Q12" s="38"/>
      <c r="R12" s="36">
        <v>7</v>
      </c>
      <c r="S12" s="36">
        <v>1</v>
      </c>
      <c r="T12" s="40">
        <v>9.735984769019387</v>
      </c>
      <c r="U12" s="42">
        <v>1.0973598476901938</v>
      </c>
      <c r="V12" s="43">
        <v>0</v>
      </c>
      <c r="W12" s="43">
        <v>0</v>
      </c>
      <c r="X12" s="45">
        <v>0</v>
      </c>
      <c r="Y12" s="47">
        <v>0</v>
      </c>
    </row>
    <row r="13" spans="1:25" ht="15.75" x14ac:dyDescent="0.25">
      <c r="A13" t="s">
        <v>18</v>
      </c>
      <c r="B13">
        <v>100</v>
      </c>
      <c r="N13" s="36" t="s">
        <v>171</v>
      </c>
      <c r="O13" s="37">
        <v>0</v>
      </c>
      <c r="P13" s="38"/>
      <c r="Q13" s="38"/>
      <c r="R13" s="36">
        <v>7</v>
      </c>
      <c r="S13" s="36">
        <v>1</v>
      </c>
      <c r="T13" s="40">
        <v>9.735984769019387</v>
      </c>
      <c r="U13" s="42">
        <v>1.0973598476901938</v>
      </c>
      <c r="V13" s="43">
        <v>0</v>
      </c>
      <c r="W13" s="43">
        <v>0</v>
      </c>
      <c r="X13" s="45">
        <v>0</v>
      </c>
      <c r="Y13" s="47">
        <v>0</v>
      </c>
    </row>
    <row r="14" spans="1:25" ht="15.75" x14ac:dyDescent="0.25">
      <c r="A14" t="s">
        <v>19</v>
      </c>
      <c r="B14">
        <v>100</v>
      </c>
      <c r="C14">
        <v>1</v>
      </c>
      <c r="N14" s="36" t="s">
        <v>172</v>
      </c>
      <c r="O14" s="37">
        <v>5000</v>
      </c>
      <c r="P14" s="37">
        <v>5812</v>
      </c>
      <c r="Q14" s="37">
        <v>5000</v>
      </c>
      <c r="R14" s="36">
        <v>7</v>
      </c>
      <c r="S14" s="36">
        <v>1</v>
      </c>
      <c r="T14" s="40">
        <v>9.735984769019387</v>
      </c>
      <c r="U14" s="42">
        <v>1.0973598476901938</v>
      </c>
      <c r="V14" s="43">
        <v>658.41590861411623</v>
      </c>
      <c r="W14" s="43">
        <v>765.34265217304869</v>
      </c>
      <c r="X14" s="45">
        <v>781.3202115554185</v>
      </c>
      <c r="Y14" s="47">
        <v>2205.0787723425833</v>
      </c>
    </row>
    <row r="15" spans="1:25" ht="15.75" x14ac:dyDescent="0.25">
      <c r="A15" t="s">
        <v>20</v>
      </c>
      <c r="B15">
        <v>100</v>
      </c>
      <c r="C15">
        <v>1</v>
      </c>
      <c r="N15" s="36" t="s">
        <v>173</v>
      </c>
      <c r="O15" s="37">
        <v>4162</v>
      </c>
      <c r="P15" s="37">
        <v>3363</v>
      </c>
      <c r="Q15" s="37">
        <v>5503</v>
      </c>
      <c r="R15" s="36">
        <v>7</v>
      </c>
      <c r="S15" s="36">
        <v>1</v>
      </c>
      <c r="T15" s="40">
        <v>9.735984769019387</v>
      </c>
      <c r="U15" s="42">
        <v>1.0973598476901938</v>
      </c>
      <c r="V15" s="43">
        <v>548.06540233039038</v>
      </c>
      <c r="W15" s="43">
        <v>442.85054013385462</v>
      </c>
      <c r="X15" s="45">
        <v>859.92102483789358</v>
      </c>
      <c r="Y15" s="48">
        <v>1850.8369673021386</v>
      </c>
    </row>
    <row r="16" spans="1:25" ht="16.5" thickBot="1" x14ac:dyDescent="0.3">
      <c r="A16" t="s">
        <v>21</v>
      </c>
      <c r="B16">
        <v>64</v>
      </c>
      <c r="C16">
        <v>0.64</v>
      </c>
      <c r="N16" s="36"/>
      <c r="O16" s="37"/>
      <c r="P16" s="37"/>
      <c r="Q16" s="37"/>
      <c r="R16" s="36"/>
      <c r="S16" s="36"/>
      <c r="T16" s="40"/>
      <c r="U16" s="39"/>
      <c r="V16" s="43">
        <v>5615.8926509332432</v>
      </c>
      <c r="W16" s="43">
        <v>7131.4343893812156</v>
      </c>
      <c r="X16" s="43">
        <v>22074.171144948305</v>
      </c>
      <c r="Y16" s="46">
        <v>34821.498185262761</v>
      </c>
    </row>
    <row r="17" spans="1:32" ht="15.75" thickTop="1" x14ac:dyDescent="0.25">
      <c r="A17" t="s">
        <v>22</v>
      </c>
      <c r="B17">
        <v>70</v>
      </c>
      <c r="C17">
        <v>1</v>
      </c>
      <c r="N17" s="85" t="s">
        <v>315</v>
      </c>
      <c r="O17" s="85"/>
      <c r="P17" s="85"/>
      <c r="Q17" s="85"/>
      <c r="R17" s="85"/>
      <c r="V17" s="31">
        <f t="shared" ref="V17:W17" si="1">V16/SUM($V$16:$X$16)</f>
        <v>0.16127659473623721</v>
      </c>
      <c r="W17" s="31">
        <f t="shared" si="1"/>
        <v>0.20479975765084676</v>
      </c>
      <c r="X17" s="31">
        <f>X16/SUM($V$16:$X$16)</f>
        <v>0.63392364761291586</v>
      </c>
    </row>
    <row r="18" spans="1:32" ht="15.75" x14ac:dyDescent="0.25">
      <c r="A18" t="s">
        <v>23</v>
      </c>
      <c r="B18">
        <v>70</v>
      </c>
      <c r="C18">
        <v>1</v>
      </c>
      <c r="N18" s="35"/>
      <c r="O18" s="50" t="s">
        <v>179</v>
      </c>
      <c r="P18" s="50" t="s">
        <v>180</v>
      </c>
      <c r="Q18" s="50" t="s">
        <v>181</v>
      </c>
      <c r="R18" s="49" t="s">
        <v>178</v>
      </c>
    </row>
    <row r="19" spans="1:32" ht="15.75" x14ac:dyDescent="0.25">
      <c r="A19" t="s">
        <v>24</v>
      </c>
      <c r="B19">
        <v>58.8</v>
      </c>
      <c r="C19">
        <v>1</v>
      </c>
      <c r="N19" s="36" t="s">
        <v>167</v>
      </c>
      <c r="O19" s="43">
        <v>0</v>
      </c>
      <c r="P19" s="43">
        <v>0</v>
      </c>
      <c r="Q19" s="45">
        <v>13443.239295980218</v>
      </c>
      <c r="R19" s="47">
        <v>13443.239295980218</v>
      </c>
    </row>
    <row r="20" spans="1:32" ht="15.75" x14ac:dyDescent="0.25">
      <c r="N20" s="36" t="s">
        <v>269</v>
      </c>
      <c r="O20" s="43">
        <v>2633.6636344564649</v>
      </c>
      <c r="P20" s="43">
        <v>3950.4954516846979</v>
      </c>
      <c r="Q20" s="45">
        <v>4687.9212693325107</v>
      </c>
      <c r="R20" s="47">
        <v>11272.080355473674</v>
      </c>
    </row>
    <row r="21" spans="1:32" ht="15.75" x14ac:dyDescent="0.25">
      <c r="N21" s="36" t="s">
        <v>270</v>
      </c>
      <c r="O21" s="43">
        <v>945.74861113331656</v>
      </c>
      <c r="P21" s="43">
        <v>1028.0505997100811</v>
      </c>
      <c r="Q21" s="45">
        <v>979.77554529049473</v>
      </c>
      <c r="R21" s="47">
        <v>2953.5747561338926</v>
      </c>
    </row>
    <row r="22" spans="1:32" ht="15.75" x14ac:dyDescent="0.25">
      <c r="N22" s="36" t="s">
        <v>172</v>
      </c>
      <c r="O22" s="43">
        <v>658.41590861411623</v>
      </c>
      <c r="P22" s="43">
        <v>765.34265217304869</v>
      </c>
      <c r="Q22" s="45">
        <v>781.3202115554185</v>
      </c>
      <c r="R22" s="47">
        <v>2205.0787723425833</v>
      </c>
    </row>
    <row r="23" spans="1:32" ht="15.75" x14ac:dyDescent="0.25">
      <c r="N23" s="36" t="s">
        <v>173</v>
      </c>
      <c r="O23" s="43">
        <v>548.06540233039038</v>
      </c>
      <c r="P23" s="43">
        <v>442.85054013385462</v>
      </c>
      <c r="Q23" s="45">
        <v>859.92102483789358</v>
      </c>
      <c r="R23" s="47">
        <v>1850.8369673021386</v>
      </c>
    </row>
    <row r="24" spans="1:32" ht="15.75" x14ac:dyDescent="0.25">
      <c r="N24" s="36" t="s">
        <v>163</v>
      </c>
      <c r="O24" s="43">
        <v>476.9564842000658</v>
      </c>
      <c r="P24" s="43">
        <v>559.78520550372161</v>
      </c>
      <c r="Q24" s="45">
        <v>726.315268661917</v>
      </c>
      <c r="R24" s="47">
        <v>1763.0569583657043</v>
      </c>
    </row>
    <row r="25" spans="1:32" ht="15.75" x14ac:dyDescent="0.25">
      <c r="N25" s="36" t="s">
        <v>168</v>
      </c>
      <c r="O25" s="43">
        <v>353.04261019888912</v>
      </c>
      <c r="P25" s="43">
        <v>384.90994017581238</v>
      </c>
      <c r="Q25" s="45">
        <v>595.6785292898511</v>
      </c>
      <c r="R25" s="48">
        <v>1333.6310796645525</v>
      </c>
      <c r="S25" t="s">
        <v>268</v>
      </c>
    </row>
    <row r="26" spans="1:32" ht="15.75" x14ac:dyDescent="0.25">
      <c r="N26" s="36"/>
      <c r="O26" s="43"/>
      <c r="P26" s="43"/>
      <c r="Q26" s="76"/>
      <c r="R26" s="76"/>
    </row>
    <row r="27" spans="1:32" x14ac:dyDescent="0.25">
      <c r="N27" s="113" t="s">
        <v>313</v>
      </c>
      <c r="O27" s="114"/>
      <c r="P27" s="114"/>
      <c r="Q27" s="114"/>
      <c r="R27" s="114"/>
      <c r="S27" s="114"/>
      <c r="T27" s="114"/>
      <c r="U27" s="115"/>
      <c r="W27" s="86" t="s">
        <v>314</v>
      </c>
      <c r="X27" s="87"/>
      <c r="Y27" s="87"/>
      <c r="Z27" s="87"/>
      <c r="AA27" s="87"/>
      <c r="AB27" s="87"/>
      <c r="AC27" s="87"/>
      <c r="AD27" s="87"/>
      <c r="AE27" s="87"/>
      <c r="AF27" s="88"/>
    </row>
    <row r="28" spans="1:32" x14ac:dyDescent="0.25">
      <c r="R28" s="4"/>
    </row>
  </sheetData>
  <autoFilter ref="N18:R25" xr:uid="{00000000-0009-0000-0000-000007000000}"/>
  <mergeCells count="7">
    <mergeCell ref="A1:B1"/>
    <mergeCell ref="A3:C3"/>
    <mergeCell ref="E3:L3"/>
    <mergeCell ref="N1:Y1"/>
    <mergeCell ref="N27:U27"/>
    <mergeCell ref="W27:AF27"/>
    <mergeCell ref="N17:R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 ME</vt:lpstr>
      <vt:lpstr>Input Data</vt:lpstr>
      <vt:lpstr>Weights</vt:lpstr>
      <vt:lpstr>Equations</vt:lpstr>
      <vt:lpstr>Attack Graph</vt:lpstr>
      <vt:lpstr>Impact Graph</vt:lpstr>
      <vt:lpstr>Cost Analysis</vt:lpstr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 Simulation and Data for Cyber Risk Quantification</dc:title>
  <dc:creator>"Tatar, Unal";Keskin, Omer F.</dc:creator>
  <cp:lastModifiedBy>Administrator</cp:lastModifiedBy>
  <dcterms:created xsi:type="dcterms:W3CDTF">2019-10-31T17:14:43Z</dcterms:created>
  <dcterms:modified xsi:type="dcterms:W3CDTF">2020-10-08T18:31:49Z</dcterms:modified>
</cp:coreProperties>
</file>