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esearch\Practice Research\RP197-DC Plan Evaluation Framework\Final Web Material\"/>
    </mc:Choice>
  </mc:AlternateContent>
  <bookViews>
    <workbookView xWindow="0" yWindow="0" windowWidth="21600" windowHeight="9135"/>
  </bookViews>
  <sheets>
    <sheet name="Introduction" sheetId="13" r:id="rId1"/>
    <sheet name="DC Framework" sheetId="6" r:id="rId2"/>
    <sheet name="Report" sheetId="12" r:id="rId3"/>
    <sheet name="DC Framework-Canada" sheetId="16" r:id="rId4"/>
    <sheet name="Report-Canada" sheetId="17" r:id="rId5"/>
    <sheet name="Overall weights" sheetId="7" state="hidden" r:id="rId6"/>
    <sheet name="Plan provisions weights" sheetId="4" state="hidden" r:id="rId7"/>
    <sheet name="Plan design weights" sheetId="8" state="hidden" r:id="rId8"/>
    <sheet name="Investment options weights" sheetId="9" state="hidden" r:id="rId9"/>
    <sheet name="Enrollment design weights" sheetId="10" state="hidden" r:id="rId10"/>
    <sheet name="Communications weights" sheetId="11" state="hidden" r:id="rId11"/>
  </sheets>
  <definedNames>
    <definedName name="_xlnm.Print_Area" localSheetId="1">'DC Framework'!$A$3:$H$157</definedName>
    <definedName name="_xlnm.Print_Area" localSheetId="3">'DC Framework-Canada'!$A$3:$H$155</definedName>
    <definedName name="_xlnm.Print_Area" localSheetId="0">Introduction!$A$1:$L$47</definedName>
  </definedNames>
  <calcPr calcId="152511"/>
</workbook>
</file>

<file path=xl/calcChain.xml><?xml version="1.0" encoding="utf-8"?>
<calcChain xmlns="http://schemas.openxmlformats.org/spreadsheetml/2006/main">
  <c r="C24" i="17" l="1"/>
  <c r="C25" i="17"/>
  <c r="C26" i="17"/>
  <c r="C23" i="17"/>
  <c r="C24" i="12"/>
  <c r="C25" i="12"/>
  <c r="C26" i="12"/>
  <c r="C23" i="12"/>
  <c r="E12" i="6"/>
  <c r="F85" i="16"/>
  <c r="D85" i="16"/>
  <c r="E85" i="16" s="1"/>
  <c r="F84" i="16"/>
  <c r="E84" i="16"/>
  <c r="D82" i="16"/>
  <c r="D83" i="16" s="1"/>
  <c r="D87" i="16" s="1"/>
  <c r="D82" i="6"/>
  <c r="D83" i="6" s="1"/>
  <c r="E108" i="16"/>
  <c r="B9" i="8"/>
  <c r="E12" i="16"/>
  <c r="D88" i="16" l="1"/>
  <c r="D89" i="16" s="1"/>
  <c r="F83" i="16"/>
  <c r="F87" i="16" s="1"/>
  <c r="E106" i="16"/>
  <c r="E107" i="16"/>
  <c r="E107" i="6"/>
  <c r="C87" i="17"/>
  <c r="C86" i="17"/>
  <c r="C85" i="17"/>
  <c r="C84" i="17"/>
  <c r="C83" i="17"/>
  <c r="C82" i="17"/>
  <c r="C78" i="17"/>
  <c r="D69" i="17"/>
  <c r="D68" i="17"/>
  <c r="C30" i="17"/>
  <c r="C21" i="17"/>
  <c r="C20" i="17"/>
  <c r="C19" i="17"/>
  <c r="C18" i="17"/>
  <c r="C16" i="17"/>
  <c r="C15" i="17"/>
  <c r="C14" i="17"/>
  <c r="C13" i="17"/>
  <c r="C11" i="17"/>
  <c r="C10" i="17"/>
  <c r="C9" i="17"/>
  <c r="C8" i="17"/>
  <c r="F137" i="16"/>
  <c r="D37" i="17" s="1"/>
  <c r="C137" i="16"/>
  <c r="E125" i="16"/>
  <c r="F127" i="16" s="1"/>
  <c r="F119" i="16"/>
  <c r="E102" i="16"/>
  <c r="E101" i="16"/>
  <c r="E100" i="16"/>
  <c r="E99" i="16"/>
  <c r="F110" i="16" s="1"/>
  <c r="F81" i="16"/>
  <c r="E81" i="16"/>
  <c r="D76" i="16"/>
  <c r="F67" i="16"/>
  <c r="E67" i="16"/>
  <c r="F66" i="16"/>
  <c r="F82" i="16" s="1"/>
  <c r="E66" i="16"/>
  <c r="E82" i="16" s="1"/>
  <c r="E83" i="16" s="1"/>
  <c r="E52" i="16"/>
  <c r="E51" i="16"/>
  <c r="E50" i="16"/>
  <c r="E49" i="16"/>
  <c r="E39" i="16"/>
  <c r="E38" i="16"/>
  <c r="E37" i="16"/>
  <c r="E36" i="16"/>
  <c r="E28" i="16"/>
  <c r="E27" i="16"/>
  <c r="E26" i="16"/>
  <c r="E25" i="16"/>
  <c r="E16" i="16"/>
  <c r="E87" i="16" l="1"/>
  <c r="E89" i="16" s="1"/>
  <c r="E88" i="16"/>
  <c r="F88" i="16"/>
  <c r="F89" i="16" s="1"/>
  <c r="E62" i="17"/>
  <c r="F136" i="16"/>
  <c r="D36" i="17" s="1"/>
  <c r="F130" i="16"/>
  <c r="E91" i="16" l="1"/>
  <c r="E93" i="16" s="1"/>
  <c r="C62" i="17"/>
  <c r="E63" i="17"/>
  <c r="F91" i="16"/>
  <c r="F93" i="16" s="1"/>
  <c r="D61" i="17"/>
  <c r="C61" i="17"/>
  <c r="D70" i="17"/>
  <c r="E61" i="17"/>
  <c r="D91" i="16"/>
  <c r="D62" i="17" l="1"/>
  <c r="D93" i="16"/>
  <c r="F135" i="16" s="1"/>
  <c r="D71" i="17"/>
  <c r="D63" i="17"/>
  <c r="C63" i="17"/>
  <c r="F139" i="6"/>
  <c r="C139" i="6"/>
  <c r="D76" i="6"/>
  <c r="E109" i="6"/>
  <c r="E108" i="6"/>
  <c r="E106" i="6"/>
  <c r="E102" i="6"/>
  <c r="E101" i="6"/>
  <c r="E99" i="6"/>
  <c r="E52" i="6"/>
  <c r="E51" i="6"/>
  <c r="E50" i="6"/>
  <c r="E49" i="6"/>
  <c r="E39" i="6"/>
  <c r="E38" i="6"/>
  <c r="E37" i="6"/>
  <c r="E36" i="6"/>
  <c r="E28" i="6"/>
  <c r="E27" i="6"/>
  <c r="E26" i="6"/>
  <c r="E25" i="6"/>
  <c r="D35" i="17" l="1"/>
  <c r="E127" i="6"/>
  <c r="F129" i="6" s="1"/>
  <c r="F121" i="6"/>
  <c r="E100" i="6"/>
  <c r="C30" i="12"/>
  <c r="C21" i="12"/>
  <c r="C20" i="12"/>
  <c r="C19" i="12"/>
  <c r="C18" i="12"/>
  <c r="C89" i="12"/>
  <c r="C31" i="12"/>
  <c r="D85" i="6"/>
  <c r="D71" i="12"/>
  <c r="D70" i="12"/>
  <c r="E85" i="6" l="1"/>
  <c r="D87" i="6"/>
  <c r="F85" i="6"/>
  <c r="C88" i="12"/>
  <c r="F84" i="6"/>
  <c r="E84" i="6"/>
  <c r="F81" i="6"/>
  <c r="E81" i="6"/>
  <c r="C80" i="12"/>
  <c r="F67" i="6"/>
  <c r="F66" i="6"/>
  <c r="F82" i="6" s="1"/>
  <c r="F83" i="6" s="1"/>
  <c r="E67" i="6"/>
  <c r="E66" i="6"/>
  <c r="E82" i="6" s="1"/>
  <c r="E83" i="6" s="1"/>
  <c r="C87" i="12"/>
  <c r="C86" i="12"/>
  <c r="C84" i="12"/>
  <c r="C85" i="12"/>
  <c r="C14" i="12"/>
  <c r="C15" i="12"/>
  <c r="C16" i="12"/>
  <c r="C13" i="12"/>
  <c r="C9" i="12"/>
  <c r="C10" i="12"/>
  <c r="C11" i="12"/>
  <c r="C8" i="12"/>
  <c r="D91" i="6" l="1"/>
  <c r="D88" i="6"/>
  <c r="D72" i="12"/>
  <c r="E63" i="12"/>
  <c r="E44" i="11"/>
  <c r="D43" i="11"/>
  <c r="C42" i="11"/>
  <c r="B41" i="11"/>
  <c r="D19" i="11"/>
  <c r="C44" i="11" s="1"/>
  <c r="B19" i="11"/>
  <c r="F15" i="11" s="1"/>
  <c r="F18" i="11"/>
  <c r="E43" i="11" s="1"/>
  <c r="B18" i="11"/>
  <c r="E15" i="11" s="1"/>
  <c r="F17" i="11"/>
  <c r="E42" i="11" s="1"/>
  <c r="E17" i="11"/>
  <c r="B17" i="11"/>
  <c r="D15" i="11" s="1"/>
  <c r="F16" i="11"/>
  <c r="E16" i="11"/>
  <c r="D16" i="11"/>
  <c r="B16" i="11"/>
  <c r="C15" i="11" s="1"/>
  <c r="D11" i="11"/>
  <c r="B11" i="11"/>
  <c r="D10" i="11"/>
  <c r="B10" i="11"/>
  <c r="D9" i="11"/>
  <c r="B9" i="11"/>
  <c r="B7" i="11"/>
  <c r="B8" i="11" s="1"/>
  <c r="E44" i="10"/>
  <c r="D43" i="10"/>
  <c r="C42" i="10"/>
  <c r="B41" i="10"/>
  <c r="D19" i="10"/>
  <c r="C44" i="10" s="1"/>
  <c r="B19" i="10"/>
  <c r="F15" i="10" s="1"/>
  <c r="F18" i="10"/>
  <c r="B18" i="10"/>
  <c r="E15" i="10" s="1"/>
  <c r="F17" i="10"/>
  <c r="E42" i="10" s="1"/>
  <c r="E17" i="10"/>
  <c r="B17" i="10"/>
  <c r="D15" i="10" s="1"/>
  <c r="F16" i="10"/>
  <c r="E16" i="10"/>
  <c r="D16" i="10"/>
  <c r="B16" i="10"/>
  <c r="C15" i="10" s="1"/>
  <c r="D11" i="10"/>
  <c r="B11" i="10"/>
  <c r="D10" i="10"/>
  <c r="B10" i="10"/>
  <c r="D9" i="10"/>
  <c r="B9" i="10"/>
  <c r="B7" i="10"/>
  <c r="B8" i="10" s="1"/>
  <c r="E44" i="9"/>
  <c r="D43" i="9"/>
  <c r="C42" i="9"/>
  <c r="B41" i="9"/>
  <c r="D19" i="9"/>
  <c r="C44" i="9" s="1"/>
  <c r="B19" i="9"/>
  <c r="F15" i="9" s="1"/>
  <c r="F18" i="9"/>
  <c r="E19" i="9" s="1"/>
  <c r="D44" i="9" s="1"/>
  <c r="B18" i="9"/>
  <c r="E15" i="9" s="1"/>
  <c r="F17" i="9"/>
  <c r="E42" i="9" s="1"/>
  <c r="E17" i="9"/>
  <c r="B17" i="9"/>
  <c r="D15" i="9" s="1"/>
  <c r="F16" i="9"/>
  <c r="E16" i="9"/>
  <c r="D16" i="9"/>
  <c r="B16" i="9"/>
  <c r="C15" i="9" s="1"/>
  <c r="D11" i="9"/>
  <c r="B11" i="9"/>
  <c r="D10" i="9"/>
  <c r="B10" i="9"/>
  <c r="D9" i="9"/>
  <c r="B9" i="9"/>
  <c r="B7" i="9"/>
  <c r="B8" i="9" s="1"/>
  <c r="E44" i="8"/>
  <c r="D43" i="8"/>
  <c r="C42" i="8"/>
  <c r="B41" i="8"/>
  <c r="D19" i="8"/>
  <c r="C44" i="8" s="1"/>
  <c r="B19" i="8"/>
  <c r="F15" i="8" s="1"/>
  <c r="F18" i="8"/>
  <c r="F17" i="8"/>
  <c r="E17" i="8"/>
  <c r="B17" i="8"/>
  <c r="B16" i="8"/>
  <c r="C15" i="8" s="1"/>
  <c r="D15" i="8"/>
  <c r="B11" i="8"/>
  <c r="B10" i="8"/>
  <c r="D10" i="8"/>
  <c r="F16" i="8"/>
  <c r="B18" i="8"/>
  <c r="E15" i="8" s="1"/>
  <c r="E16" i="8"/>
  <c r="B7" i="8"/>
  <c r="B8" i="8" s="1"/>
  <c r="D16" i="8"/>
  <c r="E51" i="7"/>
  <c r="D50" i="7"/>
  <c r="C49" i="7"/>
  <c r="B48" i="7"/>
  <c r="D19" i="7"/>
  <c r="C51" i="7" s="1"/>
  <c r="B19" i="7"/>
  <c r="F15" i="7" s="1"/>
  <c r="E17" i="7"/>
  <c r="F16" i="7"/>
  <c r="E48" i="7" s="1"/>
  <c r="E16" i="7"/>
  <c r="D48" i="7" s="1"/>
  <c r="D11" i="7"/>
  <c r="F18" i="7"/>
  <c r="F17" i="7"/>
  <c r="D9" i="7"/>
  <c r="D10" i="7"/>
  <c r="B11" i="7"/>
  <c r="B9" i="7"/>
  <c r="D16" i="7"/>
  <c r="B16" i="7"/>
  <c r="C15" i="7" s="1"/>
  <c r="E16" i="6"/>
  <c r="E44" i="4"/>
  <c r="D43" i="4"/>
  <c r="C42" i="4"/>
  <c r="B41" i="4"/>
  <c r="D19" i="4"/>
  <c r="C44" i="4" s="1"/>
  <c r="F18" i="4"/>
  <c r="F17" i="4"/>
  <c r="E42" i="4" s="1"/>
  <c r="E17" i="4"/>
  <c r="D11" i="4"/>
  <c r="F16" i="4"/>
  <c r="B18" i="4"/>
  <c r="E15" i="4" s="1"/>
  <c r="E16" i="4"/>
  <c r="D41" i="4" s="1"/>
  <c r="B10" i="4"/>
  <c r="D16" i="4"/>
  <c r="B16" i="4"/>
  <c r="C15" i="4" s="1"/>
  <c r="D93" i="6" l="1"/>
  <c r="F137" i="6" s="1"/>
  <c r="D37" i="12" s="1"/>
  <c r="D73" i="12"/>
  <c r="F132" i="6"/>
  <c r="D89" i="6"/>
  <c r="D63" i="12" s="1"/>
  <c r="C63" i="12"/>
  <c r="E87" i="6"/>
  <c r="E88" i="6" s="1"/>
  <c r="F87" i="6"/>
  <c r="F23" i="11"/>
  <c r="F28" i="11" s="1"/>
  <c r="F23" i="10"/>
  <c r="F28" i="10" s="1"/>
  <c r="E43" i="9"/>
  <c r="F23" i="9"/>
  <c r="F28" i="9" s="1"/>
  <c r="E23" i="9"/>
  <c r="E27" i="9" s="1"/>
  <c r="D18" i="11"/>
  <c r="D23" i="11" s="1"/>
  <c r="D26" i="11" s="1"/>
  <c r="C18" i="11"/>
  <c r="E19" i="11"/>
  <c r="D42" i="11"/>
  <c r="C19" i="11"/>
  <c r="E41" i="11"/>
  <c r="D41" i="11"/>
  <c r="C17" i="11"/>
  <c r="C41" i="11"/>
  <c r="D18" i="10"/>
  <c r="D23" i="10" s="1"/>
  <c r="C18" i="10"/>
  <c r="E19" i="10"/>
  <c r="E23" i="10" s="1"/>
  <c r="D42" i="10"/>
  <c r="C19" i="10"/>
  <c r="E41" i="10"/>
  <c r="D41" i="10"/>
  <c r="C17" i="10"/>
  <c r="C41" i="10"/>
  <c r="E43" i="10"/>
  <c r="D18" i="9"/>
  <c r="D23" i="9" s="1"/>
  <c r="C18" i="9"/>
  <c r="D42" i="9"/>
  <c r="C19" i="9"/>
  <c r="E41" i="9"/>
  <c r="D41" i="9"/>
  <c r="C17" i="9"/>
  <c r="C41" i="9"/>
  <c r="C41" i="8"/>
  <c r="C17" i="8"/>
  <c r="F23" i="8"/>
  <c r="F28" i="8" s="1"/>
  <c r="E41" i="8"/>
  <c r="C19" i="8"/>
  <c r="D41" i="8"/>
  <c r="C18" i="8"/>
  <c r="E42" i="8"/>
  <c r="D9" i="8"/>
  <c r="D11" i="8"/>
  <c r="E19" i="8"/>
  <c r="D42" i="8"/>
  <c r="D18" i="8"/>
  <c r="D23" i="8" s="1"/>
  <c r="D25" i="8" s="1"/>
  <c r="E43" i="8"/>
  <c r="C18" i="7"/>
  <c r="B50" i="7" s="1"/>
  <c r="E19" i="7"/>
  <c r="E23" i="7" s="1"/>
  <c r="E27" i="7" s="1"/>
  <c r="E50" i="7"/>
  <c r="C48" i="7"/>
  <c r="C17" i="7"/>
  <c r="E49" i="7"/>
  <c r="F23" i="7"/>
  <c r="F28" i="7" s="1"/>
  <c r="B17" i="7"/>
  <c r="D15" i="7" s="1"/>
  <c r="B10" i="7"/>
  <c r="D18" i="7"/>
  <c r="D23" i="7" s="1"/>
  <c r="B18" i="7"/>
  <c r="E15" i="7" s="1"/>
  <c r="D49" i="7"/>
  <c r="B7" i="7"/>
  <c r="B8" i="7" s="1"/>
  <c r="C19" i="7"/>
  <c r="D39" i="12"/>
  <c r="F112" i="6"/>
  <c r="F138" i="6" s="1"/>
  <c r="D38" i="12" s="1"/>
  <c r="C19" i="4"/>
  <c r="B44" i="4" s="1"/>
  <c r="E41" i="4"/>
  <c r="B7" i="4"/>
  <c r="B8" i="4" s="1"/>
  <c r="B9" i="4"/>
  <c r="B19" i="4"/>
  <c r="F15" i="4" s="1"/>
  <c r="B11" i="4"/>
  <c r="E19" i="4"/>
  <c r="E43" i="4"/>
  <c r="C41" i="4"/>
  <c r="C17" i="4"/>
  <c r="F23" i="4"/>
  <c r="F28" i="4" s="1"/>
  <c r="D10" i="4"/>
  <c r="E23" i="4"/>
  <c r="E27" i="4" s="1"/>
  <c r="B17" i="4"/>
  <c r="D15" i="4" s="1"/>
  <c r="D18" i="4"/>
  <c r="D23" i="4" s="1"/>
  <c r="C18" i="4"/>
  <c r="D9" i="4"/>
  <c r="D42" i="4"/>
  <c r="F91" i="6" l="1"/>
  <c r="F93" i="6" s="1"/>
  <c r="F88" i="6"/>
  <c r="C65" i="12" s="1"/>
  <c r="E91" i="6"/>
  <c r="E93" i="6" s="1"/>
  <c r="C23" i="7"/>
  <c r="C26" i="7" s="1"/>
  <c r="C25" i="7"/>
  <c r="E64" i="12"/>
  <c r="C64" i="12"/>
  <c r="E65" i="12"/>
  <c r="F26" i="11"/>
  <c r="F27" i="11"/>
  <c r="F25" i="11"/>
  <c r="F26" i="10"/>
  <c r="F27" i="10"/>
  <c r="F25" i="10"/>
  <c r="E27" i="10"/>
  <c r="E26" i="10"/>
  <c r="E28" i="9"/>
  <c r="F26" i="9"/>
  <c r="E26" i="9"/>
  <c r="F25" i="9"/>
  <c r="F27" i="9"/>
  <c r="E25" i="9"/>
  <c r="B44" i="11"/>
  <c r="B43" i="11"/>
  <c r="B42" i="11"/>
  <c r="C23" i="11"/>
  <c r="C25" i="11" s="1"/>
  <c r="D44" i="11"/>
  <c r="D25" i="11"/>
  <c r="D28" i="11"/>
  <c r="D27" i="11"/>
  <c r="C43" i="11"/>
  <c r="E23" i="11"/>
  <c r="E28" i="11" s="1"/>
  <c r="D26" i="10"/>
  <c r="D25" i="10"/>
  <c r="D28" i="10"/>
  <c r="B43" i="10"/>
  <c r="D44" i="10"/>
  <c r="E28" i="10"/>
  <c r="E25" i="10"/>
  <c r="B44" i="10"/>
  <c r="D27" i="10"/>
  <c r="C43" i="10"/>
  <c r="B42" i="10"/>
  <c r="C23" i="10"/>
  <c r="C25" i="10" s="1"/>
  <c r="D26" i="9"/>
  <c r="D28" i="9"/>
  <c r="D25" i="9"/>
  <c r="B42" i="9"/>
  <c r="C23" i="9"/>
  <c r="C25" i="9" s="1"/>
  <c r="B44" i="9"/>
  <c r="D27" i="9"/>
  <c r="C43" i="9"/>
  <c r="B43" i="9"/>
  <c r="F26" i="8"/>
  <c r="B43" i="8"/>
  <c r="D26" i="8"/>
  <c r="D28" i="8"/>
  <c r="F25" i="8"/>
  <c r="B44" i="8"/>
  <c r="D44" i="8"/>
  <c r="B42" i="8"/>
  <c r="C23" i="8"/>
  <c r="C25" i="8" s="1"/>
  <c r="D27" i="8"/>
  <c r="C43" i="8"/>
  <c r="E23" i="8"/>
  <c r="F27" i="8"/>
  <c r="D26" i="7"/>
  <c r="D25" i="7"/>
  <c r="E25" i="7"/>
  <c r="D28" i="7"/>
  <c r="E26" i="7"/>
  <c r="F25" i="7"/>
  <c r="F26" i="7"/>
  <c r="B51" i="7"/>
  <c r="D51" i="7"/>
  <c r="E28" i="7"/>
  <c r="D27" i="7"/>
  <c r="C50" i="7"/>
  <c r="B49" i="7"/>
  <c r="F27" i="7"/>
  <c r="F25" i="4"/>
  <c r="D28" i="4"/>
  <c r="D26" i="4"/>
  <c r="D25" i="4"/>
  <c r="E28" i="4"/>
  <c r="D44" i="4"/>
  <c r="B43" i="4"/>
  <c r="F27" i="4"/>
  <c r="C23" i="4"/>
  <c r="B42" i="4"/>
  <c r="D27" i="4"/>
  <c r="C43" i="4"/>
  <c r="F26" i="4"/>
  <c r="E25" i="4"/>
  <c r="E26" i="4"/>
  <c r="G25" i="7" l="1"/>
  <c r="G31" i="7" s="1"/>
  <c r="G16" i="7" s="1"/>
  <c r="E89" i="6"/>
  <c r="D64" i="12" s="1"/>
  <c r="F89" i="6"/>
  <c r="D65" i="12" s="1"/>
  <c r="C26" i="11"/>
  <c r="C26" i="10"/>
  <c r="G26" i="10" s="1"/>
  <c r="G32" i="10" s="1"/>
  <c r="C27" i="10"/>
  <c r="G25" i="10"/>
  <c r="G31" i="10" s="1"/>
  <c r="G16" i="10" s="1"/>
  <c r="G25" i="9"/>
  <c r="G31" i="9" s="1"/>
  <c r="B39" i="9" s="1"/>
  <c r="E27" i="11"/>
  <c r="E26" i="11"/>
  <c r="E25" i="11"/>
  <c r="G25" i="11" s="1"/>
  <c r="G31" i="11" s="1"/>
  <c r="C28" i="11"/>
  <c r="G28" i="11" s="1"/>
  <c r="G34" i="11" s="1"/>
  <c r="C27" i="11"/>
  <c r="G27" i="10"/>
  <c r="G33" i="10" s="1"/>
  <c r="C28" i="10"/>
  <c r="G28" i="10" s="1"/>
  <c r="G34" i="10" s="1"/>
  <c r="C28" i="9"/>
  <c r="G28" i="9" s="1"/>
  <c r="G34" i="9" s="1"/>
  <c r="C27" i="9"/>
  <c r="G27" i="9" s="1"/>
  <c r="G33" i="9" s="1"/>
  <c r="C26" i="9"/>
  <c r="G26" i="9" s="1"/>
  <c r="G32" i="9" s="1"/>
  <c r="C26" i="8"/>
  <c r="E27" i="8"/>
  <c r="E25" i="8"/>
  <c r="G25" i="8" s="1"/>
  <c r="G31" i="8" s="1"/>
  <c r="E26" i="8"/>
  <c r="C28" i="8"/>
  <c r="E28" i="8"/>
  <c r="C27" i="8"/>
  <c r="C27" i="7"/>
  <c r="G27" i="7" s="1"/>
  <c r="G33" i="7" s="1"/>
  <c r="G26" i="7"/>
  <c r="G32" i="7" s="1"/>
  <c r="C28" i="7"/>
  <c r="G28" i="7" s="1"/>
  <c r="G34" i="7" s="1"/>
  <c r="C25" i="4"/>
  <c r="G25" i="4" s="1"/>
  <c r="G31" i="4" s="1"/>
  <c r="G16" i="4" s="1"/>
  <c r="C20" i="16" s="1"/>
  <c r="C28" i="4"/>
  <c r="G28" i="4" s="1"/>
  <c r="G34" i="4" s="1"/>
  <c r="C26" i="4"/>
  <c r="G26" i="4" s="1"/>
  <c r="G32" i="4" s="1"/>
  <c r="G17" i="4" s="1"/>
  <c r="C31" i="16" s="1"/>
  <c r="C27" i="4"/>
  <c r="G27" i="4" s="1"/>
  <c r="G33" i="4" s="1"/>
  <c r="G18" i="4" s="1"/>
  <c r="C43" i="16" s="1"/>
  <c r="D36" i="6" l="1"/>
  <c r="D36" i="16"/>
  <c r="C31" i="6"/>
  <c r="C20" i="6"/>
  <c r="G26" i="11"/>
  <c r="G32" i="11" s="1"/>
  <c r="C39" i="11" s="1"/>
  <c r="L41" i="9"/>
  <c r="G26" i="8"/>
  <c r="G32" i="8" s="1"/>
  <c r="L42" i="8" s="1"/>
  <c r="G19" i="4"/>
  <c r="C55" i="16" s="1"/>
  <c r="C58" i="16" s="1"/>
  <c r="C43" i="6"/>
  <c r="G27" i="11"/>
  <c r="G33" i="11" s="1"/>
  <c r="G16" i="9"/>
  <c r="G35" i="9"/>
  <c r="G17" i="10"/>
  <c r="C39" i="10"/>
  <c r="G42" i="10" s="1"/>
  <c r="L42" i="10"/>
  <c r="B39" i="10"/>
  <c r="F44" i="10" s="1"/>
  <c r="L41" i="10"/>
  <c r="L41" i="11"/>
  <c r="B39" i="11"/>
  <c r="G16" i="11"/>
  <c r="L44" i="11"/>
  <c r="E39" i="11"/>
  <c r="G18" i="10"/>
  <c r="D39" i="10"/>
  <c r="L43" i="10"/>
  <c r="L44" i="10"/>
  <c r="E39" i="10"/>
  <c r="F43" i="10"/>
  <c r="G35" i="10"/>
  <c r="F43" i="9"/>
  <c r="F41" i="9"/>
  <c r="F44" i="9"/>
  <c r="F42" i="9"/>
  <c r="G18" i="9"/>
  <c r="D39" i="9"/>
  <c r="L43" i="9"/>
  <c r="G17" i="9"/>
  <c r="D26" i="16" s="1"/>
  <c r="L42" i="9"/>
  <c r="C39" i="9"/>
  <c r="L44" i="9"/>
  <c r="E39" i="9"/>
  <c r="G27" i="8"/>
  <c r="G33" i="8" s="1"/>
  <c r="G18" i="8" s="1"/>
  <c r="L41" i="8"/>
  <c r="B39" i="8"/>
  <c r="G16" i="8"/>
  <c r="G28" i="8"/>
  <c r="G34" i="8" s="1"/>
  <c r="G35" i="7"/>
  <c r="B46" i="7"/>
  <c r="L48" i="7"/>
  <c r="D46" i="7"/>
  <c r="L50" i="7"/>
  <c r="G18" i="7"/>
  <c r="L49" i="7"/>
  <c r="G17" i="7"/>
  <c r="C46" i="7"/>
  <c r="E46" i="7"/>
  <c r="L51" i="7"/>
  <c r="B39" i="4"/>
  <c r="G35" i="4"/>
  <c r="L41" i="4"/>
  <c r="L44" i="4"/>
  <c r="E39" i="4"/>
  <c r="L42" i="4"/>
  <c r="C39" i="4"/>
  <c r="D39" i="4"/>
  <c r="L43" i="4"/>
  <c r="D38" i="6" l="1"/>
  <c r="D38" i="16"/>
  <c r="D25" i="6"/>
  <c r="D25" i="16"/>
  <c r="D15" i="6"/>
  <c r="D15" i="16"/>
  <c r="D27" i="6"/>
  <c r="D27" i="16"/>
  <c r="D12" i="6"/>
  <c r="D12" i="16"/>
  <c r="D37" i="6"/>
  <c r="D37" i="16"/>
  <c r="D49" i="6"/>
  <c r="D49" i="16"/>
  <c r="C55" i="6"/>
  <c r="C58" i="6" s="1"/>
  <c r="L42" i="11"/>
  <c r="G35" i="11"/>
  <c r="G17" i="11"/>
  <c r="L43" i="11"/>
  <c r="F41" i="10"/>
  <c r="G19" i="9"/>
  <c r="D26" i="6"/>
  <c r="G17" i="8"/>
  <c r="C39" i="8"/>
  <c r="G43" i="8" s="1"/>
  <c r="G18" i="11"/>
  <c r="D39" i="11"/>
  <c r="H44" i="11" s="1"/>
  <c r="G19" i="10"/>
  <c r="G43" i="10"/>
  <c r="G41" i="10"/>
  <c r="G44" i="10"/>
  <c r="F42" i="10"/>
  <c r="I44" i="11"/>
  <c r="I42" i="11"/>
  <c r="I43" i="11"/>
  <c r="I41" i="11"/>
  <c r="F43" i="11"/>
  <c r="F41" i="11"/>
  <c r="F44" i="11"/>
  <c r="F42" i="11"/>
  <c r="G42" i="11"/>
  <c r="G43" i="11"/>
  <c r="G41" i="11"/>
  <c r="G44" i="11"/>
  <c r="I44" i="10"/>
  <c r="I42" i="10"/>
  <c r="I43" i="10"/>
  <c r="I41" i="10"/>
  <c r="H42" i="10"/>
  <c r="H43" i="10"/>
  <c r="H41" i="10"/>
  <c r="H44" i="10"/>
  <c r="H42" i="9"/>
  <c r="H43" i="9"/>
  <c r="H41" i="9"/>
  <c r="H44" i="9"/>
  <c r="G42" i="9"/>
  <c r="G43" i="9"/>
  <c r="G41" i="9"/>
  <c r="G44" i="9"/>
  <c r="I44" i="9"/>
  <c r="I42" i="9"/>
  <c r="I43" i="9"/>
  <c r="I41" i="9"/>
  <c r="I17" i="7"/>
  <c r="I16" i="7"/>
  <c r="L43" i="8"/>
  <c r="D39" i="8"/>
  <c r="H42" i="8" s="1"/>
  <c r="G35" i="8"/>
  <c r="L44" i="8"/>
  <c r="E39" i="8"/>
  <c r="F43" i="8"/>
  <c r="F41" i="8"/>
  <c r="F44" i="8"/>
  <c r="F42" i="8"/>
  <c r="G50" i="7"/>
  <c r="G48" i="7"/>
  <c r="G51" i="7"/>
  <c r="G49" i="7"/>
  <c r="F48" i="7"/>
  <c r="F51" i="7"/>
  <c r="F49" i="7"/>
  <c r="F50" i="7"/>
  <c r="I50" i="7"/>
  <c r="I48" i="7"/>
  <c r="I51" i="7"/>
  <c r="I49" i="7"/>
  <c r="H50" i="7"/>
  <c r="H48" i="7"/>
  <c r="H51" i="7"/>
  <c r="H49" i="7"/>
  <c r="G19" i="7"/>
  <c r="F43" i="4"/>
  <c r="F41" i="4"/>
  <c r="F44" i="4"/>
  <c r="F42" i="4"/>
  <c r="H43" i="4"/>
  <c r="H41" i="4"/>
  <c r="H44" i="4"/>
  <c r="H42" i="4"/>
  <c r="G41" i="4"/>
  <c r="G44" i="4"/>
  <c r="G43" i="4"/>
  <c r="G42" i="4"/>
  <c r="I42" i="4"/>
  <c r="I43" i="4"/>
  <c r="I41" i="4"/>
  <c r="I44" i="4"/>
  <c r="C135" i="16" l="1"/>
  <c r="C137" i="6"/>
  <c r="D50" i="6"/>
  <c r="D50" i="16"/>
  <c r="E30" i="16"/>
  <c r="F32" i="16" s="1"/>
  <c r="C134" i="16"/>
  <c r="C136" i="6"/>
  <c r="D51" i="6"/>
  <c r="D51" i="16"/>
  <c r="D28" i="6"/>
  <c r="E30" i="6" s="1"/>
  <c r="F32" i="6" s="1"/>
  <c r="D28" i="16"/>
  <c r="D29" i="16" s="1"/>
  <c r="D39" i="6"/>
  <c r="E42" i="6" s="1"/>
  <c r="F44" i="6" s="1"/>
  <c r="D39" i="16"/>
  <c r="D41" i="16" s="1"/>
  <c r="D13" i="6"/>
  <c r="D13" i="16"/>
  <c r="G19" i="11"/>
  <c r="K44" i="10"/>
  <c r="M44" i="10" s="1"/>
  <c r="K43" i="10"/>
  <c r="M43" i="10" s="1"/>
  <c r="D29" i="6"/>
  <c r="K42" i="9"/>
  <c r="M42" i="9" s="1"/>
  <c r="K41" i="9"/>
  <c r="M41" i="9" s="1"/>
  <c r="G19" i="8"/>
  <c r="G41" i="8"/>
  <c r="G44" i="8"/>
  <c r="G42" i="8"/>
  <c r="H43" i="11"/>
  <c r="H42" i="11"/>
  <c r="H41" i="11"/>
  <c r="K41" i="11" s="1"/>
  <c r="M41" i="11" s="1"/>
  <c r="K44" i="11"/>
  <c r="M44" i="11" s="1"/>
  <c r="K41" i="10"/>
  <c r="M41" i="10" s="1"/>
  <c r="K42" i="10"/>
  <c r="M42" i="10" s="1"/>
  <c r="K43" i="9"/>
  <c r="M43" i="9" s="1"/>
  <c r="K44" i="9"/>
  <c r="M44" i="9" s="1"/>
  <c r="K43" i="11"/>
  <c r="M43" i="11" s="1"/>
  <c r="K42" i="11"/>
  <c r="M42" i="11" s="1"/>
  <c r="I18" i="7"/>
  <c r="H43" i="8"/>
  <c r="H41" i="8"/>
  <c r="H44" i="8"/>
  <c r="I44" i="8"/>
  <c r="I42" i="8"/>
  <c r="I41" i="8"/>
  <c r="I43" i="8"/>
  <c r="K51" i="7"/>
  <c r="M51" i="7" s="1"/>
  <c r="K50" i="7"/>
  <c r="M50" i="7" s="1"/>
  <c r="K49" i="7"/>
  <c r="M49" i="7" s="1"/>
  <c r="K48" i="7"/>
  <c r="M48" i="7" s="1"/>
  <c r="K43" i="4"/>
  <c r="M43" i="4" s="1"/>
  <c r="K41" i="4"/>
  <c r="M41" i="4" s="1"/>
  <c r="K44" i="4"/>
  <c r="M44" i="4" s="1"/>
  <c r="K42" i="4"/>
  <c r="M42" i="4" s="1"/>
  <c r="D41" i="6" l="1"/>
  <c r="D16" i="6"/>
  <c r="D18" i="6" s="1"/>
  <c r="D16" i="16"/>
  <c r="D18" i="16" s="1"/>
  <c r="D52" i="6"/>
  <c r="E54" i="6" s="1"/>
  <c r="F56" i="6" s="1"/>
  <c r="D52" i="16"/>
  <c r="C136" i="16"/>
  <c r="C139" i="16" s="1"/>
  <c r="C138" i="6"/>
  <c r="C141" i="6" s="1"/>
  <c r="E42" i="16"/>
  <c r="F44" i="16" s="1"/>
  <c r="D53" i="6"/>
  <c r="C49" i="10"/>
  <c r="C51" i="10" s="1"/>
  <c r="C53" i="10" s="1"/>
  <c r="C55" i="10" s="1"/>
  <c r="C49" i="9"/>
  <c r="C51" i="9" s="1"/>
  <c r="C53" i="9" s="1"/>
  <c r="C55" i="9" s="1"/>
  <c r="E19" i="6"/>
  <c r="F21" i="6" s="1"/>
  <c r="F60" i="6" s="1"/>
  <c r="K42" i="8"/>
  <c r="M42" i="8" s="1"/>
  <c r="K43" i="8"/>
  <c r="M43" i="8" s="1"/>
  <c r="K41" i="8"/>
  <c r="M41" i="8" s="1"/>
  <c r="C49" i="11"/>
  <c r="C51" i="11" s="1"/>
  <c r="C53" i="11" s="1"/>
  <c r="C55" i="11" s="1"/>
  <c r="K44" i="8"/>
  <c r="M44" i="8" s="1"/>
  <c r="C56" i="7"/>
  <c r="C49" i="4"/>
  <c r="C51" i="4" s="1"/>
  <c r="C53" i="4" s="1"/>
  <c r="C55" i="4" s="1"/>
  <c r="D53" i="16" l="1"/>
  <c r="E54" i="16"/>
  <c r="F56" i="16" s="1"/>
  <c r="E19" i="16"/>
  <c r="F21" i="16" s="1"/>
  <c r="C58" i="7"/>
  <c r="C60" i="7" s="1"/>
  <c r="C62" i="7" s="1"/>
  <c r="F136" i="6"/>
  <c r="F141" i="6" s="1"/>
  <c r="C49" i="8"/>
  <c r="C51" i="8" s="1"/>
  <c r="C53" i="8" s="1"/>
  <c r="C55" i="8" s="1"/>
  <c r="F60" i="16" l="1"/>
  <c r="F134" i="16" s="1"/>
  <c r="D41" i="12"/>
  <c r="D36" i="12"/>
  <c r="D34" i="17" l="1"/>
  <c r="F139" i="16"/>
  <c r="D39" i="17" s="1"/>
</calcChain>
</file>

<file path=xl/comments1.xml><?xml version="1.0" encoding="utf-8"?>
<comments xmlns="http://schemas.openxmlformats.org/spreadsheetml/2006/main">
  <authors>
    <author>Marc D</author>
  </authors>
  <commentList>
    <comment ref="H15" authorId="0" shapeId="0">
      <text>
        <r>
          <rPr>
            <b/>
            <sz val="9"/>
            <color indexed="81"/>
            <rFont val="Tahoma"/>
            <family val="2"/>
          </rPr>
          <t>Roth account 
Option available: 100%
Not available: 0%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Consider crediting 100% if the plan is contributory and allow contributions up to the maximum allwable amount.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 xml:space="preserve">You can decide on the basis for determining what to include in plan fees. Consider a "total plan cost" that includes asset-based investment management fees, administrative, advice and other fees.
</t>
        </r>
      </text>
    </comment>
    <comment ref="H74" authorId="0" shapeId="0">
      <text>
        <r>
          <rPr>
            <b/>
            <sz val="9"/>
            <color indexed="81"/>
            <rFont val="Tahoma"/>
            <charset val="1"/>
          </rPr>
          <t>Average Social Security Replacement Ratio Based on Income Level
Very low ($12,000): 73%
Low ($21,000): 53%
Medium ($46,000): 40%
High ($76,000): 33%
Maximum ($112,000): 26%
[Source: Office of the Chief Actuary, Social Security Administration ]</t>
        </r>
      </text>
    </comment>
    <comment ref="H119" authorId="0" shapeId="0">
      <text>
        <r>
          <rPr>
            <b/>
            <sz val="9"/>
            <color indexed="81"/>
            <rFont val="Tahoma"/>
            <charset val="1"/>
          </rPr>
          <t>Plan-weighted Participation Rates
Overall: 76%
Finance, insurance and real estate: 86%
Agriculture, mining and construction: 76%
Manufacturing: 75%
Education and health: 72%
Media, entertainment and leisure: 71%
Business, professional and nonprofit: 77%
Transportation, utilities and communications: 73%
Wholesale and retail trade: 75%
[Source: Vanguard]</t>
        </r>
      </text>
    </comment>
  </commentList>
</comments>
</file>

<file path=xl/comments2.xml><?xml version="1.0" encoding="utf-8"?>
<comments xmlns="http://schemas.openxmlformats.org/spreadsheetml/2006/main">
  <authors>
    <author>Marc D</author>
  </authors>
  <commentList>
    <comment ref="H15" authorId="0" shapeId="0">
      <text>
        <r>
          <rPr>
            <b/>
            <sz val="9"/>
            <color indexed="81"/>
            <rFont val="Tahoma"/>
            <family val="2"/>
          </rPr>
          <t>TFSA account 
Option available: 100%
Not available: 0%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Consider crediting 100% if the plan is contributory and allow contributions up to the maximum allwable amount.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 xml:space="preserve">You can decide on the basis for determining what to include in plan fees. Consider a "total plan cost" that includes asset-based investment management fees, administrative, advice and other fees.
</t>
        </r>
      </text>
    </comment>
    <comment ref="H74" authorId="0" shapeId="0">
      <text>
        <r>
          <rPr>
            <b/>
            <sz val="9"/>
            <color indexed="81"/>
            <rFont val="Tahoma"/>
            <charset val="1"/>
          </rPr>
          <t>Average Government Pensions Replacement Ratio Based on Income Level
Low: 40%
Medium: 30%
High: 20%
[Source: Statistics Canada]</t>
        </r>
      </text>
    </comment>
  </commentList>
</comments>
</file>

<file path=xl/sharedStrings.xml><?xml version="1.0" encoding="utf-8"?>
<sst xmlns="http://schemas.openxmlformats.org/spreadsheetml/2006/main" count="737" uniqueCount="299">
  <si>
    <t>Criteria</t>
  </si>
  <si>
    <t>Plan design</t>
  </si>
  <si>
    <t>Investment Options</t>
  </si>
  <si>
    <t>Communications</t>
  </si>
  <si>
    <t>Investment efficiency</t>
  </si>
  <si>
    <t>Enrollment Design</t>
  </si>
  <si>
    <t>Other</t>
  </si>
  <si>
    <t>Employer contributions</t>
  </si>
  <si>
    <t>Fees</t>
  </si>
  <si>
    <t>Vesting</t>
  </si>
  <si>
    <t>Value scale:</t>
  </si>
  <si>
    <t>We rate each criteria qualitatively or quantitatively using this scale.</t>
  </si>
  <si>
    <t>Intensity of importance</t>
  </si>
  <si>
    <t>Definition</t>
  </si>
  <si>
    <t>Explanation</t>
  </si>
  <si>
    <t>Equal importance</t>
  </si>
  <si>
    <t>Two elements have the same value</t>
  </si>
  <si>
    <t>Moderate importance</t>
  </si>
  <si>
    <t>One element is moderately better</t>
  </si>
  <si>
    <t>Strong importance</t>
  </si>
  <si>
    <t>One element is significantly better</t>
  </si>
  <si>
    <t>Very Strong importance</t>
  </si>
  <si>
    <t>One element is greatly better</t>
  </si>
  <si>
    <t>Extreme importance</t>
  </si>
  <si>
    <t>One element is better than the other at the highest possible degree</t>
  </si>
  <si>
    <t>Consistency ratio:</t>
  </si>
  <si>
    <t>We use the same process to determine the weights of each criteria.</t>
  </si>
  <si>
    <t>Each pairwise element is compared against the others and a weight is assigned based on judgment and consensus among stakeholders.</t>
  </si>
  <si>
    <t>Calculation of Priorities:</t>
  </si>
  <si>
    <t>For each pairwise comparison, the number representing the greater weight is transferred to the cell that intersects in the matrix,</t>
  </si>
  <si>
    <t>and the reciprocal of that number is put into the cell of the other intersection, working horizontally.</t>
  </si>
  <si>
    <t>The priorities are measurements of their relative strength or weight of each plan.</t>
  </si>
  <si>
    <t>Priority</t>
  </si>
  <si>
    <t>Priority (e.g. weight) calculation:</t>
  </si>
  <si>
    <t>It is important to ensure that the results are consistent, and this is achieved by calculating the consistency ratio.</t>
  </si>
  <si>
    <t>sum columns:</t>
  </si>
  <si>
    <t>sum row</t>
  </si>
  <si>
    <t>normalize:</t>
  </si>
  <si>
    <t>priority</t>
  </si>
  <si>
    <t>Consistency calculation:</t>
  </si>
  <si>
    <t>number of rows</t>
  </si>
  <si>
    <t>lambda max</t>
  </si>
  <si>
    <t>consistency index</t>
  </si>
  <si>
    <t>consistency ratio</t>
  </si>
  <si>
    <t>Note: the results are very consistent if below 10%, "consistent" between 10% and 20%, and not consistent if above.</t>
  </si>
  <si>
    <t>Characteristic</t>
  </si>
  <si>
    <t>Lambda Max</t>
  </si>
  <si>
    <t>Total:</t>
  </si>
  <si>
    <t>Value</t>
  </si>
  <si>
    <t>Up to 5% of basic salary + bonus</t>
  </si>
  <si>
    <t>Weight</t>
  </si>
  <si>
    <t>Good</t>
  </si>
  <si>
    <t>Excellent</t>
  </si>
  <si>
    <t>Fair</t>
  </si>
  <si>
    <t>Value based on replacement ratio</t>
  </si>
  <si>
    <t>Target replacement ratio</t>
  </si>
  <si>
    <t>Age</t>
  </si>
  <si>
    <t>Retirement age</t>
  </si>
  <si>
    <t>Accumulation factor</t>
  </si>
  <si>
    <t>Annuity certain to end of life expectancy</t>
  </si>
  <si>
    <t>Life expectancy</t>
  </si>
  <si>
    <t>Expected annual real rate of return</t>
  </si>
  <si>
    <t>Accumulated assets at retirement as a multiple of real pay</t>
  </si>
  <si>
    <t>Plan replacement ratio</t>
  </si>
  <si>
    <t>Expected total replacement ratio</t>
  </si>
  <si>
    <t>Plan value based on replacement ratio</t>
  </si>
  <si>
    <t>Plan value based on benefits provided</t>
  </si>
  <si>
    <t>PLAN PROVISIONS</t>
  </si>
  <si>
    <t>PLAN ADEQUACY</t>
  </si>
  <si>
    <t>OTHER CRITERIA</t>
  </si>
  <si>
    <t>PLAN NAME:</t>
  </si>
  <si>
    <t>Do communications fit demographic and socio-economic background?</t>
  </si>
  <si>
    <t>Measurement of Plan Success</t>
  </si>
  <si>
    <t>Participation</t>
  </si>
  <si>
    <t>Expected participation rate</t>
  </si>
  <si>
    <t>Score for participation</t>
  </si>
  <si>
    <t>Matching is 100% of contributions up to 5%</t>
  </si>
  <si>
    <t>Up to a maximum of 12%</t>
  </si>
  <si>
    <t>Evaluate employee contribution level subject to matching (matching 5% or more of employee contributions gets perfect score).</t>
  </si>
  <si>
    <t xml:space="preserve">Value = Min(Er rate, 9%) / 9%. (Range is 2% to 12%; above 9% scores 100%). </t>
  </si>
  <si>
    <t>Fees are 45 bps for assets of $250 M</t>
  </si>
  <si>
    <t>Describe provision and give a score of 0% to 100%.</t>
  </si>
  <si>
    <t>Average age of plan participants</t>
  </si>
  <si>
    <t>Actual percentage of diversified equities</t>
  </si>
  <si>
    <t>Equity investments less company stock.</t>
  </si>
  <si>
    <t>Enter average participation rate for plan size or industry-type.</t>
  </si>
  <si>
    <t>Enter number of plan members over number of eligible employees.</t>
  </si>
  <si>
    <t>Value based on benefits provided</t>
  </si>
  <si>
    <t>Weight for</t>
  </si>
  <si>
    <t>Relative importance of main criteria</t>
  </si>
  <si>
    <t>OVERALL EVALUATION</t>
  </si>
  <si>
    <t>Relative importance of overall criteria</t>
  </si>
  <si>
    <t>Benefits provided</t>
  </si>
  <si>
    <t>Replacement ratio</t>
  </si>
  <si>
    <t>Governance and Other</t>
  </si>
  <si>
    <t>Plan Success</t>
  </si>
  <si>
    <t>If no plan</t>
  </si>
  <si>
    <t>Relative importance of plan design sub-criteria</t>
  </si>
  <si>
    <t>Matching formula</t>
  </si>
  <si>
    <t>Matching leverage</t>
  </si>
  <si>
    <t>Employee contributions</t>
  </si>
  <si>
    <t>Justification</t>
  </si>
  <si>
    <t>The weights of each pairwise comparison is transferred to a matrix, using a method unique to the AHP.</t>
  </si>
  <si>
    <t>Eligibility</t>
  </si>
  <si>
    <t>Auto enrollment</t>
  </si>
  <si>
    <t>Auto escalation</t>
  </si>
  <si>
    <t>Efficiency of options</t>
  </si>
  <si>
    <t>Diversification of menu</t>
  </si>
  <si>
    <t>Retirement income solutions</t>
  </si>
  <si>
    <t>Plan information</t>
  </si>
  <si>
    <t>Education and tools</t>
  </si>
  <si>
    <t>Adviser services</t>
  </si>
  <si>
    <t>Communications effectiveness</t>
  </si>
  <si>
    <t>A</t>
  </si>
  <si>
    <t>B</t>
  </si>
  <si>
    <t>C</t>
  </si>
  <si>
    <t>D</t>
  </si>
  <si>
    <t>Employer contribution level</t>
  </si>
  <si>
    <t>Efficiency of investment options</t>
  </si>
  <si>
    <t>Diversification of options menu</t>
  </si>
  <si>
    <t>Education and tools (investor profile, online planning)</t>
  </si>
  <si>
    <t>Plan adviser services and support</t>
  </si>
  <si>
    <t>Effectiveness of education and communication approach</t>
  </si>
  <si>
    <t>Investment monitoring and review process</t>
  </si>
  <si>
    <t>Employee committee representation</t>
  </si>
  <si>
    <t>Risk management framework and compliance</t>
  </si>
  <si>
    <t>Transparency</t>
  </si>
  <si>
    <t>Loan provisions</t>
  </si>
  <si>
    <t>Presence of other retirement programs with employer</t>
  </si>
  <si>
    <t>Hardship withdrawal provision</t>
  </si>
  <si>
    <t>Fee equalization policy</t>
  </si>
  <si>
    <t>Evaluate average fees for plan size, e.g. &lt;$10M: 130 bps; $10M-$100M: 75 bps; $100M-500M: 50 bps; &gt;$500M: 35 bps.</t>
  </si>
  <si>
    <t>Select target replacement ratio.</t>
  </si>
  <si>
    <t>Expected coverage from another company pension.</t>
  </si>
  <si>
    <t>Average or mandatory employer contributions.</t>
  </si>
  <si>
    <t>Average or mandatory employee contributions.</t>
  </si>
  <si>
    <t>Average retirement age of career employee.</t>
  </si>
  <si>
    <t>Average entry age of career employee.</t>
  </si>
  <si>
    <t>Upper percentile gender neutral life expectancy.</t>
  </si>
  <si>
    <t>Difference between Target replacement ratio and other sources of lifetime income.</t>
  </si>
  <si>
    <t>Indexed annuity factor using indexed annuity discount rate.</t>
  </si>
  <si>
    <t>Accumulated value factor based on real rate of return.</t>
  </si>
  <si>
    <t>Replacement ratio provided by DC plan for a career employee.</t>
  </si>
  <si>
    <t>Sum of Government, other pensions and DC plan replacement ratios.</t>
  </si>
  <si>
    <t>Expected over target replacement ratio.</t>
  </si>
  <si>
    <t>Can also use model participant as a proxy.</t>
  </si>
  <si>
    <t>Regular meetings, outsourced advice, documented policies.</t>
  </si>
  <si>
    <t>Either as observer or voting member.</t>
  </si>
  <si>
    <t>Documented framework; plan complies with legislation; timely reporting.</t>
  </si>
  <si>
    <t>Access to information; member access to committee.</t>
  </si>
  <si>
    <t>DC may be one component of the employer's retirement strategy.</t>
  </si>
  <si>
    <t>Member access to funds in cases of hardship.</t>
  </si>
  <si>
    <t>Does plan have a fee equalization policy?</t>
  </si>
  <si>
    <t>Investment options</t>
  </si>
  <si>
    <t>Enrollment design</t>
  </si>
  <si>
    <t>PLAN SUCCESS</t>
  </si>
  <si>
    <t>Actual participation rate</t>
  </si>
  <si>
    <t>Society of Actuaries</t>
  </si>
  <si>
    <t>DC Plan Evaluation Framework</t>
  </si>
  <si>
    <t>Roth contributions</t>
  </si>
  <si>
    <t>Available option</t>
  </si>
  <si>
    <t>Match frequency</t>
  </si>
  <si>
    <t>Each pay period</t>
  </si>
  <si>
    <t>Yes with 3.00% default</t>
  </si>
  <si>
    <t>Yes annual 0.50% increase to 6%</t>
  </si>
  <si>
    <t>DB plan offered</t>
  </si>
  <si>
    <t>Section 2 - Projected Income from Employer Matching Contributions</t>
  </si>
  <si>
    <t>Employer matching contributions are projected to replace the following percentage of income at age 65.</t>
  </si>
  <si>
    <t>Employee Contributions</t>
  </si>
  <si>
    <t>Employer Contributions</t>
  </si>
  <si>
    <t>Total from this Plan</t>
  </si>
  <si>
    <t>Hired at age 35</t>
  </si>
  <si>
    <t>Hired at age 45</t>
  </si>
  <si>
    <t>Hired at age 55</t>
  </si>
  <si>
    <t>Appendix - Projection Assumptions</t>
  </si>
  <si>
    <t>Employees contribute amounts necessary to receive the employer's full match.</t>
  </si>
  <si>
    <t>Section 1 - DC Plan Features</t>
  </si>
  <si>
    <t>Summary of Results</t>
  </si>
  <si>
    <t>Non-indexed annuity real discount rate</t>
  </si>
  <si>
    <t>employer portion</t>
  </si>
  <si>
    <t>employee portion</t>
  </si>
  <si>
    <t>Projected Income Percent by Source</t>
  </si>
  <si>
    <t>Projected retirement income is based on the following assumptions:</t>
  </si>
  <si>
    <t>Employes begin participating in the plan at their first opportunity.</t>
  </si>
  <si>
    <t>12 fund options</t>
  </si>
  <si>
    <t>Other criteria</t>
  </si>
  <si>
    <t>Replacement ratio provided by Social Security:</t>
  </si>
  <si>
    <t>Life expectancy (years)</t>
  </si>
  <si>
    <t>Sample ages in replacement ratio calculations</t>
  </si>
  <si>
    <t>Retirement age:</t>
  </si>
  <si>
    <t>Invested assets real rate of return:</t>
  </si>
  <si>
    <t>Poor</t>
  </si>
  <si>
    <t>Very Good</t>
  </si>
  <si>
    <t>selection:</t>
  </si>
  <si>
    <t>Select rating:</t>
  </si>
  <si>
    <t>value:</t>
  </si>
  <si>
    <t>Include auto escalation</t>
  </si>
  <si>
    <t>Yes</t>
  </si>
  <si>
    <t>No</t>
  </si>
  <si>
    <t>Financial planners recommend a target of 70% - 80% of pay at retirement, in order to maintain the same standard of</t>
  </si>
  <si>
    <t>living. Individual needs vary.</t>
  </si>
  <si>
    <t>This projected retirement income may be combined with projections for employee contributions, Social Security benefits</t>
  </si>
  <si>
    <t xml:space="preserve">benefits and other sources of savings or retirement income. </t>
  </si>
  <si>
    <t>Social Security</t>
  </si>
  <si>
    <t>Other employer-provided pension</t>
  </si>
  <si>
    <t>Defined contribution plan</t>
  </si>
  <si>
    <t>Section 3 - Total Expected Income Replacement Ratio Over Full Career</t>
  </si>
  <si>
    <t>Total</t>
  </si>
  <si>
    <t>Annuity real discount rate</t>
  </si>
  <si>
    <t>Expected coverage from Social Security.</t>
  </si>
  <si>
    <t>Long service</t>
  </si>
  <si>
    <t>Short</t>
  </si>
  <si>
    <t>Medium</t>
  </si>
  <si>
    <t>Sample data for adequacy calculations</t>
  </si>
  <si>
    <t>75% near industry average</t>
  </si>
  <si>
    <t>3,500 are in plan for a workforce of 5,000 employees.</t>
  </si>
  <si>
    <t>Average employer contribution as a percent of pay</t>
  </si>
  <si>
    <t>Average employee contribution as a percent of pay</t>
  </si>
  <si>
    <t>Whether loan provisions are provided and advantageous.</t>
  </si>
  <si>
    <t>Evaluate based on menu of investment options: target date options, appropriate diversification by asset class.</t>
  </si>
  <si>
    <t>In-plan pension: systematic withdrawals, annuity, variable annuity, or competitive annuity bidding etc.</t>
  </si>
  <si>
    <t>Consider efficiency of automatic enrollment and default investment option; if not provided 0%.</t>
  </si>
  <si>
    <t>Evaluate efficiency of  auto-escalation features; if not provided, 0%.</t>
  </si>
  <si>
    <t>Evaluate based on menu of investment options: simplicity, limited number of options, presence of index fund options.</t>
  </si>
  <si>
    <t>0% to 12%; contributory plan scores 100%.</t>
  </si>
  <si>
    <t>Consider waiting period to join the plan and workforce coverage (part-time, seasonal, hourly/salaried).</t>
  </si>
  <si>
    <t>Statement quality, performance disclosure, online access.</t>
  </si>
  <si>
    <t>Investor profile, online planning.</t>
  </si>
  <si>
    <t>Quality and level of advice.</t>
  </si>
  <si>
    <t>20% with 2 years to 100% at 6 years</t>
  </si>
  <si>
    <t>Hourly &amp; Salaried after one year of service</t>
  </si>
  <si>
    <t>Plan Evaluation</t>
  </si>
  <si>
    <t>Value * Weight:</t>
  </si>
  <si>
    <t>Value for governance and other provisions</t>
  </si>
  <si>
    <t>Value for investment efficiency</t>
  </si>
  <si>
    <r>
      <t>Value for plan success</t>
    </r>
    <r>
      <rPr>
        <i/>
        <sz val="11"/>
        <color rgb="FF000000"/>
        <rFont val="Calibri"/>
        <family val="2"/>
      </rPr>
      <t xml:space="preserve"> (existing plans only)</t>
    </r>
  </si>
  <si>
    <t>Value for plan success (existing plans only)</t>
  </si>
  <si>
    <t>Savings Plan for the Employees of ABC Inc.</t>
  </si>
  <si>
    <t>If plan provides auto-escalation, replacement ratio calculations will take into account estimatd contribution rate increases.</t>
  </si>
  <si>
    <t>Yes - Double</t>
  </si>
  <si>
    <t>Yes - Triple</t>
  </si>
  <si>
    <t xml:space="preserve">There are two auto-escalation options: escalation that results in doubling the contributions; and escalation that result in tripling the contributions.doubling of contributions until </t>
  </si>
  <si>
    <t>Net replacement ratio [A - B - C]</t>
  </si>
  <si>
    <t>Describe provision and select rating:</t>
  </si>
  <si>
    <t>Is this an existing plan?</t>
  </si>
  <si>
    <t xml:space="preserve">Value = Min(Er rate, 5%) / 5%. (Range is 1% to 18%; above 5% scores 100%). </t>
  </si>
  <si>
    <t>Immediate gets 100%; 2 years receives 0%.</t>
  </si>
  <si>
    <t>Government pensions</t>
  </si>
  <si>
    <t>This projected retirement income may be combined with projections for employee contributions, Government pensions</t>
  </si>
  <si>
    <t>Expected coverage from Canada/Quebec Pension Plan and Old Age Security.</t>
  </si>
  <si>
    <t>Enter average participation rate for plan size or industry-type (80% is default).</t>
  </si>
  <si>
    <t>80% near industry average</t>
  </si>
  <si>
    <t>Evaluate average fees for plan, e.g. Excellent: &lt;75 bps; Very Good: &lt; 100 bps; Good: &lt; 125 bps; Fair: &lt; 150 bps; Poor: &gt; 150 bps.</t>
  </si>
  <si>
    <t>20% with 2 years to 100% at 4 years</t>
  </si>
  <si>
    <t>Immediate gets 100%; 3 years and above receives 0%.</t>
  </si>
  <si>
    <t>Entry age</t>
  </si>
  <si>
    <t>Indexed annuity certain factor using "annuity real discount rate".</t>
  </si>
  <si>
    <t>Availability of TFSA account</t>
  </si>
  <si>
    <t>Availability of Roth contributions</t>
  </si>
  <si>
    <t>TFSA accounts yield more retirement income than a dollar in a before-tax account and provide added flexibility for plan participants.</t>
  </si>
  <si>
    <t>Roth accounts yield more retirement income than a dollar in a before-tax account and provide added flexibility for plan participants.</t>
  </si>
  <si>
    <t>3.3.1</t>
  </si>
  <si>
    <t>3.3.2</t>
  </si>
  <si>
    <t>3.3.3</t>
  </si>
  <si>
    <t>3.3.4</t>
  </si>
  <si>
    <t>Report</t>
  </si>
  <si>
    <t>9.2.1</t>
  </si>
  <si>
    <t>9.2.2</t>
  </si>
  <si>
    <t>9.2.3</t>
  </si>
  <si>
    <t>9.2.4</t>
  </si>
  <si>
    <t>9.2.5</t>
  </si>
  <si>
    <t>9.2.6</t>
  </si>
  <si>
    <t>Roth account option</t>
  </si>
  <si>
    <t>TFSA option</t>
  </si>
  <si>
    <t>Reference</t>
  </si>
  <si>
    <t>Overall value</t>
  </si>
  <si>
    <t>Subcriteria</t>
  </si>
  <si>
    <t>Subcriteria value:</t>
  </si>
  <si>
    <t>Subcriteria weight:</t>
  </si>
  <si>
    <t>Subcriteria:</t>
  </si>
  <si>
    <t>Plan Analysis</t>
  </si>
  <si>
    <t>Help and Comments</t>
  </si>
  <si>
    <t>Auto-enrollment</t>
  </si>
  <si>
    <t>Auto-escalation</t>
  </si>
  <si>
    <t>Hourly amd salaried after one year of service</t>
  </si>
  <si>
    <t>Social security replacement ratio</t>
  </si>
  <si>
    <t>Other employer-provided pension replacement ratio</t>
  </si>
  <si>
    <t>Governance</t>
  </si>
  <si>
    <t>Optimal equity level (100% - [participants' average age]/100)</t>
  </si>
  <si>
    <t>Menu has limited number of options; index funds are offered</t>
  </si>
  <si>
    <t>Systematic withdrawals offered</t>
  </si>
  <si>
    <t>Do communications fit demographic and socioeconomic background?</t>
  </si>
  <si>
    <t>Online account statements, electronic delivery</t>
  </si>
  <si>
    <t>Online access, robust tools</t>
  </si>
  <si>
    <t>Annual seminar for pre-retirees</t>
  </si>
  <si>
    <t>Appropriate for employee group</t>
  </si>
  <si>
    <t>(info for Report worksheet) Match frequency?</t>
  </si>
  <si>
    <r>
      <t>input cells: in blue and</t>
    </r>
    <r>
      <rPr>
        <b/>
        <i/>
        <sz val="11"/>
        <rFont val="Calibri"/>
        <family val="2"/>
      </rPr>
      <t xml:space="preserve"> dropdown boxes</t>
    </r>
  </si>
  <si>
    <t>Rule to assess whether participants invest in equities at a level appropriate for their 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</si>
</sst>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rgb="FF00000A"/>
      <name val="Calibri"/>
      <family val="2"/>
      <charset val="1"/>
    </font>
    <font>
      <sz val="11"/>
      <color rgb="FF00000A"/>
      <name val="Calibri"/>
      <family val="2"/>
      <charset val="1"/>
    </font>
    <font>
      <i/>
      <sz val="11"/>
      <color rgb="FF00000A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i/>
      <u/>
      <sz val="11"/>
      <color rgb="FF00B050"/>
      <name val="Calibri"/>
      <family val="2"/>
      <charset val="1"/>
    </font>
    <font>
      <sz val="11"/>
      <color rgb="FF00B0F0"/>
      <name val="Calibri"/>
      <family val="2"/>
      <charset val="1"/>
    </font>
    <font>
      <i/>
      <u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  <charset val="1"/>
    </font>
    <font>
      <i/>
      <sz val="11"/>
      <color theme="0" tint="-0.499984740745262"/>
      <name val="Calibri"/>
      <family val="2"/>
    </font>
    <font>
      <b/>
      <u/>
      <sz val="11"/>
      <color rgb="FF00B050"/>
      <name val="Calibri"/>
      <family val="2"/>
      <charset val="1"/>
    </font>
    <font>
      <b/>
      <sz val="11"/>
      <color rgb="FF00000A"/>
      <name val="Calibri"/>
      <family val="2"/>
    </font>
    <font>
      <b/>
      <u/>
      <sz val="11"/>
      <color rgb="FF00000A"/>
      <name val="Calibri"/>
      <family val="2"/>
      <charset val="1"/>
    </font>
    <font>
      <b/>
      <i/>
      <sz val="11"/>
      <color rgb="FF000000"/>
      <name val="Calibri"/>
      <family val="2"/>
    </font>
    <font>
      <b/>
      <i/>
      <sz val="11"/>
      <color rgb="FF00B0F0"/>
      <name val="Calibri"/>
      <family val="2"/>
    </font>
    <font>
      <b/>
      <sz val="11"/>
      <color rgb="FF00B0F0"/>
      <name val="Calibri"/>
      <family val="2"/>
    </font>
    <font>
      <sz val="11"/>
      <color rgb="FF000000"/>
      <name val="Calibri"/>
      <family val="2"/>
    </font>
    <font>
      <i/>
      <u/>
      <sz val="11"/>
      <color theme="0" tint="-0.499984740745262"/>
      <name val="Calibri"/>
      <family val="2"/>
    </font>
    <font>
      <i/>
      <u/>
      <sz val="11"/>
      <color rgb="FF000000"/>
      <name val="Calibri"/>
      <family val="2"/>
    </font>
    <font>
      <i/>
      <sz val="11"/>
      <color rgb="FF00000A"/>
      <name val="Calibri"/>
      <family val="2"/>
    </font>
    <font>
      <sz val="11"/>
      <color rgb="FFFF0000"/>
      <name val="Calibri"/>
      <family val="2"/>
      <charset val="1"/>
    </font>
    <font>
      <b/>
      <sz val="16"/>
      <color rgb="FF000000"/>
      <name val="Calibri"/>
      <family val="2"/>
    </font>
    <font>
      <b/>
      <sz val="9"/>
      <color indexed="81"/>
      <name val="Tahoma"/>
      <charset val="1"/>
    </font>
    <font>
      <i/>
      <u/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EECE1"/>
        <bgColor rgb="FFDDEBCF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9" fontId="12" fillId="0" borderId="0" applyBorder="0" applyProtection="0"/>
    <xf numFmtId="0" fontId="1" fillId="0" borderId="0"/>
    <xf numFmtId="0" fontId="12" fillId="0" borderId="0"/>
    <xf numFmtId="9" fontId="12" fillId="0" borderId="0" applyBorder="0" applyProtection="0"/>
  </cellStyleXfs>
  <cellXfs count="16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9" fontId="0" fillId="0" borderId="0" xfId="0" applyNumberFormat="1"/>
    <xf numFmtId="10" fontId="0" fillId="0" borderId="0" xfId="0" applyNumberFormat="1"/>
    <xf numFmtId="0" fontId="6" fillId="0" borderId="0" xfId="0" applyFont="1"/>
    <xf numFmtId="0" fontId="7" fillId="0" borderId="0" xfId="0" applyFont="1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9" fontId="0" fillId="0" borderId="4" xfId="0" applyNumberFormat="1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2" fontId="0" fillId="0" borderId="0" xfId="0" applyNumberFormat="1"/>
    <xf numFmtId="0" fontId="0" fillId="0" borderId="4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3" xfId="0" applyFont="1" applyBorder="1" applyAlignment="1">
      <alignment vertical="top" wrapText="1"/>
    </xf>
    <xf numFmtId="2" fontId="0" fillId="0" borderId="4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4" fillId="0" borderId="0" xfId="0" applyFont="1" applyAlignment="1">
      <alignment horizontal="center"/>
    </xf>
    <xf numFmtId="9" fontId="8" fillId="0" borderId="0" xfId="0" applyNumberFormat="1" applyFont="1"/>
    <xf numFmtId="1" fontId="13" fillId="0" borderId="0" xfId="0" applyNumberFormat="1" applyFont="1" applyAlignment="1">
      <alignment horizontal="right"/>
    </xf>
    <xf numFmtId="9" fontId="19" fillId="0" borderId="0" xfId="0" applyNumberFormat="1" applyFont="1"/>
    <xf numFmtId="9" fontId="19" fillId="0" borderId="0" xfId="0" applyNumberFormat="1" applyFont="1" applyAlignment="1">
      <alignment horizontal="right"/>
    </xf>
    <xf numFmtId="0" fontId="20" fillId="0" borderId="0" xfId="0" applyFont="1"/>
    <xf numFmtId="0" fontId="8" fillId="0" borderId="0" xfId="0" applyFont="1" applyAlignment="1">
      <alignment horizontal="center"/>
    </xf>
    <xf numFmtId="0" fontId="22" fillId="0" borderId="0" xfId="0" applyFont="1"/>
    <xf numFmtId="9" fontId="0" fillId="0" borderId="0" xfId="0" applyNumberFormat="1" applyAlignment="1">
      <alignment horizontal="center"/>
    </xf>
    <xf numFmtId="9" fontId="14" fillId="0" borderId="0" xfId="0" applyNumberFormat="1" applyFont="1" applyAlignment="1">
      <alignment horizontal="center"/>
    </xf>
    <xf numFmtId="0" fontId="21" fillId="3" borderId="0" xfId="0" applyFont="1" applyFill="1" applyAlignment="1">
      <alignment horizontal="right"/>
    </xf>
    <xf numFmtId="0" fontId="0" fillId="3" borderId="0" xfId="0" applyFill="1"/>
    <xf numFmtId="9" fontId="8" fillId="3" borderId="0" xfId="0" applyNumberFormat="1" applyFont="1" applyFill="1"/>
    <xf numFmtId="0" fontId="15" fillId="0" borderId="0" xfId="0" applyFont="1"/>
    <xf numFmtId="0" fontId="24" fillId="0" borderId="0" xfId="0" applyFont="1" applyAlignment="1">
      <alignment horizontal="right"/>
    </xf>
    <xf numFmtId="9" fontId="15" fillId="3" borderId="0" xfId="0" applyNumberFormat="1" applyFont="1" applyFill="1"/>
    <xf numFmtId="0" fontId="18" fillId="0" borderId="0" xfId="0" applyFont="1"/>
    <xf numFmtId="0" fontId="14" fillId="0" borderId="0" xfId="0" applyFont="1"/>
    <xf numFmtId="0" fontId="13" fillId="0" borderId="0" xfId="0" applyFont="1" applyAlignment="1">
      <alignment horizontal="right"/>
    </xf>
    <xf numFmtId="9" fontId="19" fillId="0" borderId="0" xfId="0" applyNumberFormat="1" applyFont="1" applyAlignment="1">
      <alignment horizontal="center"/>
    </xf>
    <xf numFmtId="0" fontId="0" fillId="0" borderId="0" xfId="0" applyAlignment="1">
      <alignment horizontal="right" wrapText="1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18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9" fillId="0" borderId="0" xfId="0" applyFont="1" applyAlignment="1">
      <alignment horizontal="left" wrapText="1" indent="2"/>
    </xf>
    <xf numFmtId="0" fontId="1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9" fontId="25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8" fillId="0" borderId="0" xfId="0" applyNumberFormat="1" applyFont="1" applyAlignment="1">
      <alignment horizontal="center"/>
    </xf>
    <xf numFmtId="9" fontId="8" fillId="3" borderId="0" xfId="0" applyNumberFormat="1" applyFont="1" applyFill="1" applyAlignment="1">
      <alignment horizontal="center"/>
    </xf>
    <xf numFmtId="9" fontId="15" fillId="0" borderId="0" xfId="0" applyNumberFormat="1" applyFont="1" applyAlignment="1">
      <alignment horizontal="center"/>
    </xf>
    <xf numFmtId="9" fontId="17" fillId="3" borderId="0" xfId="0" applyNumberFormat="1" applyFont="1" applyFill="1" applyAlignment="1">
      <alignment horizontal="center"/>
    </xf>
    <xf numFmtId="9" fontId="11" fillId="3" borderId="0" xfId="0" applyNumberFormat="1" applyFont="1" applyFill="1" applyAlignment="1">
      <alignment horizontal="center"/>
    </xf>
    <xf numFmtId="9" fontId="16" fillId="3" borderId="0" xfId="0" applyNumberFormat="1" applyFont="1" applyFill="1" applyAlignment="1">
      <alignment horizontal="center"/>
    </xf>
    <xf numFmtId="9" fontId="0" fillId="3" borderId="0" xfId="0" applyNumberFormat="1" applyFill="1" applyAlignment="1">
      <alignment horizontal="center"/>
    </xf>
    <xf numFmtId="9" fontId="13" fillId="3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9" fontId="13" fillId="0" borderId="0" xfId="1" applyFont="1" applyAlignment="1">
      <alignment horizontal="center"/>
    </xf>
    <xf numFmtId="9" fontId="25" fillId="3" borderId="0" xfId="0" applyNumberFormat="1" applyFont="1" applyFill="1"/>
    <xf numFmtId="0" fontId="13" fillId="3" borderId="0" xfId="0" applyFont="1" applyFill="1" applyAlignment="1">
      <alignment horizontal="right"/>
    </xf>
    <xf numFmtId="9" fontId="19" fillId="3" borderId="0" xfId="0" applyNumberFormat="1" applyFont="1" applyFill="1" applyAlignment="1">
      <alignment horizontal="right"/>
    </xf>
    <xf numFmtId="9" fontId="13" fillId="3" borderId="0" xfId="1" applyFont="1" applyFill="1"/>
    <xf numFmtId="0" fontId="21" fillId="3" borderId="0" xfId="0" applyFont="1" applyFill="1"/>
    <xf numFmtId="0" fontId="13" fillId="3" borderId="0" xfId="0" applyFont="1" applyFill="1"/>
    <xf numFmtId="0" fontId="0" fillId="2" borderId="1" xfId="0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9" fontId="27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2" fontId="0" fillId="0" borderId="3" xfId="0" applyNumberFormat="1" applyFont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left" indent="2"/>
    </xf>
    <xf numFmtId="10" fontId="0" fillId="0" borderId="0" xfId="0" applyNumberFormat="1" applyAlignment="1">
      <alignment horizontal="left"/>
    </xf>
    <xf numFmtId="0" fontId="0" fillId="0" borderId="5" xfId="0" applyBorder="1"/>
    <xf numFmtId="0" fontId="29" fillId="0" borderId="0" xfId="0" applyFont="1"/>
    <xf numFmtId="0" fontId="12" fillId="0" borderId="0" xfId="3"/>
    <xf numFmtId="0" fontId="12" fillId="0" borderId="0" xfId="3"/>
    <xf numFmtId="0" fontId="0" fillId="0" borderId="7" xfId="0" applyBorder="1"/>
    <xf numFmtId="0" fontId="0" fillId="0" borderId="8" xfId="0" applyBorder="1"/>
    <xf numFmtId="0" fontId="28" fillId="0" borderId="0" xfId="0" applyFont="1" applyBorder="1" applyAlignment="1">
      <alignment horizontal="center" wrapText="1"/>
    </xf>
    <xf numFmtId="0" fontId="28" fillId="0" borderId="9" xfId="0" applyFont="1" applyBorder="1" applyAlignment="1">
      <alignment horizontal="center" wrapText="1"/>
    </xf>
    <xf numFmtId="9" fontId="0" fillId="0" borderId="0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0" fontId="23" fillId="0" borderId="6" xfId="0" applyFont="1" applyBorder="1" applyAlignment="1">
      <alignment horizontal="center"/>
    </xf>
    <xf numFmtId="9" fontId="13" fillId="0" borderId="0" xfId="0" applyNumberFormat="1" applyFont="1"/>
    <xf numFmtId="0" fontId="28" fillId="0" borderId="0" xfId="0" applyFont="1"/>
    <xf numFmtId="9" fontId="0" fillId="0" borderId="0" xfId="0" applyNumberFormat="1" applyAlignment="1">
      <alignment horizontal="left" indent="1"/>
    </xf>
    <xf numFmtId="0" fontId="0" fillId="0" borderId="0" xfId="0" quotePrefix="1" applyAlignment="1">
      <alignment horizontal="left" indent="1"/>
    </xf>
    <xf numFmtId="0" fontId="11" fillId="0" borderId="0" xfId="0" applyFont="1" applyAlignment="1">
      <alignment horizontal="center"/>
    </xf>
    <xf numFmtId="0" fontId="30" fillId="0" borderId="0" xfId="0" applyFont="1"/>
    <xf numFmtId="9" fontId="30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0" borderId="0" xfId="1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9" fontId="30" fillId="0" borderId="0" xfId="0" applyNumberFormat="1" applyFont="1" applyAlignment="1">
      <alignment horizontal="left"/>
    </xf>
    <xf numFmtId="0" fontId="30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5" xfId="0" applyBorder="1" applyAlignment="1">
      <alignment horizontal="center"/>
    </xf>
    <xf numFmtId="0" fontId="28" fillId="0" borderId="0" xfId="0" applyFont="1" applyAlignment="1">
      <alignment horizontal="right"/>
    </xf>
    <xf numFmtId="0" fontId="30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0" fillId="0" borderId="6" xfId="0" applyFont="1" applyBorder="1"/>
    <xf numFmtId="0" fontId="0" fillId="0" borderId="6" xfId="0" applyBorder="1"/>
    <xf numFmtId="0" fontId="0" fillId="0" borderId="8" xfId="0" applyBorder="1" applyAlignment="1">
      <alignment horizontal="left" indent="6"/>
    </xf>
    <xf numFmtId="0" fontId="0" fillId="0" borderId="0" xfId="0" applyBorder="1"/>
    <xf numFmtId="0" fontId="0" fillId="0" borderId="10" xfId="0" applyBorder="1"/>
    <xf numFmtId="0" fontId="30" fillId="0" borderId="11" xfId="0" applyFont="1" applyBorder="1"/>
    <xf numFmtId="0" fontId="0" fillId="0" borderId="11" xfId="0" applyBorder="1"/>
    <xf numFmtId="0" fontId="0" fillId="0" borderId="8" xfId="0" applyFont="1" applyBorder="1" applyAlignment="1">
      <alignment horizontal="left" indent="6"/>
    </xf>
    <xf numFmtId="0" fontId="0" fillId="0" borderId="10" xfId="0" applyFont="1" applyBorder="1" applyAlignment="1">
      <alignment horizontal="left" indent="6"/>
    </xf>
    <xf numFmtId="0" fontId="30" fillId="0" borderId="0" xfId="0" applyFont="1" applyBorder="1"/>
    <xf numFmtId="9" fontId="33" fillId="0" borderId="0" xfId="0" applyNumberFormat="1" applyFont="1" applyAlignment="1">
      <alignment horizontal="center"/>
    </xf>
    <xf numFmtId="9" fontId="28" fillId="0" borderId="0" xfId="0" applyNumberFormat="1" applyFont="1" applyAlignment="1">
      <alignment horizontal="center"/>
    </xf>
    <xf numFmtId="9" fontId="26" fillId="0" borderId="0" xfId="0" applyNumberFormat="1" applyFont="1" applyAlignment="1">
      <alignment horizontal="center"/>
    </xf>
    <xf numFmtId="0" fontId="11" fillId="0" borderId="0" xfId="3" applyFont="1"/>
    <xf numFmtId="0" fontId="8" fillId="0" borderId="0" xfId="3" applyFont="1" applyAlignment="1">
      <alignment horizontal="right"/>
    </xf>
    <xf numFmtId="9" fontId="34" fillId="0" borderId="0" xfId="0" applyNumberFormat="1" applyFont="1" applyAlignment="1">
      <alignment horizontal="right"/>
    </xf>
    <xf numFmtId="9" fontId="8" fillId="0" borderId="0" xfId="0" applyNumberFormat="1" applyFont="1" applyBorder="1" applyAlignment="1">
      <alignment horizontal="center"/>
    </xf>
    <xf numFmtId="9" fontId="12" fillId="0" borderId="7" xfId="1" applyBorder="1" applyAlignment="1">
      <alignment horizontal="center"/>
    </xf>
    <xf numFmtId="9" fontId="12" fillId="0" borderId="9" xfId="1" applyBorder="1" applyAlignment="1">
      <alignment horizontal="center"/>
    </xf>
    <xf numFmtId="9" fontId="13" fillId="0" borderId="12" xfId="1" applyFont="1" applyBorder="1" applyAlignment="1">
      <alignment horizontal="center"/>
    </xf>
    <xf numFmtId="0" fontId="13" fillId="0" borderId="5" xfId="0" applyFont="1" applyBorder="1" applyAlignment="1">
      <alignment horizontal="left" indent="4"/>
    </xf>
    <xf numFmtId="0" fontId="13" fillId="0" borderId="8" xfId="0" applyFont="1" applyBorder="1" applyAlignment="1">
      <alignment horizontal="left" indent="4"/>
    </xf>
    <xf numFmtId="0" fontId="0" fillId="0" borderId="8" xfId="0" applyBorder="1" applyAlignment="1">
      <alignment horizontal="left" indent="4"/>
    </xf>
    <xf numFmtId="0" fontId="13" fillId="0" borderId="10" xfId="0" applyFont="1" applyBorder="1" applyAlignment="1">
      <alignment horizontal="left" indent="4"/>
    </xf>
    <xf numFmtId="9" fontId="12" fillId="0" borderId="0" xfId="1" applyBorder="1" applyAlignment="1">
      <alignment horizontal="center"/>
    </xf>
    <xf numFmtId="9" fontId="13" fillId="0" borderId="11" xfId="1" applyFont="1" applyBorder="1" applyAlignment="1">
      <alignment horizontal="center"/>
    </xf>
    <xf numFmtId="9" fontId="13" fillId="0" borderId="6" xfId="1" applyFont="1" applyBorder="1" applyAlignment="1">
      <alignment horizontal="center"/>
    </xf>
    <xf numFmtId="9" fontId="13" fillId="0" borderId="0" xfId="1" applyFont="1" applyBorder="1" applyAlignment="1">
      <alignment horizontal="center"/>
    </xf>
    <xf numFmtId="0" fontId="19" fillId="0" borderId="0" xfId="0" applyFont="1" applyAlignment="1">
      <alignment horizontal="right" indent="2"/>
    </xf>
    <xf numFmtId="10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8" fillId="0" borderId="0" xfId="3" applyFont="1" applyAlignment="1">
      <alignment horizontal="left" indent="1"/>
    </xf>
    <xf numFmtId="10" fontId="8" fillId="0" borderId="0" xfId="0" applyNumberFormat="1" applyFont="1" applyAlignment="1">
      <alignment horizontal="left" wrapText="1" indent="1"/>
    </xf>
    <xf numFmtId="10" fontId="0" fillId="0" borderId="0" xfId="0" applyNumberFormat="1" applyAlignment="1">
      <alignment horizontal="left" wrapText="1" indent="1"/>
    </xf>
    <xf numFmtId="9" fontId="8" fillId="0" borderId="0" xfId="0" applyNumberFormat="1" applyFont="1" applyAlignment="1">
      <alignment horizontal="left" wrapText="1" indent="1"/>
    </xf>
    <xf numFmtId="9" fontId="0" fillId="0" borderId="0" xfId="0" applyNumberFormat="1" applyAlignment="1">
      <alignment horizontal="left" wrapText="1" indent="1"/>
    </xf>
    <xf numFmtId="0" fontId="30" fillId="0" borderId="0" xfId="0" applyFont="1" applyAlignment="1">
      <alignment horizontal="left" wrapText="1" indent="1"/>
    </xf>
    <xf numFmtId="0" fontId="0" fillId="0" borderId="0" xfId="0" applyAlignment="1">
      <alignment horizontal="left"/>
    </xf>
  </cellXfs>
  <cellStyles count="5">
    <cellStyle name="Normal" xfId="0" builtinId="0"/>
    <cellStyle name="Normal 2" xfId="3"/>
    <cellStyle name="Normal 3" xfId="2"/>
    <cellStyle name="Percent" xfId="1" builtinId="5"/>
    <cellStyle name="Percent 2" xfId="4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78787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DEBC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CB86E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>
              <a:solidFill>
                <a:schemeClr val="accent1"/>
              </a:solidFill>
            </a:ln>
            <a:scene3d>
              <a:camera prst="orthographicFront"/>
              <a:lightRig rig="threePt" dir="t"/>
            </a:scene3d>
            <a:sp3d>
              <a:bevelT w="6350"/>
            </a:sp3d>
          </c:spPr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rgbClr val="DDEBCF"/>
                  </a:gs>
                  <a:gs pos="50000">
                    <a:srgbClr val="9CB86E"/>
                  </a:gs>
                  <a:gs pos="100000">
                    <a:srgbClr val="156B13"/>
                  </a:gs>
                </a:gsLst>
                <a:lin ang="5400000" scaled="0"/>
              </a:gradFill>
              <a:ln>
                <a:solidFill>
                  <a:schemeClr val="accent3">
                    <a:lumMod val="5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w="6350"/>
              </a:sp3d>
            </c:spPr>
          </c:dPt>
          <c:cat>
            <c:strRef>
              <c:f>'DC Framework'!$B$136:$B$141</c:f>
              <c:strCache>
                <c:ptCount val="6"/>
                <c:pt idx="0">
                  <c:v>Value based on benefits provided</c:v>
                </c:pt>
                <c:pt idx="1">
                  <c:v>Value based on replacement ratio</c:v>
                </c:pt>
                <c:pt idx="2">
                  <c:v>Value for governance and other provisions</c:v>
                </c:pt>
                <c:pt idx="3">
                  <c:v>Value for plan success (existing plans only)</c:v>
                </c:pt>
                <c:pt idx="5">
                  <c:v>Overall value</c:v>
                </c:pt>
              </c:strCache>
            </c:strRef>
          </c:cat>
          <c:val>
            <c:numRef>
              <c:f>'DC Framework'!$F$136:$F$141</c:f>
              <c:numCache>
                <c:formatCode>0%</c:formatCode>
                <c:ptCount val="6"/>
                <c:pt idx="0">
                  <c:v>0.67709722222222224</c:v>
                </c:pt>
                <c:pt idx="1">
                  <c:v>0.84285714285714297</c:v>
                </c:pt>
                <c:pt idx="2">
                  <c:v>0.1875</c:v>
                </c:pt>
                <c:pt idx="3">
                  <c:v>0</c:v>
                </c:pt>
                <c:pt idx="5">
                  <c:v>0.72096305555555562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942120"/>
        <c:axId val="296944552"/>
      </c:barChart>
      <c:catAx>
        <c:axId val="296942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96944552"/>
        <c:crosses val="autoZero"/>
        <c:auto val="1"/>
        <c:lblAlgn val="ctr"/>
        <c:lblOffset val="100"/>
        <c:noMultiLvlLbl val="0"/>
      </c:catAx>
      <c:valAx>
        <c:axId val="296944552"/>
        <c:scaling>
          <c:orientation val="minMax"/>
          <c:max val="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96942120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>
              <a:solidFill>
                <a:schemeClr val="accent1"/>
              </a:solidFill>
            </a:ln>
            <a:scene3d>
              <a:camera prst="orthographicFront"/>
              <a:lightRig rig="threePt" dir="t"/>
            </a:scene3d>
            <a:sp3d>
              <a:bevelT w="6350"/>
            </a:sp3d>
          </c:spPr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rgbClr val="DDEBCF"/>
                  </a:gs>
                  <a:gs pos="50000">
                    <a:srgbClr val="9CB86E"/>
                  </a:gs>
                  <a:gs pos="100000">
                    <a:srgbClr val="156B13"/>
                  </a:gs>
                </a:gsLst>
                <a:lin ang="5400000" scaled="0"/>
              </a:gradFill>
              <a:ln>
                <a:solidFill>
                  <a:schemeClr val="accent3">
                    <a:lumMod val="5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w="6350"/>
              </a:sp3d>
            </c:spPr>
          </c:dPt>
          <c:cat>
            <c:strRef>
              <c:f>'DC Framework'!$B$136:$B$141</c:f>
              <c:strCache>
                <c:ptCount val="6"/>
                <c:pt idx="0">
                  <c:v>Value based on benefits provided</c:v>
                </c:pt>
                <c:pt idx="1">
                  <c:v>Value based on replacement ratio</c:v>
                </c:pt>
                <c:pt idx="2">
                  <c:v>Value for governance and other provisions</c:v>
                </c:pt>
                <c:pt idx="3">
                  <c:v>Value for plan success (existing plans only)</c:v>
                </c:pt>
                <c:pt idx="5">
                  <c:v>Overall value</c:v>
                </c:pt>
              </c:strCache>
            </c:strRef>
          </c:cat>
          <c:val>
            <c:numRef>
              <c:f>'DC Framework'!$F$136:$F$141</c:f>
              <c:numCache>
                <c:formatCode>0%</c:formatCode>
                <c:ptCount val="6"/>
                <c:pt idx="0">
                  <c:v>0.67709722222222224</c:v>
                </c:pt>
                <c:pt idx="1">
                  <c:v>0.84285714285714297</c:v>
                </c:pt>
                <c:pt idx="2">
                  <c:v>0.1875</c:v>
                </c:pt>
                <c:pt idx="3">
                  <c:v>0</c:v>
                </c:pt>
                <c:pt idx="5">
                  <c:v>0.72096305555555562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922248"/>
        <c:axId val="296922632"/>
      </c:barChart>
      <c:catAx>
        <c:axId val="2969222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96922632"/>
        <c:crosses val="autoZero"/>
        <c:auto val="1"/>
        <c:lblAlgn val="ctr"/>
        <c:lblOffset val="100"/>
        <c:noMultiLvlLbl val="0"/>
      </c:catAx>
      <c:valAx>
        <c:axId val="296922632"/>
        <c:scaling>
          <c:orientation val="minMax"/>
          <c:max val="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96922248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>
              <a:solidFill>
                <a:schemeClr val="accent1"/>
              </a:solidFill>
            </a:ln>
            <a:scene3d>
              <a:camera prst="orthographicFront"/>
              <a:lightRig rig="threePt" dir="t"/>
            </a:scene3d>
            <a:sp3d>
              <a:bevelT w="6350"/>
            </a:sp3d>
          </c:spPr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rgbClr val="DDEBCF"/>
                  </a:gs>
                  <a:gs pos="50000">
                    <a:srgbClr val="9CB86E"/>
                  </a:gs>
                  <a:gs pos="100000">
                    <a:srgbClr val="156B13"/>
                  </a:gs>
                </a:gsLst>
                <a:lin ang="5400000" scaled="0"/>
              </a:gradFill>
              <a:ln>
                <a:solidFill>
                  <a:schemeClr val="accent3">
                    <a:lumMod val="5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w="6350"/>
              </a:sp3d>
            </c:spPr>
          </c:dPt>
          <c:cat>
            <c:strRef>
              <c:f>'DC Framework-Canada'!$B$134:$B$139</c:f>
              <c:strCache>
                <c:ptCount val="6"/>
                <c:pt idx="0">
                  <c:v>Value based on benefits provided</c:v>
                </c:pt>
                <c:pt idx="1">
                  <c:v>Value based on replacement ratio</c:v>
                </c:pt>
                <c:pt idx="2">
                  <c:v>Value for governance and other provisions</c:v>
                </c:pt>
                <c:pt idx="3">
                  <c:v>Value for plan success (existing plans only)</c:v>
                </c:pt>
                <c:pt idx="5">
                  <c:v>Overall value</c:v>
                </c:pt>
              </c:strCache>
            </c:strRef>
          </c:cat>
          <c:val>
            <c:numRef>
              <c:f>'DC Framework-Canada'!$F$134:$F$139</c:f>
              <c:numCache>
                <c:formatCode>0%</c:formatCode>
                <c:ptCount val="6"/>
                <c:pt idx="0">
                  <c:v>0.67709722222222224</c:v>
                </c:pt>
                <c:pt idx="1">
                  <c:v>0.84285714285714297</c:v>
                </c:pt>
                <c:pt idx="2">
                  <c:v>0.14285714285714285</c:v>
                </c:pt>
                <c:pt idx="3">
                  <c:v>0</c:v>
                </c:pt>
                <c:pt idx="5">
                  <c:v>0.71649876984126992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142016"/>
        <c:axId val="297229640"/>
      </c:barChart>
      <c:catAx>
        <c:axId val="1801420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97229640"/>
        <c:crosses val="autoZero"/>
        <c:auto val="1"/>
        <c:lblAlgn val="ctr"/>
        <c:lblOffset val="100"/>
        <c:noMultiLvlLbl val="0"/>
      </c:catAx>
      <c:valAx>
        <c:axId val="297229640"/>
        <c:scaling>
          <c:orientation val="minMax"/>
          <c:max val="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0142016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>
              <a:solidFill>
                <a:schemeClr val="accent1"/>
              </a:solidFill>
            </a:ln>
            <a:scene3d>
              <a:camera prst="orthographicFront"/>
              <a:lightRig rig="threePt" dir="t"/>
            </a:scene3d>
            <a:sp3d>
              <a:bevelT w="6350"/>
            </a:sp3d>
          </c:spPr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rgbClr val="DDEBCF"/>
                  </a:gs>
                  <a:gs pos="50000">
                    <a:srgbClr val="9CB86E"/>
                  </a:gs>
                  <a:gs pos="100000">
                    <a:srgbClr val="156B13"/>
                  </a:gs>
                </a:gsLst>
                <a:lin ang="5400000" scaled="0"/>
              </a:gradFill>
              <a:ln>
                <a:solidFill>
                  <a:schemeClr val="accent3">
                    <a:lumMod val="5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w="6350"/>
              </a:sp3d>
            </c:spPr>
          </c:dPt>
          <c:cat>
            <c:strRef>
              <c:f>'DC Framework-Canada'!$B$134:$B$139</c:f>
              <c:strCache>
                <c:ptCount val="6"/>
                <c:pt idx="0">
                  <c:v>Value based on benefits provided</c:v>
                </c:pt>
                <c:pt idx="1">
                  <c:v>Value based on replacement ratio</c:v>
                </c:pt>
                <c:pt idx="2">
                  <c:v>Value for governance and other provisions</c:v>
                </c:pt>
                <c:pt idx="3">
                  <c:v>Value for plan success (existing plans only)</c:v>
                </c:pt>
                <c:pt idx="5">
                  <c:v>Overall value</c:v>
                </c:pt>
              </c:strCache>
            </c:strRef>
          </c:cat>
          <c:val>
            <c:numRef>
              <c:f>'DC Framework-Canada'!$F$134:$F$139</c:f>
              <c:numCache>
                <c:formatCode>0%</c:formatCode>
                <c:ptCount val="6"/>
                <c:pt idx="0">
                  <c:v>0.67709722222222224</c:v>
                </c:pt>
                <c:pt idx="1">
                  <c:v>0.84285714285714297</c:v>
                </c:pt>
                <c:pt idx="2">
                  <c:v>0.14285714285714285</c:v>
                </c:pt>
                <c:pt idx="3">
                  <c:v>0</c:v>
                </c:pt>
                <c:pt idx="5">
                  <c:v>0.71649876984126992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644472"/>
        <c:axId val="297635872"/>
      </c:barChart>
      <c:catAx>
        <c:axId val="2976444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97635872"/>
        <c:crosses val="autoZero"/>
        <c:auto val="1"/>
        <c:lblAlgn val="ctr"/>
        <c:lblOffset val="100"/>
        <c:noMultiLvlLbl val="0"/>
      </c:catAx>
      <c:valAx>
        <c:axId val="297635872"/>
        <c:scaling>
          <c:orientation val="minMax"/>
          <c:max val="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97644472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" dropStyle="combo" dx="16" fmlaLink="$K$36" fmlaRange="$N$36:$N$40" noThreeD="1" sel="3" val="0"/>
</file>

<file path=xl/ctrlProps/ctrlProp10.xml><?xml version="1.0" encoding="utf-8"?>
<formControlPr xmlns="http://schemas.microsoft.com/office/spreadsheetml/2009/9/main" objectType="Drop" dropLines="2" dropStyle="combo" dx="16" fmlaLink="$K$107" fmlaRange="$L$100:$L$101" noThreeD="1" sel="2" val="0"/>
</file>

<file path=xl/ctrlProps/ctrlProp11.xml><?xml version="1.0" encoding="utf-8"?>
<formControlPr xmlns="http://schemas.microsoft.com/office/spreadsheetml/2009/9/main" objectType="Drop" dropLines="5" dropStyle="combo" dx="16" fmlaLink="$K$108" fmlaRange="$N$36:$N$40" noThreeD="1" sel="1" val="0"/>
</file>

<file path=xl/ctrlProps/ctrlProp12.xml><?xml version="1.0" encoding="utf-8"?>
<formControlPr xmlns="http://schemas.microsoft.com/office/spreadsheetml/2009/9/main" objectType="Drop" dropLines="5" dropStyle="combo" dx="16" fmlaLink="$K$109" fmlaRange="$N$36:$N$40" noThreeD="1" sel="1" val="0"/>
</file>

<file path=xl/ctrlProps/ctrlProp13.xml><?xml version="1.0" encoding="utf-8"?>
<formControlPr xmlns="http://schemas.microsoft.com/office/spreadsheetml/2009/9/main" objectType="Drop" dropLines="5" dropStyle="combo" dx="16" fmlaLink="$K$99" fmlaRange="$N$36:$N$40" noThreeD="1" sel="2" val="0"/>
</file>

<file path=xl/ctrlProps/ctrlProp14.xml><?xml version="1.0" encoding="utf-8"?>
<formControlPr xmlns="http://schemas.microsoft.com/office/spreadsheetml/2009/9/main" objectType="Drop" dropLines="2" dropStyle="combo" dx="16" fmlaLink="$K$100" fmlaRange="$L$100:$L$101" noThreeD="1" sel="2" val="0"/>
</file>

<file path=xl/ctrlProps/ctrlProp15.xml><?xml version="1.0" encoding="utf-8"?>
<formControlPr xmlns="http://schemas.microsoft.com/office/spreadsheetml/2009/9/main" objectType="Drop" dropLines="5" dropStyle="combo" dx="16" fmlaLink="$K$101" fmlaRange="$N$36:$N$40" noThreeD="1" sel="2" val="0"/>
</file>

<file path=xl/ctrlProps/ctrlProp16.xml><?xml version="1.0" encoding="utf-8"?>
<formControlPr xmlns="http://schemas.microsoft.com/office/spreadsheetml/2009/9/main" objectType="Drop" dropLines="5" dropStyle="combo" dx="16" fmlaLink="$K$102" fmlaRange="$N$36:$N$40" noThreeD="1" sel="2" val="0"/>
</file>

<file path=xl/ctrlProps/ctrlProp17.xml><?xml version="1.0" encoding="utf-8"?>
<formControlPr xmlns="http://schemas.microsoft.com/office/spreadsheetml/2009/9/main" objectType="Drop" dropStyle="combo" dx="16" fmlaLink="$K$69" fmlaRange="$L$69:$L$71" noThreeD="1" sel="3" val="0"/>
</file>

<file path=xl/ctrlProps/ctrlProp18.xml><?xml version="1.0" encoding="utf-8"?>
<formControlPr xmlns="http://schemas.microsoft.com/office/spreadsheetml/2009/9/main" objectType="Drop" dropLines="5" dropStyle="combo" dx="16" fmlaLink="$K$25" fmlaRange="$N$36:$N$40" noThreeD="1" sel="5" val="0"/>
</file>

<file path=xl/ctrlProps/ctrlProp19.xml><?xml version="1.0" encoding="utf-8"?>
<formControlPr xmlns="http://schemas.microsoft.com/office/spreadsheetml/2009/9/main" objectType="Drop" dropLines="5" dropStyle="combo" dx="16" fmlaLink="$K$26" fmlaRange="$N$36:$N$40" noThreeD="1" sel="4" val="0"/>
</file>

<file path=xl/ctrlProps/ctrlProp2.xml><?xml version="1.0" encoding="utf-8"?>
<formControlPr xmlns="http://schemas.microsoft.com/office/spreadsheetml/2009/9/main" objectType="Drop" dropLines="5" dropStyle="combo" dx="16" fmlaLink="$K$37" fmlaRange="$N$36:$N$40" noThreeD="1" sel="3" val="0"/>
</file>

<file path=xl/ctrlProps/ctrlProp20.xml><?xml version="1.0" encoding="utf-8"?>
<formControlPr xmlns="http://schemas.microsoft.com/office/spreadsheetml/2009/9/main" objectType="Drop" dropLines="5" dropStyle="combo" dx="16" fmlaLink="$K$27" fmlaRange="$N$36:$N$40" noThreeD="1" sel="4" val="0"/>
</file>

<file path=xl/ctrlProps/ctrlProp21.xml><?xml version="1.0" encoding="utf-8"?>
<formControlPr xmlns="http://schemas.microsoft.com/office/spreadsheetml/2009/9/main" objectType="Drop" dropLines="5" dropStyle="combo" dx="16" fmlaLink="$K$28" fmlaRange="$N$36:$N$40" noThreeD="1" sel="2" val="0"/>
</file>

<file path=xl/ctrlProps/ctrlProp22.xml><?xml version="1.0" encoding="utf-8"?>
<formControlPr xmlns="http://schemas.microsoft.com/office/spreadsheetml/2009/9/main" objectType="Drop" dropLines="2" dropStyle="combo" dx="16" fmlaLink="$K$6" fmlaRange="$L$100:$L$101" noThreeD="1" sel="2" val="0"/>
</file>

<file path=xl/ctrlProps/ctrlProp23.xml><?xml version="1.0" encoding="utf-8"?>
<formControlPr xmlns="http://schemas.microsoft.com/office/spreadsheetml/2009/9/main" objectType="Drop" dropLines="5" dropStyle="combo" dx="16" fmlaLink="$K$36" fmlaRange="$N$36:$N$40" noThreeD="1" sel="3" val="0"/>
</file>

<file path=xl/ctrlProps/ctrlProp24.xml><?xml version="1.0" encoding="utf-8"?>
<formControlPr xmlns="http://schemas.microsoft.com/office/spreadsheetml/2009/9/main" objectType="Drop" dropLines="5" dropStyle="combo" dx="16" fmlaLink="$K$37" fmlaRange="$N$36:$N$40" noThreeD="1" sel="3" val="0"/>
</file>

<file path=xl/ctrlProps/ctrlProp25.xml><?xml version="1.0" encoding="utf-8"?>
<formControlPr xmlns="http://schemas.microsoft.com/office/spreadsheetml/2009/9/main" objectType="Drop" dropLines="5" dropStyle="combo" dx="16" fmlaLink="$K$38" fmlaRange="$N$36:$N$40" noThreeD="1" sel="5" val="0"/>
</file>

<file path=xl/ctrlProps/ctrlProp26.xml><?xml version="1.0" encoding="utf-8"?>
<formControlPr xmlns="http://schemas.microsoft.com/office/spreadsheetml/2009/9/main" objectType="Drop" dropLines="5" dropStyle="combo" dx="16" fmlaLink="$K$39" fmlaRange="$N$36:$N$40" noThreeD="1" sel="5" val="0"/>
</file>

<file path=xl/ctrlProps/ctrlProp27.xml><?xml version="1.0" encoding="utf-8"?>
<formControlPr xmlns="http://schemas.microsoft.com/office/spreadsheetml/2009/9/main" objectType="Drop" dropLines="5" dropStyle="combo" dx="16" fmlaLink="$K$49" fmlaRange="$N$36:$N$40" noThreeD="1" sel="4" val="0"/>
</file>

<file path=xl/ctrlProps/ctrlProp28.xml><?xml version="1.0" encoding="utf-8"?>
<formControlPr xmlns="http://schemas.microsoft.com/office/spreadsheetml/2009/9/main" objectType="Drop" dropLines="5" dropStyle="combo" dx="16" fmlaLink="$K$50" fmlaRange="$N$36:$N$40" noThreeD="1" sel="4" val="0"/>
</file>

<file path=xl/ctrlProps/ctrlProp29.xml><?xml version="1.0" encoding="utf-8"?>
<formControlPr xmlns="http://schemas.microsoft.com/office/spreadsheetml/2009/9/main" objectType="Drop" dropLines="5" dropStyle="combo" dx="16" fmlaLink="$K$51" fmlaRange="$N$36:$N$40" noThreeD="1" sel="2" val="0"/>
</file>

<file path=xl/ctrlProps/ctrlProp3.xml><?xml version="1.0" encoding="utf-8"?>
<formControlPr xmlns="http://schemas.microsoft.com/office/spreadsheetml/2009/9/main" objectType="Drop" dropLines="5" dropStyle="combo" dx="16" fmlaLink="$K$38" fmlaRange="$N$36:$N$40" noThreeD="1" sel="5" val="0"/>
</file>

<file path=xl/ctrlProps/ctrlProp30.xml><?xml version="1.0" encoding="utf-8"?>
<formControlPr xmlns="http://schemas.microsoft.com/office/spreadsheetml/2009/9/main" objectType="Drop" dropLines="5" dropStyle="combo" dx="16" fmlaLink="$K$52" fmlaRange="$N$36:$N$40" noThreeD="1" sel="2" val="0"/>
</file>

<file path=xl/ctrlProps/ctrlProp31.xml><?xml version="1.0" encoding="utf-8"?>
<formControlPr xmlns="http://schemas.microsoft.com/office/spreadsheetml/2009/9/main" objectType="Drop" dropLines="2" dropStyle="combo" dx="16" fmlaLink="$K$107" fmlaRange="$L$100:$L$101" noThreeD="1" sel="2" val="0"/>
</file>

<file path=xl/ctrlProps/ctrlProp32.xml><?xml version="1.0" encoding="utf-8"?>
<formControlPr xmlns="http://schemas.microsoft.com/office/spreadsheetml/2009/9/main" objectType="Drop" dropLines="5" dropStyle="combo" dx="16" fmlaLink="$K$99" fmlaRange="$N$36:$N$40" noThreeD="1" sel="2" val="0"/>
</file>

<file path=xl/ctrlProps/ctrlProp33.xml><?xml version="1.0" encoding="utf-8"?>
<formControlPr xmlns="http://schemas.microsoft.com/office/spreadsheetml/2009/9/main" objectType="Drop" dropLines="2" dropStyle="combo" dx="16" fmlaLink="$K$100" fmlaRange="$L$100:$L$101" noThreeD="1" sel="2" val="0"/>
</file>

<file path=xl/ctrlProps/ctrlProp34.xml><?xml version="1.0" encoding="utf-8"?>
<formControlPr xmlns="http://schemas.microsoft.com/office/spreadsheetml/2009/9/main" objectType="Drop" dropLines="5" dropStyle="combo" dx="16" fmlaLink="$K$101" fmlaRange="$N$36:$N$40" noThreeD="1" sel="2" val="0"/>
</file>

<file path=xl/ctrlProps/ctrlProp35.xml><?xml version="1.0" encoding="utf-8"?>
<formControlPr xmlns="http://schemas.microsoft.com/office/spreadsheetml/2009/9/main" objectType="Drop" dropLines="5" dropStyle="combo" dx="16" fmlaLink="$K$102" fmlaRange="$N$36:$N$40" noThreeD="1" sel="2" val="0"/>
</file>

<file path=xl/ctrlProps/ctrlProp36.xml><?xml version="1.0" encoding="utf-8"?>
<formControlPr xmlns="http://schemas.microsoft.com/office/spreadsheetml/2009/9/main" objectType="Drop" dropStyle="combo" dx="16" fmlaLink="$K$69" fmlaRange="$L$69:$L$71" noThreeD="1" sel="3" val="0"/>
</file>

<file path=xl/ctrlProps/ctrlProp37.xml><?xml version="1.0" encoding="utf-8"?>
<formControlPr xmlns="http://schemas.microsoft.com/office/spreadsheetml/2009/9/main" objectType="Drop" dropLines="5" dropStyle="combo" dx="16" fmlaLink="$K$25" fmlaRange="$N$36:$N$40" noThreeD="1" sel="5" val="0"/>
</file>

<file path=xl/ctrlProps/ctrlProp38.xml><?xml version="1.0" encoding="utf-8"?>
<formControlPr xmlns="http://schemas.microsoft.com/office/spreadsheetml/2009/9/main" objectType="Drop" dropLines="5" dropStyle="combo" dx="16" fmlaLink="$K$26" fmlaRange="$N$36:$N$40" noThreeD="1" sel="4" val="0"/>
</file>

<file path=xl/ctrlProps/ctrlProp39.xml><?xml version="1.0" encoding="utf-8"?>
<formControlPr xmlns="http://schemas.microsoft.com/office/spreadsheetml/2009/9/main" objectType="Drop" dropLines="5" dropStyle="combo" dx="16" fmlaLink="$K$27" fmlaRange="$N$36:$N$40" noThreeD="1" sel="4" val="0"/>
</file>

<file path=xl/ctrlProps/ctrlProp4.xml><?xml version="1.0" encoding="utf-8"?>
<formControlPr xmlns="http://schemas.microsoft.com/office/spreadsheetml/2009/9/main" objectType="Drop" dropLines="5" dropStyle="combo" dx="16" fmlaLink="$K$39" fmlaRange="$N$36:$N$40" noThreeD="1" sel="5" val="0"/>
</file>

<file path=xl/ctrlProps/ctrlProp40.xml><?xml version="1.0" encoding="utf-8"?>
<formControlPr xmlns="http://schemas.microsoft.com/office/spreadsheetml/2009/9/main" objectType="Drop" dropLines="5" dropStyle="combo" dx="16" fmlaLink="$K$28" fmlaRange="$N$36:$N$40" noThreeD="1" sel="2" val="0"/>
</file>

<file path=xl/ctrlProps/ctrlProp41.xml><?xml version="1.0" encoding="utf-8"?>
<formControlPr xmlns="http://schemas.microsoft.com/office/spreadsheetml/2009/9/main" objectType="Drop" dropLines="2" dropStyle="combo" dx="16" fmlaLink="$K$6" fmlaRange="$L$100:$L$101" noThreeD="1" sel="2" val="0"/>
</file>

<file path=xl/ctrlProps/ctrlProp42.xml><?xml version="1.0" encoding="utf-8"?>
<formControlPr xmlns="http://schemas.microsoft.com/office/spreadsheetml/2009/9/main" objectType="Drop" dropLines="2" dropStyle="combo" dx="16" fmlaLink="$K$107" fmlaRange="$L$100:$L$101" noThreeD="1" sel="2" val="0"/>
</file>

<file path=xl/ctrlProps/ctrlProp43.xml><?xml version="1.0" encoding="utf-8"?>
<formControlPr xmlns="http://schemas.microsoft.com/office/spreadsheetml/2009/9/main" objectType="Drop" dropLines="5" dropStyle="combo" dx="16" fmlaLink="$K$108" fmlaRange="$N$36:$N$40" noThreeD="1" sel="2" val="0"/>
</file>

<file path=xl/ctrlProps/ctrlProp5.xml><?xml version="1.0" encoding="utf-8"?>
<formControlPr xmlns="http://schemas.microsoft.com/office/spreadsheetml/2009/9/main" objectType="Drop" dropLines="5" dropStyle="combo" dx="16" fmlaLink="$K$49" fmlaRange="$N$36:$N$40" noThreeD="1" sel="4" val="0"/>
</file>

<file path=xl/ctrlProps/ctrlProp6.xml><?xml version="1.0" encoding="utf-8"?>
<formControlPr xmlns="http://schemas.microsoft.com/office/spreadsheetml/2009/9/main" objectType="Drop" dropLines="5" dropStyle="combo" dx="16" fmlaLink="$K$50" fmlaRange="$N$36:$N$40" noThreeD="1" sel="4" val="0"/>
</file>

<file path=xl/ctrlProps/ctrlProp7.xml><?xml version="1.0" encoding="utf-8"?>
<formControlPr xmlns="http://schemas.microsoft.com/office/spreadsheetml/2009/9/main" objectType="Drop" dropLines="5" dropStyle="combo" dx="16" fmlaLink="$K$51" fmlaRange="$N$36:$N$40" noThreeD="1" sel="2" val="0"/>
</file>

<file path=xl/ctrlProps/ctrlProp8.xml><?xml version="1.0" encoding="utf-8"?>
<formControlPr xmlns="http://schemas.microsoft.com/office/spreadsheetml/2009/9/main" objectType="Drop" dropLines="5" dropStyle="combo" dx="16" fmlaLink="$K$52" fmlaRange="$N$36:$N$40" noThreeD="1" sel="2" val="0"/>
</file>

<file path=xl/ctrlProps/ctrlProp9.xml><?xml version="1.0" encoding="utf-8"?>
<formControlPr xmlns="http://schemas.microsoft.com/office/spreadsheetml/2009/9/main" objectType="Drop" dropLines="5" dropStyle="combo" dx="16" fmlaLink="$K$106" fmlaRange="$N$36:$N$40" noThreeD="1" sel="4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</xdr:row>
          <xdr:rowOff>9525</xdr:rowOff>
        </xdr:from>
        <xdr:to>
          <xdr:col>12</xdr:col>
          <xdr:colOff>266700</xdr:colOff>
          <xdr:row>47</xdr:row>
          <xdr:rowOff>104775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142</xdr:row>
      <xdr:rowOff>-1</xdr:rowOff>
    </xdr:from>
    <xdr:to>
      <xdr:col>7</xdr:col>
      <xdr:colOff>1404938</xdr:colOff>
      <xdr:row>156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57150</xdr:rowOff>
        </xdr:from>
        <xdr:to>
          <xdr:col>5</xdr:col>
          <xdr:colOff>838200</xdr:colOff>
          <xdr:row>35</xdr:row>
          <xdr:rowOff>276225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36</xdr:row>
          <xdr:rowOff>38100</xdr:rowOff>
        </xdr:from>
        <xdr:to>
          <xdr:col>5</xdr:col>
          <xdr:colOff>847725</xdr:colOff>
          <xdr:row>36</xdr:row>
          <xdr:rowOff>266700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37</xdr:row>
          <xdr:rowOff>76200</xdr:rowOff>
        </xdr:from>
        <xdr:to>
          <xdr:col>5</xdr:col>
          <xdr:colOff>838200</xdr:colOff>
          <xdr:row>37</xdr:row>
          <xdr:rowOff>276225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38</xdr:row>
          <xdr:rowOff>57150</xdr:rowOff>
        </xdr:from>
        <xdr:to>
          <xdr:col>5</xdr:col>
          <xdr:colOff>819150</xdr:colOff>
          <xdr:row>38</xdr:row>
          <xdr:rowOff>257175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48</xdr:row>
          <xdr:rowOff>57150</xdr:rowOff>
        </xdr:from>
        <xdr:to>
          <xdr:col>5</xdr:col>
          <xdr:colOff>866775</xdr:colOff>
          <xdr:row>48</xdr:row>
          <xdr:rowOff>285750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49</xdr:row>
          <xdr:rowOff>76200</xdr:rowOff>
        </xdr:from>
        <xdr:to>
          <xdr:col>5</xdr:col>
          <xdr:colOff>857250</xdr:colOff>
          <xdr:row>49</xdr:row>
          <xdr:rowOff>276225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50</xdr:row>
          <xdr:rowOff>76200</xdr:rowOff>
        </xdr:from>
        <xdr:to>
          <xdr:col>5</xdr:col>
          <xdr:colOff>885825</xdr:colOff>
          <xdr:row>50</xdr:row>
          <xdr:rowOff>276225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51</xdr:row>
          <xdr:rowOff>76200</xdr:rowOff>
        </xdr:from>
        <xdr:to>
          <xdr:col>5</xdr:col>
          <xdr:colOff>904875</xdr:colOff>
          <xdr:row>51</xdr:row>
          <xdr:rowOff>276225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105</xdr:row>
          <xdr:rowOff>76200</xdr:rowOff>
        </xdr:from>
        <xdr:to>
          <xdr:col>6</xdr:col>
          <xdr:colOff>2886075</xdr:colOff>
          <xdr:row>105</xdr:row>
          <xdr:rowOff>276225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106</xdr:row>
          <xdr:rowOff>76200</xdr:rowOff>
        </xdr:from>
        <xdr:to>
          <xdr:col>6</xdr:col>
          <xdr:colOff>2886075</xdr:colOff>
          <xdr:row>106</xdr:row>
          <xdr:rowOff>276225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107</xdr:row>
          <xdr:rowOff>76200</xdr:rowOff>
        </xdr:from>
        <xdr:to>
          <xdr:col>6</xdr:col>
          <xdr:colOff>2886075</xdr:colOff>
          <xdr:row>107</xdr:row>
          <xdr:rowOff>276225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108</xdr:row>
          <xdr:rowOff>76200</xdr:rowOff>
        </xdr:from>
        <xdr:to>
          <xdr:col>6</xdr:col>
          <xdr:colOff>2886075</xdr:colOff>
          <xdr:row>108</xdr:row>
          <xdr:rowOff>276225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98</xdr:row>
          <xdr:rowOff>76200</xdr:rowOff>
        </xdr:from>
        <xdr:to>
          <xdr:col>6</xdr:col>
          <xdr:colOff>2886075</xdr:colOff>
          <xdr:row>98</xdr:row>
          <xdr:rowOff>276225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99</xdr:row>
          <xdr:rowOff>76200</xdr:rowOff>
        </xdr:from>
        <xdr:to>
          <xdr:col>6</xdr:col>
          <xdr:colOff>2886075</xdr:colOff>
          <xdr:row>99</xdr:row>
          <xdr:rowOff>276225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100</xdr:row>
          <xdr:rowOff>76200</xdr:rowOff>
        </xdr:from>
        <xdr:to>
          <xdr:col>6</xdr:col>
          <xdr:colOff>2886075</xdr:colOff>
          <xdr:row>100</xdr:row>
          <xdr:rowOff>276225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101</xdr:row>
          <xdr:rowOff>76200</xdr:rowOff>
        </xdr:from>
        <xdr:to>
          <xdr:col>6</xdr:col>
          <xdr:colOff>2886075</xdr:colOff>
          <xdr:row>101</xdr:row>
          <xdr:rowOff>276225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68</xdr:row>
          <xdr:rowOff>57150</xdr:rowOff>
        </xdr:from>
        <xdr:to>
          <xdr:col>4</xdr:col>
          <xdr:colOff>647700</xdr:colOff>
          <xdr:row>68</xdr:row>
          <xdr:rowOff>304800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57150</xdr:rowOff>
        </xdr:from>
        <xdr:to>
          <xdr:col>5</xdr:col>
          <xdr:colOff>838200</xdr:colOff>
          <xdr:row>24</xdr:row>
          <xdr:rowOff>276225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57150</xdr:rowOff>
        </xdr:from>
        <xdr:to>
          <xdr:col>5</xdr:col>
          <xdr:colOff>838200</xdr:colOff>
          <xdr:row>25</xdr:row>
          <xdr:rowOff>276225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26</xdr:row>
          <xdr:rowOff>57150</xdr:rowOff>
        </xdr:from>
        <xdr:to>
          <xdr:col>5</xdr:col>
          <xdr:colOff>838200</xdr:colOff>
          <xdr:row>26</xdr:row>
          <xdr:rowOff>276225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57150</xdr:rowOff>
        </xdr:from>
        <xdr:to>
          <xdr:col>5</xdr:col>
          <xdr:colOff>838200</xdr:colOff>
          <xdr:row>27</xdr:row>
          <xdr:rowOff>276225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</xdr:row>
          <xdr:rowOff>171450</xdr:rowOff>
        </xdr:from>
        <xdr:to>
          <xdr:col>3</xdr:col>
          <xdr:colOff>95250</xdr:colOff>
          <xdr:row>5</xdr:row>
          <xdr:rowOff>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0</xdr:rowOff>
    </xdr:from>
    <xdr:to>
      <xdr:col>4</xdr:col>
      <xdr:colOff>1321594</xdr:colOff>
      <xdr:row>56</xdr:row>
      <xdr:rowOff>71438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140</xdr:row>
      <xdr:rowOff>-1</xdr:rowOff>
    </xdr:from>
    <xdr:to>
      <xdr:col>7</xdr:col>
      <xdr:colOff>3012282</xdr:colOff>
      <xdr:row>154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57150</xdr:rowOff>
        </xdr:from>
        <xdr:to>
          <xdr:col>5</xdr:col>
          <xdr:colOff>838200</xdr:colOff>
          <xdr:row>35</xdr:row>
          <xdr:rowOff>276225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36</xdr:row>
          <xdr:rowOff>38100</xdr:rowOff>
        </xdr:from>
        <xdr:to>
          <xdr:col>5</xdr:col>
          <xdr:colOff>847725</xdr:colOff>
          <xdr:row>36</xdr:row>
          <xdr:rowOff>266700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37</xdr:row>
          <xdr:rowOff>76200</xdr:rowOff>
        </xdr:from>
        <xdr:to>
          <xdr:col>5</xdr:col>
          <xdr:colOff>838200</xdr:colOff>
          <xdr:row>37</xdr:row>
          <xdr:rowOff>276225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38</xdr:row>
          <xdr:rowOff>57150</xdr:rowOff>
        </xdr:from>
        <xdr:to>
          <xdr:col>5</xdr:col>
          <xdr:colOff>819150</xdr:colOff>
          <xdr:row>38</xdr:row>
          <xdr:rowOff>257175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48</xdr:row>
          <xdr:rowOff>76200</xdr:rowOff>
        </xdr:from>
        <xdr:to>
          <xdr:col>5</xdr:col>
          <xdr:colOff>857250</xdr:colOff>
          <xdr:row>48</xdr:row>
          <xdr:rowOff>276225</xdr:rowOff>
        </xdr:to>
        <xdr:sp macro="" textlink="">
          <xdr:nvSpPr>
            <xdr:cNvPr id="5125" name="Drop Down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49</xdr:row>
          <xdr:rowOff>76200</xdr:rowOff>
        </xdr:from>
        <xdr:to>
          <xdr:col>5</xdr:col>
          <xdr:colOff>838200</xdr:colOff>
          <xdr:row>49</xdr:row>
          <xdr:rowOff>276225</xdr:rowOff>
        </xdr:to>
        <xdr:sp macro="" textlink="">
          <xdr:nvSpPr>
            <xdr:cNvPr id="5126" name="Drop Down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50</xdr:row>
          <xdr:rowOff>76200</xdr:rowOff>
        </xdr:from>
        <xdr:to>
          <xdr:col>5</xdr:col>
          <xdr:colOff>857250</xdr:colOff>
          <xdr:row>50</xdr:row>
          <xdr:rowOff>276225</xdr:rowOff>
        </xdr:to>
        <xdr:sp macro="" textlink="">
          <xdr:nvSpPr>
            <xdr:cNvPr id="5127" name="Drop Down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51</xdr:row>
          <xdr:rowOff>57150</xdr:rowOff>
        </xdr:from>
        <xdr:to>
          <xdr:col>5</xdr:col>
          <xdr:colOff>847725</xdr:colOff>
          <xdr:row>51</xdr:row>
          <xdr:rowOff>257175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106</xdr:row>
          <xdr:rowOff>76200</xdr:rowOff>
        </xdr:from>
        <xdr:to>
          <xdr:col>6</xdr:col>
          <xdr:colOff>2886075</xdr:colOff>
          <xdr:row>106</xdr:row>
          <xdr:rowOff>276225</xdr:rowOff>
        </xdr:to>
        <xdr:sp macro="" textlink="">
          <xdr:nvSpPr>
            <xdr:cNvPr id="5130" name="Drop Down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98</xdr:row>
          <xdr:rowOff>76200</xdr:rowOff>
        </xdr:from>
        <xdr:to>
          <xdr:col>6</xdr:col>
          <xdr:colOff>2886075</xdr:colOff>
          <xdr:row>98</xdr:row>
          <xdr:rowOff>276225</xdr:rowOff>
        </xdr:to>
        <xdr:sp macro="" textlink="">
          <xdr:nvSpPr>
            <xdr:cNvPr id="5133" name="Drop Down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99</xdr:row>
          <xdr:rowOff>76200</xdr:rowOff>
        </xdr:from>
        <xdr:to>
          <xdr:col>6</xdr:col>
          <xdr:colOff>2886075</xdr:colOff>
          <xdr:row>99</xdr:row>
          <xdr:rowOff>276225</xdr:rowOff>
        </xdr:to>
        <xdr:sp macro="" textlink="">
          <xdr:nvSpPr>
            <xdr:cNvPr id="5134" name="Drop Down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100</xdr:row>
          <xdr:rowOff>76200</xdr:rowOff>
        </xdr:from>
        <xdr:to>
          <xdr:col>6</xdr:col>
          <xdr:colOff>2886075</xdr:colOff>
          <xdr:row>100</xdr:row>
          <xdr:rowOff>276225</xdr:rowOff>
        </xdr:to>
        <xdr:sp macro="" textlink="">
          <xdr:nvSpPr>
            <xdr:cNvPr id="5135" name="Drop Down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101</xdr:row>
          <xdr:rowOff>76200</xdr:rowOff>
        </xdr:from>
        <xdr:to>
          <xdr:col>6</xdr:col>
          <xdr:colOff>2886075</xdr:colOff>
          <xdr:row>101</xdr:row>
          <xdr:rowOff>276225</xdr:rowOff>
        </xdr:to>
        <xdr:sp macro="" textlink="">
          <xdr:nvSpPr>
            <xdr:cNvPr id="5136" name="Drop Down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68</xdr:row>
          <xdr:rowOff>57150</xdr:rowOff>
        </xdr:from>
        <xdr:to>
          <xdr:col>4</xdr:col>
          <xdr:colOff>647700</xdr:colOff>
          <xdr:row>68</xdr:row>
          <xdr:rowOff>304800</xdr:rowOff>
        </xdr:to>
        <xdr:sp macro="" textlink="">
          <xdr:nvSpPr>
            <xdr:cNvPr id="5137" name="Drop Down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57150</xdr:rowOff>
        </xdr:from>
        <xdr:to>
          <xdr:col>5</xdr:col>
          <xdr:colOff>838200</xdr:colOff>
          <xdr:row>24</xdr:row>
          <xdr:rowOff>276225</xdr:rowOff>
        </xdr:to>
        <xdr:sp macro="" textlink="">
          <xdr:nvSpPr>
            <xdr:cNvPr id="5138" name="Drop Down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57150</xdr:rowOff>
        </xdr:from>
        <xdr:to>
          <xdr:col>5</xdr:col>
          <xdr:colOff>838200</xdr:colOff>
          <xdr:row>25</xdr:row>
          <xdr:rowOff>276225</xdr:rowOff>
        </xdr:to>
        <xdr:sp macro="" textlink="">
          <xdr:nvSpPr>
            <xdr:cNvPr id="5139" name="Drop Down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26</xdr:row>
          <xdr:rowOff>57150</xdr:rowOff>
        </xdr:from>
        <xdr:to>
          <xdr:col>5</xdr:col>
          <xdr:colOff>838200</xdr:colOff>
          <xdr:row>26</xdr:row>
          <xdr:rowOff>276225</xdr:rowOff>
        </xdr:to>
        <xdr:sp macro="" textlink="">
          <xdr:nvSpPr>
            <xdr:cNvPr id="5140" name="Drop Down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57150</xdr:rowOff>
        </xdr:from>
        <xdr:to>
          <xdr:col>5</xdr:col>
          <xdr:colOff>838200</xdr:colOff>
          <xdr:row>27</xdr:row>
          <xdr:rowOff>276225</xdr:rowOff>
        </xdr:to>
        <xdr:sp macro="" textlink="">
          <xdr:nvSpPr>
            <xdr:cNvPr id="5141" name="Drop Down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</xdr:row>
          <xdr:rowOff>171450</xdr:rowOff>
        </xdr:from>
        <xdr:to>
          <xdr:col>3</xdr:col>
          <xdr:colOff>95250</xdr:colOff>
          <xdr:row>5</xdr:row>
          <xdr:rowOff>0</xdr:rowOff>
        </xdr:to>
        <xdr:sp macro="" textlink="">
          <xdr:nvSpPr>
            <xdr:cNvPr id="5142" name="Drop Down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105</xdr:row>
          <xdr:rowOff>76200</xdr:rowOff>
        </xdr:from>
        <xdr:to>
          <xdr:col>6</xdr:col>
          <xdr:colOff>2886075</xdr:colOff>
          <xdr:row>105</xdr:row>
          <xdr:rowOff>276225</xdr:rowOff>
        </xdr:to>
        <xdr:sp macro="" textlink="">
          <xdr:nvSpPr>
            <xdr:cNvPr id="5148" name="Drop Down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107</xdr:row>
          <xdr:rowOff>76200</xdr:rowOff>
        </xdr:from>
        <xdr:to>
          <xdr:col>6</xdr:col>
          <xdr:colOff>2886075</xdr:colOff>
          <xdr:row>107</xdr:row>
          <xdr:rowOff>276225</xdr:rowOff>
        </xdr:to>
        <xdr:sp macro="" textlink="">
          <xdr:nvSpPr>
            <xdr:cNvPr id="5149" name="Drop Down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4</xdr:col>
      <xdr:colOff>1321594</xdr:colOff>
      <xdr:row>54</xdr:row>
      <xdr:rowOff>71438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omments" Target="../comments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tabSelected="1" zoomScaleNormal="100" workbookViewId="0"/>
  </sheetViews>
  <sheetFormatPr defaultRowHeight="15" x14ac:dyDescent="0.25"/>
  <cols>
    <col min="1" max="1" width="6.140625" customWidth="1"/>
  </cols>
  <sheetData/>
  <printOptions horizontalCentered="1" verticalCentered="1"/>
  <pageMargins left="0.25" right="0.25" top="0.75" bottom="0.75" header="0.3" footer="0.3"/>
  <pageSetup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0" r:id="rId4">
          <objectPr defaultSize="0" r:id="rId5">
            <anchor moveWithCells="1">
              <from>
                <xdr:col>0</xdr:col>
                <xdr:colOff>276225</xdr:colOff>
                <xdr:row>1</xdr:row>
                <xdr:rowOff>9525</xdr:rowOff>
              </from>
              <to>
                <xdr:col>12</xdr:col>
                <xdr:colOff>266700</xdr:colOff>
                <xdr:row>47</xdr:row>
                <xdr:rowOff>104775</xdr:rowOff>
              </to>
            </anchor>
          </objectPr>
        </oleObject>
      </mc:Choice>
      <mc:Fallback>
        <oleObject progId="Word.Document.12" shapeId="2050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zoomScale="80" zoomScaleNormal="80" workbookViewId="0"/>
  </sheetViews>
  <sheetFormatPr defaultRowHeight="15" x14ac:dyDescent="0.25"/>
  <cols>
    <col min="2" max="2" width="26.85546875" customWidth="1"/>
    <col min="3" max="3" width="15.28515625" customWidth="1"/>
    <col min="4" max="4" width="25" customWidth="1"/>
    <col min="5" max="5" width="14.7109375" customWidth="1"/>
    <col min="6" max="6" width="38.85546875" customWidth="1"/>
  </cols>
  <sheetData>
    <row r="2" spans="2:9" x14ac:dyDescent="0.25">
      <c r="B2" s="9" t="s">
        <v>97</v>
      </c>
      <c r="D2" s="9"/>
    </row>
    <row r="3" spans="2:9" x14ac:dyDescent="0.25">
      <c r="B3" s="8"/>
      <c r="D3" s="8"/>
    </row>
    <row r="4" spans="2:9" x14ac:dyDescent="0.25">
      <c r="B4" s="10" t="s">
        <v>26</v>
      </c>
      <c r="D4" s="10"/>
    </row>
    <row r="5" spans="2:9" ht="15.75" thickBot="1" x14ac:dyDescent="0.3">
      <c r="B5" s="10"/>
      <c r="D5" s="10"/>
      <c r="F5" s="78" t="s">
        <v>101</v>
      </c>
    </row>
    <row r="6" spans="2:9" ht="31.5" customHeight="1" thickBot="1" x14ac:dyDescent="0.3">
      <c r="B6" s="77" t="s">
        <v>9</v>
      </c>
      <c r="C6" s="28">
        <v>3</v>
      </c>
      <c r="D6" s="77" t="s">
        <v>103</v>
      </c>
      <c r="E6" s="28">
        <v>1</v>
      </c>
      <c r="F6" s="16"/>
    </row>
    <row r="7" spans="2:9" ht="30.75" customHeight="1" thickBot="1" x14ac:dyDescent="0.3">
      <c r="B7" s="15" t="str">
        <f>B6</f>
        <v>Vesting</v>
      </c>
      <c r="C7" s="28">
        <v>1</v>
      </c>
      <c r="D7" s="77" t="s">
        <v>104</v>
      </c>
      <c r="E7" s="28">
        <v>1</v>
      </c>
      <c r="F7" s="19"/>
    </row>
    <row r="8" spans="2:9" ht="34.5" customHeight="1" thickBot="1" x14ac:dyDescent="0.3">
      <c r="B8" s="15" t="str">
        <f>B7</f>
        <v>Vesting</v>
      </c>
      <c r="C8" s="28">
        <v>3</v>
      </c>
      <c r="D8" s="77" t="s">
        <v>105</v>
      </c>
      <c r="E8" s="28">
        <v>1</v>
      </c>
      <c r="F8" s="19"/>
    </row>
    <row r="9" spans="2:9" ht="34.5" customHeight="1" thickBot="1" x14ac:dyDescent="0.3">
      <c r="B9" s="20" t="str">
        <f>D6</f>
        <v>Eligibility</v>
      </c>
      <c r="C9" s="28">
        <v>1</v>
      </c>
      <c r="D9" s="20" t="str">
        <f>D7</f>
        <v>Auto enrollment</v>
      </c>
      <c r="E9" s="28">
        <v>7</v>
      </c>
      <c r="F9" s="19"/>
    </row>
    <row r="10" spans="2:9" ht="34.5" customHeight="1" thickBot="1" x14ac:dyDescent="0.3">
      <c r="B10" s="20" t="str">
        <f>D6</f>
        <v>Eligibility</v>
      </c>
      <c r="C10" s="28">
        <v>1</v>
      </c>
      <c r="D10" s="20" t="str">
        <f>D8</f>
        <v>Auto escalation</v>
      </c>
      <c r="E10" s="28">
        <v>5</v>
      </c>
      <c r="F10" s="19"/>
    </row>
    <row r="11" spans="2:9" ht="34.5" customHeight="1" thickBot="1" x14ac:dyDescent="0.3">
      <c r="B11" s="20" t="str">
        <f>D7</f>
        <v>Auto enrollment</v>
      </c>
      <c r="C11" s="28">
        <v>1</v>
      </c>
      <c r="D11" s="20" t="str">
        <f>D8</f>
        <v>Auto escalation</v>
      </c>
      <c r="E11" s="28">
        <v>1</v>
      </c>
      <c r="F11" s="19"/>
    </row>
    <row r="12" spans="2:9" x14ac:dyDescent="0.25">
      <c r="B12" s="10"/>
      <c r="D12" s="10"/>
    </row>
    <row r="13" spans="2:9" x14ac:dyDescent="0.25">
      <c r="B13" s="22" t="s">
        <v>28</v>
      </c>
      <c r="D13" s="22"/>
    </row>
    <row r="14" spans="2:9" ht="15.75" thickBot="1" x14ac:dyDescent="0.3"/>
    <row r="15" spans="2:9" ht="35.25" customHeight="1" thickBot="1" x14ac:dyDescent="0.3">
      <c r="B15" s="27" t="s">
        <v>45</v>
      </c>
      <c r="C15" s="29" t="str">
        <f>B16</f>
        <v>Vesting</v>
      </c>
      <c r="D15" s="29" t="str">
        <f>B17</f>
        <v>Eligibility</v>
      </c>
      <c r="E15" s="29" t="str">
        <f>B18</f>
        <v>Auto enrollment</v>
      </c>
      <c r="F15" s="29" t="str">
        <f>B19</f>
        <v>Auto escalation</v>
      </c>
      <c r="G15" s="12" t="s">
        <v>32</v>
      </c>
      <c r="I15" s="44"/>
    </row>
    <row r="16" spans="2:9" ht="15.75" thickBot="1" x14ac:dyDescent="0.3">
      <c r="B16" s="23" t="str">
        <f>B6</f>
        <v>Vesting</v>
      </c>
      <c r="C16" s="24">
        <v>1</v>
      </c>
      <c r="D16" s="24">
        <f>IF($C$6=1,1/$E$6,$C$6)</f>
        <v>3</v>
      </c>
      <c r="E16" s="24">
        <f>IF($C$7=1,1/$E$7,$C$7)</f>
        <v>1</v>
      </c>
      <c r="F16" s="24">
        <f>IF($C$8=1,1/$E$8,$C$8)</f>
        <v>3</v>
      </c>
      <c r="G16" s="24">
        <f>ROUND(G31,2)</f>
        <v>0.38</v>
      </c>
    </row>
    <row r="17" spans="2:11" ht="17.25" customHeight="1" thickBot="1" x14ac:dyDescent="0.3">
      <c r="B17" s="23" t="str">
        <f>D6</f>
        <v>Eligibility</v>
      </c>
      <c r="C17" s="24">
        <f>1/D16</f>
        <v>0.33333333333333331</v>
      </c>
      <c r="D17" s="24">
        <v>1</v>
      </c>
      <c r="E17" s="24">
        <f>IF($C$9=1,1/$E$9,$C$9)</f>
        <v>0.14285714285714285</v>
      </c>
      <c r="F17" s="24">
        <f>IF($C$10=1,1/$E$10,$C$10)</f>
        <v>0.2</v>
      </c>
      <c r="G17" s="24">
        <f t="shared" ref="G17:G18" si="0">ROUND(G32,2)</f>
        <v>7.0000000000000007E-2</v>
      </c>
    </row>
    <row r="18" spans="2:11" ht="15.75" thickBot="1" x14ac:dyDescent="0.3">
      <c r="B18" s="23" t="str">
        <f>D7</f>
        <v>Auto enrollment</v>
      </c>
      <c r="C18" s="24">
        <f>1/E16</f>
        <v>1</v>
      </c>
      <c r="D18" s="24">
        <f>1/E17</f>
        <v>7</v>
      </c>
      <c r="E18" s="24">
        <v>1</v>
      </c>
      <c r="F18" s="24">
        <f>IF($C$11=1,1/$E$11,$C$11)</f>
        <v>1</v>
      </c>
      <c r="G18" s="24">
        <f t="shared" si="0"/>
        <v>0.37</v>
      </c>
    </row>
    <row r="19" spans="2:11" ht="15.75" thickBot="1" x14ac:dyDescent="0.3">
      <c r="B19" s="23" t="str">
        <f>D8</f>
        <v>Auto escalation</v>
      </c>
      <c r="C19" s="24">
        <f>1/F16</f>
        <v>0.33333333333333331</v>
      </c>
      <c r="D19" s="24">
        <f>1/E18</f>
        <v>1</v>
      </c>
      <c r="E19" s="24">
        <f>1/F18</f>
        <v>1</v>
      </c>
      <c r="F19" s="24">
        <v>1</v>
      </c>
      <c r="G19" s="24">
        <f>1-SUM(G16:G18)</f>
        <v>0.17999999999999994</v>
      </c>
    </row>
    <row r="20" spans="2:11" x14ac:dyDescent="0.25">
      <c r="G20" s="18"/>
      <c r="K20" s="30"/>
    </row>
    <row r="21" spans="2:11" x14ac:dyDescent="0.25">
      <c r="B21" s="22" t="s">
        <v>33</v>
      </c>
      <c r="D21" s="22"/>
    </row>
    <row r="22" spans="2:11" x14ac:dyDescent="0.25">
      <c r="K22" s="30"/>
    </row>
    <row r="23" spans="2:11" x14ac:dyDescent="0.25">
      <c r="B23" s="25" t="s">
        <v>35</v>
      </c>
      <c r="C23" s="18">
        <f>SUM(C16:C19)</f>
        <v>2.6666666666666665</v>
      </c>
      <c r="D23" s="25">
        <f>SUM(D16:D19)</f>
        <v>12</v>
      </c>
      <c r="E23" s="18">
        <f>SUM(E16:E19)</f>
        <v>3.1428571428571428</v>
      </c>
      <c r="F23" s="18">
        <f>SUM(F16:F19)</f>
        <v>5.2</v>
      </c>
      <c r="K23" s="30"/>
    </row>
    <row r="24" spans="2:11" x14ac:dyDescent="0.25">
      <c r="G24" s="17" t="s">
        <v>36</v>
      </c>
    </row>
    <row r="25" spans="2:11" x14ac:dyDescent="0.25">
      <c r="B25" s="8" t="s">
        <v>37</v>
      </c>
      <c r="C25">
        <f t="shared" ref="C25:F28" si="1">C16/C$23</f>
        <v>0.375</v>
      </c>
      <c r="D25" s="8">
        <f t="shared" si="1"/>
        <v>0.25</v>
      </c>
      <c r="E25">
        <f t="shared" si="1"/>
        <v>0.31818181818181818</v>
      </c>
      <c r="F25">
        <f t="shared" si="1"/>
        <v>0.57692307692307687</v>
      </c>
      <c r="G25">
        <f>SUM(C25:F25)</f>
        <v>1.520104895104895</v>
      </c>
    </row>
    <row r="26" spans="2:11" x14ac:dyDescent="0.25">
      <c r="C26">
        <f t="shared" si="1"/>
        <v>0.125</v>
      </c>
      <c r="D26">
        <f t="shared" si="1"/>
        <v>8.3333333333333329E-2</v>
      </c>
      <c r="E26">
        <f t="shared" si="1"/>
        <v>4.5454545454545456E-2</v>
      </c>
      <c r="F26">
        <f t="shared" si="1"/>
        <v>3.8461538461538464E-2</v>
      </c>
      <c r="G26">
        <f>SUM(C26:F26)</f>
        <v>0.29224941724941722</v>
      </c>
    </row>
    <row r="27" spans="2:11" x14ac:dyDescent="0.25">
      <c r="C27">
        <f t="shared" si="1"/>
        <v>0.375</v>
      </c>
      <c r="D27">
        <f t="shared" si="1"/>
        <v>0.58333333333333337</v>
      </c>
      <c r="E27">
        <f t="shared" si="1"/>
        <v>0.31818181818181818</v>
      </c>
      <c r="F27">
        <f t="shared" si="1"/>
        <v>0.19230769230769229</v>
      </c>
      <c r="G27">
        <f>SUM(C27:F27)</f>
        <v>1.4688228438228439</v>
      </c>
    </row>
    <row r="28" spans="2:11" x14ac:dyDescent="0.25">
      <c r="C28">
        <f t="shared" si="1"/>
        <v>0.125</v>
      </c>
      <c r="D28">
        <f t="shared" si="1"/>
        <v>8.3333333333333329E-2</v>
      </c>
      <c r="E28">
        <f t="shared" si="1"/>
        <v>0.31818181818181818</v>
      </c>
      <c r="F28">
        <f t="shared" si="1"/>
        <v>0.19230769230769229</v>
      </c>
      <c r="G28">
        <f>SUM(C28:F28)</f>
        <v>0.71882284382284378</v>
      </c>
    </row>
    <row r="30" spans="2:11" x14ac:dyDescent="0.25">
      <c r="G30" s="17" t="s">
        <v>38</v>
      </c>
    </row>
    <row r="31" spans="2:11" x14ac:dyDescent="0.25">
      <c r="C31" s="18"/>
      <c r="E31" s="18"/>
      <c r="F31" s="18"/>
      <c r="G31">
        <f>G25/$C$47</f>
        <v>0.38002622377622375</v>
      </c>
    </row>
    <row r="32" spans="2:11" x14ac:dyDescent="0.25">
      <c r="C32" s="18"/>
      <c r="E32" s="18"/>
      <c r="G32">
        <f>G26/$C$47</f>
        <v>7.3062354312354305E-2</v>
      </c>
    </row>
    <row r="33" spans="2:13" x14ac:dyDescent="0.25">
      <c r="G33">
        <f>G27/$C$47</f>
        <v>0.36720571095571097</v>
      </c>
    </row>
    <row r="34" spans="2:13" x14ac:dyDescent="0.25">
      <c r="G34">
        <f>G28/$C$47</f>
        <v>0.17970571095571095</v>
      </c>
    </row>
    <row r="35" spans="2:13" x14ac:dyDescent="0.25">
      <c r="G35">
        <f>SUM(G31:G34)</f>
        <v>1</v>
      </c>
    </row>
    <row r="37" spans="2:13" x14ac:dyDescent="0.25">
      <c r="B37" s="22" t="s">
        <v>39</v>
      </c>
      <c r="D37" s="22"/>
    </row>
    <row r="39" spans="2:13" x14ac:dyDescent="0.25">
      <c r="B39">
        <f>G31</f>
        <v>0.38002622377622375</v>
      </c>
      <c r="C39">
        <f>G32</f>
        <v>7.3062354312354305E-2</v>
      </c>
      <c r="D39">
        <f>G33</f>
        <v>0.36720571095571097</v>
      </c>
      <c r="E39">
        <f>G34</f>
        <v>0.17970571095571095</v>
      </c>
      <c r="M39" s="17" t="s">
        <v>46</v>
      </c>
    </row>
    <row r="41" spans="2:13" x14ac:dyDescent="0.25">
      <c r="B41" s="18">
        <f t="shared" ref="B41:E44" si="2">C16</f>
        <v>1</v>
      </c>
      <c r="C41" s="18">
        <f t="shared" si="2"/>
        <v>3</v>
      </c>
      <c r="D41" s="18">
        <f t="shared" si="2"/>
        <v>1</v>
      </c>
      <c r="E41" s="18">
        <f t="shared" si="2"/>
        <v>3</v>
      </c>
      <c r="F41" s="18">
        <f t="shared" ref="F41:I44" si="3">B$39*B41</f>
        <v>0.38002622377622375</v>
      </c>
      <c r="G41" s="18">
        <f t="shared" si="3"/>
        <v>0.21918706293706292</v>
      </c>
      <c r="H41" s="18">
        <f t="shared" si="3"/>
        <v>0.36720571095571097</v>
      </c>
      <c r="I41" s="18">
        <f t="shared" si="3"/>
        <v>0.53911713286713281</v>
      </c>
      <c r="K41" s="18">
        <f>SUM(F41:I41)</f>
        <v>1.5055361305361306</v>
      </c>
      <c r="L41">
        <f>G31</f>
        <v>0.38002622377622375</v>
      </c>
      <c r="M41">
        <f>K41/L41</f>
        <v>3.9616637914510258</v>
      </c>
    </row>
    <row r="42" spans="2:13" x14ac:dyDescent="0.25">
      <c r="B42" s="18">
        <f t="shared" si="2"/>
        <v>0.33333333333333331</v>
      </c>
      <c r="C42" s="18">
        <f t="shared" si="2"/>
        <v>1</v>
      </c>
      <c r="D42" s="18">
        <f t="shared" si="2"/>
        <v>0.14285714285714285</v>
      </c>
      <c r="E42" s="18">
        <f t="shared" si="2"/>
        <v>0.2</v>
      </c>
      <c r="F42" s="18">
        <f t="shared" si="3"/>
        <v>0.12667540792540791</v>
      </c>
      <c r="G42" s="18">
        <f t="shared" si="3"/>
        <v>7.3062354312354305E-2</v>
      </c>
      <c r="H42" s="18">
        <f t="shared" si="3"/>
        <v>5.2457958707958705E-2</v>
      </c>
      <c r="I42" s="18">
        <f t="shared" si="3"/>
        <v>3.5941142191142188E-2</v>
      </c>
      <c r="K42" s="18">
        <f>SUM(F42:I42)</f>
        <v>0.2881368631368631</v>
      </c>
      <c r="L42">
        <f>G32</f>
        <v>7.3062354312354305E-2</v>
      </c>
      <c r="M42">
        <f>K42/L42</f>
        <v>3.9437117219769262</v>
      </c>
    </row>
    <row r="43" spans="2:13" x14ac:dyDescent="0.25">
      <c r="B43" s="18">
        <f t="shared" si="2"/>
        <v>1</v>
      </c>
      <c r="C43" s="18">
        <f t="shared" si="2"/>
        <v>7</v>
      </c>
      <c r="D43" s="18">
        <f t="shared" si="2"/>
        <v>1</v>
      </c>
      <c r="E43" s="18">
        <f t="shared" si="2"/>
        <v>1</v>
      </c>
      <c r="F43" s="18">
        <f t="shared" si="3"/>
        <v>0.38002622377622375</v>
      </c>
      <c r="G43" s="18">
        <f t="shared" si="3"/>
        <v>0.51143648018648014</v>
      </c>
      <c r="H43" s="18">
        <f t="shared" si="3"/>
        <v>0.36720571095571097</v>
      </c>
      <c r="I43" s="18">
        <f t="shared" si="3"/>
        <v>0.17970571095571095</v>
      </c>
      <c r="K43" s="18">
        <f>SUM(F43:I43)</f>
        <v>1.4383741258741258</v>
      </c>
      <c r="L43">
        <f>G33</f>
        <v>0.36720571095571097</v>
      </c>
      <c r="M43">
        <f>K43/L43</f>
        <v>3.9170799444554647</v>
      </c>
    </row>
    <row r="44" spans="2:13" x14ac:dyDescent="0.25">
      <c r="B44" s="18">
        <f t="shared" si="2"/>
        <v>0.33333333333333331</v>
      </c>
      <c r="C44" s="18">
        <f t="shared" si="2"/>
        <v>1</v>
      </c>
      <c r="D44" s="18">
        <f t="shared" si="2"/>
        <v>1</v>
      </c>
      <c r="E44" s="18">
        <f t="shared" si="2"/>
        <v>1</v>
      </c>
      <c r="F44" s="18">
        <f t="shared" si="3"/>
        <v>0.12667540792540791</v>
      </c>
      <c r="G44" s="18">
        <f t="shared" si="3"/>
        <v>7.3062354312354305E-2</v>
      </c>
      <c r="H44" s="18">
        <f t="shared" si="3"/>
        <v>0.36720571095571097</v>
      </c>
      <c r="I44" s="18">
        <f t="shared" si="3"/>
        <v>0.17970571095571095</v>
      </c>
      <c r="K44" s="18">
        <f>SUM(F44:I44)</f>
        <v>0.74664918414918413</v>
      </c>
      <c r="L44">
        <f>G34</f>
        <v>0.17970571095571095</v>
      </c>
      <c r="M44">
        <f>K44/L44</f>
        <v>4.1548439400081074</v>
      </c>
    </row>
    <row r="47" spans="2:13" x14ac:dyDescent="0.25">
      <c r="B47" t="s">
        <v>40</v>
      </c>
      <c r="C47">
        <v>4</v>
      </c>
    </row>
    <row r="49" spans="2:5" x14ac:dyDescent="0.25">
      <c r="B49" t="s">
        <v>41</v>
      </c>
      <c r="C49">
        <f>SUM(M41:M44)/C47</f>
        <v>3.9943248494728811</v>
      </c>
    </row>
    <row r="51" spans="2:5" x14ac:dyDescent="0.25">
      <c r="B51" t="s">
        <v>42</v>
      </c>
      <c r="C51">
        <f>(C49-C47)/(C47-1)</f>
        <v>-1.8917168423729553E-3</v>
      </c>
    </row>
    <row r="53" spans="2:5" x14ac:dyDescent="0.25">
      <c r="B53" t="s">
        <v>43</v>
      </c>
      <c r="C53">
        <f>C51/0.9</f>
        <v>-2.1019076026366169E-3</v>
      </c>
    </row>
    <row r="55" spans="2:5" x14ac:dyDescent="0.25">
      <c r="B55" s="22" t="s">
        <v>25</v>
      </c>
      <c r="C55" s="26" t="str">
        <f>IF(C53&lt;0.1,"VERY CONSISTENT (&lt;10%)",IF(C53&lt;0.2,"CONSISTENT (10% to 20%)","NOT CONSISTENT (&gt;20%)"))</f>
        <v>VERY CONSISTENT (&lt;10%)</v>
      </c>
      <c r="D55" s="22"/>
      <c r="E55" s="26"/>
    </row>
  </sheetData>
  <pageMargins left="0.25" right="0.25" top="0.75" bottom="0.75" header="0.3" footer="0.3"/>
  <pageSetup scale="54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zoomScale="80" zoomScaleNormal="80" workbookViewId="0"/>
  </sheetViews>
  <sheetFormatPr defaultRowHeight="15" x14ac:dyDescent="0.25"/>
  <cols>
    <col min="2" max="2" width="30.5703125" customWidth="1"/>
    <col min="3" max="3" width="15.5703125" customWidth="1"/>
    <col min="4" max="4" width="30" customWidth="1"/>
    <col min="5" max="5" width="14.28515625" customWidth="1"/>
    <col min="6" max="6" width="35.140625" customWidth="1"/>
  </cols>
  <sheetData>
    <row r="2" spans="2:9" x14ac:dyDescent="0.25">
      <c r="B2" s="9" t="s">
        <v>97</v>
      </c>
      <c r="D2" s="9"/>
    </row>
    <row r="3" spans="2:9" x14ac:dyDescent="0.25">
      <c r="B3" s="8"/>
      <c r="D3" s="8"/>
    </row>
    <row r="4" spans="2:9" x14ac:dyDescent="0.25">
      <c r="B4" s="10" t="s">
        <v>26</v>
      </c>
      <c r="D4" s="10"/>
    </row>
    <row r="5" spans="2:9" ht="15.75" thickBot="1" x14ac:dyDescent="0.3">
      <c r="B5" s="10"/>
      <c r="D5" s="10"/>
      <c r="F5" s="78" t="s">
        <v>101</v>
      </c>
    </row>
    <row r="6" spans="2:9" ht="31.5" customHeight="1" thickBot="1" x14ac:dyDescent="0.3">
      <c r="B6" s="77" t="s">
        <v>109</v>
      </c>
      <c r="C6" s="28">
        <v>1</v>
      </c>
      <c r="D6" s="77" t="s">
        <v>110</v>
      </c>
      <c r="E6" s="28">
        <v>1</v>
      </c>
      <c r="F6" s="82"/>
    </row>
    <row r="7" spans="2:9" ht="30.75" customHeight="1" thickBot="1" x14ac:dyDescent="0.3">
      <c r="B7" s="15" t="str">
        <f>B6</f>
        <v>Plan information</v>
      </c>
      <c r="C7" s="28">
        <v>1</v>
      </c>
      <c r="D7" s="77" t="s">
        <v>111</v>
      </c>
      <c r="E7" s="28">
        <v>5</v>
      </c>
      <c r="F7" s="19"/>
    </row>
    <row r="8" spans="2:9" ht="34.5" customHeight="1" thickBot="1" x14ac:dyDescent="0.3">
      <c r="B8" s="15" t="str">
        <f>B7</f>
        <v>Plan information</v>
      </c>
      <c r="C8" s="28">
        <v>1</v>
      </c>
      <c r="D8" s="77" t="s">
        <v>112</v>
      </c>
      <c r="E8" s="28">
        <v>3</v>
      </c>
      <c r="F8" s="19"/>
    </row>
    <row r="9" spans="2:9" ht="34.5" customHeight="1" thickBot="1" x14ac:dyDescent="0.3">
      <c r="B9" s="20" t="str">
        <f>D6</f>
        <v>Education and tools</v>
      </c>
      <c r="C9" s="28">
        <v>1</v>
      </c>
      <c r="D9" s="20" t="str">
        <f>D7</f>
        <v>Adviser services</v>
      </c>
      <c r="E9" s="28">
        <v>3</v>
      </c>
      <c r="F9" s="19"/>
    </row>
    <row r="10" spans="2:9" ht="34.5" customHeight="1" thickBot="1" x14ac:dyDescent="0.3">
      <c r="B10" s="20" t="str">
        <f>D6</f>
        <v>Education and tools</v>
      </c>
      <c r="C10" s="28">
        <v>1</v>
      </c>
      <c r="D10" s="20" t="str">
        <f>D8</f>
        <v>Communications effectiveness</v>
      </c>
      <c r="E10" s="28">
        <v>3</v>
      </c>
      <c r="F10" s="19"/>
    </row>
    <row r="11" spans="2:9" ht="34.5" customHeight="1" thickBot="1" x14ac:dyDescent="0.3">
      <c r="B11" s="20" t="str">
        <f>D7</f>
        <v>Adviser services</v>
      </c>
      <c r="C11" s="28">
        <v>1</v>
      </c>
      <c r="D11" s="20" t="str">
        <f>D8</f>
        <v>Communications effectiveness</v>
      </c>
      <c r="E11" s="28">
        <v>3</v>
      </c>
      <c r="F11" s="19"/>
    </row>
    <row r="12" spans="2:9" x14ac:dyDescent="0.25">
      <c r="B12" s="10"/>
      <c r="D12" s="10"/>
    </row>
    <row r="13" spans="2:9" x14ac:dyDescent="0.25">
      <c r="B13" s="22" t="s">
        <v>28</v>
      </c>
      <c r="D13" s="22"/>
    </row>
    <row r="14" spans="2:9" ht="15.75" thickBot="1" x14ac:dyDescent="0.3"/>
    <row r="15" spans="2:9" ht="35.25" customHeight="1" thickBot="1" x14ac:dyDescent="0.3">
      <c r="B15" s="27" t="s">
        <v>45</v>
      </c>
      <c r="C15" s="29" t="str">
        <f>B16</f>
        <v>Plan information</v>
      </c>
      <c r="D15" s="29" t="str">
        <f>B17</f>
        <v>Education and tools</v>
      </c>
      <c r="E15" s="29" t="str">
        <f>B18</f>
        <v>Adviser services</v>
      </c>
      <c r="F15" s="29" t="str">
        <f>B19</f>
        <v>Communications effectiveness</v>
      </c>
      <c r="G15" s="12" t="s">
        <v>32</v>
      </c>
      <c r="I15" s="44"/>
    </row>
    <row r="16" spans="2:9" ht="15.75" thickBot="1" x14ac:dyDescent="0.3">
      <c r="B16" s="23" t="str">
        <f>B6</f>
        <v>Plan information</v>
      </c>
      <c r="C16" s="24">
        <v>1</v>
      </c>
      <c r="D16" s="24">
        <f>IF($C$6=1,1/$E$6,$C$6)</f>
        <v>1</v>
      </c>
      <c r="E16" s="24">
        <f>IF($C$7=1,1/$E$7,$C$7)</f>
        <v>0.2</v>
      </c>
      <c r="F16" s="24">
        <f>IF($C$8=1,1/$E$8,$C$8)</f>
        <v>0.33333333333333331</v>
      </c>
      <c r="G16" s="24">
        <f>ROUND(G31,2)</f>
        <v>0.12</v>
      </c>
    </row>
    <row r="17" spans="2:11" ht="17.25" customHeight="1" thickBot="1" x14ac:dyDescent="0.3">
      <c r="B17" s="23" t="str">
        <f>D6</f>
        <v>Education and tools</v>
      </c>
      <c r="C17" s="24">
        <f>1/D16</f>
        <v>1</v>
      </c>
      <c r="D17" s="24">
        <v>1</v>
      </c>
      <c r="E17" s="24">
        <f>IF($C$9=1,1/$E$9,$C$9)</f>
        <v>0.33333333333333331</v>
      </c>
      <c r="F17" s="24">
        <f>IF($C$10=1,1/$E$10,$C$10)</f>
        <v>0.33333333333333331</v>
      </c>
      <c r="G17" s="24">
        <f t="shared" ref="G17:G18" si="0">ROUND(G32,2)</f>
        <v>0.13</v>
      </c>
    </row>
    <row r="18" spans="2:11" ht="15.75" thickBot="1" x14ac:dyDescent="0.3">
      <c r="B18" s="23" t="str">
        <f>D7</f>
        <v>Adviser services</v>
      </c>
      <c r="C18" s="24">
        <f>1/E16</f>
        <v>5</v>
      </c>
      <c r="D18" s="24">
        <f>1/E17</f>
        <v>3</v>
      </c>
      <c r="E18" s="24">
        <v>1</v>
      </c>
      <c r="F18" s="24">
        <f>IF($C$11=1,1/$E$11,$C$11)</f>
        <v>0.33333333333333331</v>
      </c>
      <c r="G18" s="24">
        <f t="shared" si="0"/>
        <v>0.35</v>
      </c>
    </row>
    <row r="19" spans="2:11" ht="15.75" thickBot="1" x14ac:dyDescent="0.3">
      <c r="B19" s="23" t="str">
        <f>D8</f>
        <v>Communications effectiveness</v>
      </c>
      <c r="C19" s="24">
        <f>1/F16</f>
        <v>3</v>
      </c>
      <c r="D19" s="24">
        <f>1/E18</f>
        <v>1</v>
      </c>
      <c r="E19" s="24">
        <f>1/F18</f>
        <v>3</v>
      </c>
      <c r="F19" s="24">
        <v>1</v>
      </c>
      <c r="G19" s="24">
        <f>1-SUM(G16:G18)</f>
        <v>0.4</v>
      </c>
    </row>
    <row r="20" spans="2:11" x14ac:dyDescent="0.25">
      <c r="G20" s="18"/>
      <c r="K20" s="30"/>
    </row>
    <row r="21" spans="2:11" x14ac:dyDescent="0.25">
      <c r="B21" s="22" t="s">
        <v>33</v>
      </c>
      <c r="D21" s="22"/>
    </row>
    <row r="22" spans="2:11" x14ac:dyDescent="0.25">
      <c r="K22" s="30"/>
    </row>
    <row r="23" spans="2:11" x14ac:dyDescent="0.25">
      <c r="B23" s="25" t="s">
        <v>35</v>
      </c>
      <c r="C23" s="18">
        <f>SUM(C16:C19)</f>
        <v>10</v>
      </c>
      <c r="D23" s="25">
        <f>SUM(D16:D19)</f>
        <v>6</v>
      </c>
      <c r="E23" s="18">
        <f>SUM(E16:E19)</f>
        <v>4.5333333333333332</v>
      </c>
      <c r="F23" s="18">
        <f>SUM(F16:F19)</f>
        <v>2</v>
      </c>
      <c r="K23" s="30"/>
    </row>
    <row r="24" spans="2:11" x14ac:dyDescent="0.25">
      <c r="G24" s="17" t="s">
        <v>36</v>
      </c>
    </row>
    <row r="25" spans="2:11" x14ac:dyDescent="0.25">
      <c r="B25" s="8" t="s">
        <v>37</v>
      </c>
      <c r="C25">
        <f t="shared" ref="C25:F28" si="1">C16/C$23</f>
        <v>0.1</v>
      </c>
      <c r="D25" s="8">
        <f t="shared" si="1"/>
        <v>0.16666666666666666</v>
      </c>
      <c r="E25">
        <f t="shared" si="1"/>
        <v>4.4117647058823532E-2</v>
      </c>
      <c r="F25">
        <f t="shared" si="1"/>
        <v>0.16666666666666666</v>
      </c>
      <c r="G25">
        <f>SUM(C25:F25)</f>
        <v>0.47745098039215683</v>
      </c>
    </row>
    <row r="26" spans="2:11" x14ac:dyDescent="0.25">
      <c r="C26">
        <f t="shared" si="1"/>
        <v>0.1</v>
      </c>
      <c r="D26">
        <f t="shared" si="1"/>
        <v>0.16666666666666666</v>
      </c>
      <c r="E26">
        <f t="shared" si="1"/>
        <v>7.3529411764705885E-2</v>
      </c>
      <c r="F26">
        <f t="shared" si="1"/>
        <v>0.16666666666666666</v>
      </c>
      <c r="G26">
        <f>SUM(C26:F26)</f>
        <v>0.50686274509803919</v>
      </c>
    </row>
    <row r="27" spans="2:11" x14ac:dyDescent="0.25">
      <c r="C27">
        <f t="shared" si="1"/>
        <v>0.5</v>
      </c>
      <c r="D27">
        <f t="shared" si="1"/>
        <v>0.5</v>
      </c>
      <c r="E27">
        <f t="shared" si="1"/>
        <v>0.22058823529411764</v>
      </c>
      <c r="F27">
        <f t="shared" si="1"/>
        <v>0.16666666666666666</v>
      </c>
      <c r="G27">
        <f>SUM(C27:F27)</f>
        <v>1.3872549019607845</v>
      </c>
    </row>
    <row r="28" spans="2:11" x14ac:dyDescent="0.25">
      <c r="C28">
        <f t="shared" si="1"/>
        <v>0.3</v>
      </c>
      <c r="D28">
        <f t="shared" si="1"/>
        <v>0.16666666666666666</v>
      </c>
      <c r="E28">
        <f t="shared" si="1"/>
        <v>0.66176470588235292</v>
      </c>
      <c r="F28">
        <f t="shared" si="1"/>
        <v>0.5</v>
      </c>
      <c r="G28">
        <f>SUM(C28:F28)</f>
        <v>1.6284313725490196</v>
      </c>
    </row>
    <row r="30" spans="2:11" x14ac:dyDescent="0.25">
      <c r="G30" s="17" t="s">
        <v>38</v>
      </c>
    </row>
    <row r="31" spans="2:11" x14ac:dyDescent="0.25">
      <c r="C31" s="18"/>
      <c r="E31" s="18"/>
      <c r="F31" s="18"/>
      <c r="G31">
        <f>G25/$C$47</f>
        <v>0.11936274509803921</v>
      </c>
    </row>
    <row r="32" spans="2:11" x14ac:dyDescent="0.25">
      <c r="C32" s="18"/>
      <c r="E32" s="18"/>
      <c r="G32">
        <f>G26/$C$47</f>
        <v>0.1267156862745098</v>
      </c>
    </row>
    <row r="33" spans="2:13" x14ac:dyDescent="0.25">
      <c r="G33">
        <f>G27/$C$47</f>
        <v>0.34681372549019612</v>
      </c>
    </row>
    <row r="34" spans="2:13" x14ac:dyDescent="0.25">
      <c r="G34">
        <f>G28/$C$47</f>
        <v>0.4071078431372549</v>
      </c>
    </row>
    <row r="35" spans="2:13" x14ac:dyDescent="0.25">
      <c r="G35">
        <f>SUM(G31:G34)</f>
        <v>1</v>
      </c>
    </row>
    <row r="37" spans="2:13" x14ac:dyDescent="0.25">
      <c r="B37" s="22" t="s">
        <v>39</v>
      </c>
      <c r="D37" s="22"/>
    </row>
    <row r="39" spans="2:13" x14ac:dyDescent="0.25">
      <c r="B39">
        <f>G31</f>
        <v>0.11936274509803921</v>
      </c>
      <c r="C39">
        <f>G32</f>
        <v>0.1267156862745098</v>
      </c>
      <c r="D39">
        <f>G33</f>
        <v>0.34681372549019612</v>
      </c>
      <c r="E39">
        <f>G34</f>
        <v>0.4071078431372549</v>
      </c>
      <c r="M39" s="17" t="s">
        <v>46</v>
      </c>
    </row>
    <row r="41" spans="2:13" x14ac:dyDescent="0.25">
      <c r="B41" s="18">
        <f t="shared" ref="B41:E44" si="2">C16</f>
        <v>1</v>
      </c>
      <c r="C41" s="18">
        <f t="shared" si="2"/>
        <v>1</v>
      </c>
      <c r="D41" s="18">
        <f t="shared" si="2"/>
        <v>0.2</v>
      </c>
      <c r="E41" s="18">
        <f t="shared" si="2"/>
        <v>0.33333333333333331</v>
      </c>
      <c r="F41" s="18">
        <f t="shared" ref="F41:I44" si="3">B$39*B41</f>
        <v>0.11936274509803921</v>
      </c>
      <c r="G41" s="18">
        <f t="shared" si="3"/>
        <v>0.1267156862745098</v>
      </c>
      <c r="H41" s="18">
        <f t="shared" si="3"/>
        <v>6.9362745098039233E-2</v>
      </c>
      <c r="I41" s="18">
        <f t="shared" si="3"/>
        <v>0.13570261437908496</v>
      </c>
      <c r="K41" s="18">
        <f>SUM(F41:I41)</f>
        <v>0.45114379084967315</v>
      </c>
      <c r="L41">
        <f>G31</f>
        <v>0.11936274509803921</v>
      </c>
      <c r="M41">
        <f>K41/L41</f>
        <v>3.7796030116358659</v>
      </c>
    </row>
    <row r="42" spans="2:13" x14ac:dyDescent="0.25">
      <c r="B42" s="18">
        <f t="shared" si="2"/>
        <v>1</v>
      </c>
      <c r="C42" s="18">
        <f t="shared" si="2"/>
        <v>1</v>
      </c>
      <c r="D42" s="18">
        <f t="shared" si="2"/>
        <v>0.33333333333333331</v>
      </c>
      <c r="E42" s="18">
        <f t="shared" si="2"/>
        <v>0.33333333333333331</v>
      </c>
      <c r="F42" s="18">
        <f t="shared" si="3"/>
        <v>0.11936274509803921</v>
      </c>
      <c r="G42" s="18">
        <f t="shared" si="3"/>
        <v>0.1267156862745098</v>
      </c>
      <c r="H42" s="18">
        <f t="shared" si="3"/>
        <v>0.1156045751633987</v>
      </c>
      <c r="I42" s="18">
        <f t="shared" si="3"/>
        <v>0.13570261437908496</v>
      </c>
      <c r="K42" s="18">
        <f>SUM(F42:I42)</f>
        <v>0.49738562091503269</v>
      </c>
      <c r="L42">
        <f>G32</f>
        <v>0.1267156862745098</v>
      </c>
      <c r="M42">
        <f>K42/L42</f>
        <v>3.9252095422308191</v>
      </c>
    </row>
    <row r="43" spans="2:13" x14ac:dyDescent="0.25">
      <c r="B43" s="18">
        <f t="shared" si="2"/>
        <v>5</v>
      </c>
      <c r="C43" s="18">
        <f t="shared" si="2"/>
        <v>3</v>
      </c>
      <c r="D43" s="18">
        <f t="shared" si="2"/>
        <v>1</v>
      </c>
      <c r="E43" s="18">
        <f t="shared" si="2"/>
        <v>0.33333333333333331</v>
      </c>
      <c r="F43" s="18">
        <f t="shared" si="3"/>
        <v>0.59681372549019607</v>
      </c>
      <c r="G43" s="18">
        <f t="shared" si="3"/>
        <v>0.38014705882352939</v>
      </c>
      <c r="H43" s="18">
        <f t="shared" si="3"/>
        <v>0.34681372549019612</v>
      </c>
      <c r="I43" s="18">
        <f t="shared" si="3"/>
        <v>0.13570261437908496</v>
      </c>
      <c r="K43" s="18">
        <f>SUM(F43:I43)</f>
        <v>1.4594771241830065</v>
      </c>
      <c r="L43">
        <f>G33</f>
        <v>0.34681372549019612</v>
      </c>
      <c r="M43">
        <f>K43/L43</f>
        <v>4.2082449941107178</v>
      </c>
    </row>
    <row r="44" spans="2:13" x14ac:dyDescent="0.25">
      <c r="B44" s="18">
        <f t="shared" si="2"/>
        <v>3</v>
      </c>
      <c r="C44" s="18">
        <f t="shared" si="2"/>
        <v>1</v>
      </c>
      <c r="D44" s="18">
        <f t="shared" si="2"/>
        <v>3</v>
      </c>
      <c r="E44" s="18">
        <f t="shared" si="2"/>
        <v>1</v>
      </c>
      <c r="F44" s="18">
        <f t="shared" si="3"/>
        <v>0.3580882352941176</v>
      </c>
      <c r="G44" s="18">
        <f t="shared" si="3"/>
        <v>0.1267156862745098</v>
      </c>
      <c r="H44" s="18">
        <f t="shared" si="3"/>
        <v>1.0404411764705883</v>
      </c>
      <c r="I44" s="18">
        <f t="shared" si="3"/>
        <v>0.4071078431372549</v>
      </c>
      <c r="K44" s="18">
        <f>SUM(F44:I44)</f>
        <v>1.9323529411764708</v>
      </c>
      <c r="L44">
        <f>G34</f>
        <v>0.4071078431372549</v>
      </c>
      <c r="M44">
        <f>K44/L44</f>
        <v>4.7465382299819394</v>
      </c>
    </row>
    <row r="47" spans="2:13" x14ac:dyDescent="0.25">
      <c r="B47" t="s">
        <v>40</v>
      </c>
      <c r="C47">
        <v>4</v>
      </c>
    </row>
    <row r="49" spans="2:5" x14ac:dyDescent="0.25">
      <c r="B49" t="s">
        <v>41</v>
      </c>
      <c r="C49">
        <f>SUM(M41:M44)/C47</f>
        <v>4.1648989444898357</v>
      </c>
    </row>
    <row r="51" spans="2:5" x14ac:dyDescent="0.25">
      <c r="B51" t="s">
        <v>42</v>
      </c>
      <c r="C51">
        <f>(C49-C47)/(C47-1)</f>
        <v>5.4966314829945219E-2</v>
      </c>
    </row>
    <row r="53" spans="2:5" x14ac:dyDescent="0.25">
      <c r="B53" t="s">
        <v>43</v>
      </c>
      <c r="C53">
        <f>C51/0.9</f>
        <v>6.1073683144383578E-2</v>
      </c>
    </row>
    <row r="55" spans="2:5" x14ac:dyDescent="0.25">
      <c r="B55" s="22" t="s">
        <v>25</v>
      </c>
      <c r="C55" s="26" t="str">
        <f>IF(C53&lt;0.1,"VERY CONSISTENT (&lt;10%)",IF(C53&lt;0.2,"CONSISTENT (10% to 20%)","NOT CONSISTENT (&gt;20%)"))</f>
        <v>VERY CONSISTENT (&lt;10%)</v>
      </c>
      <c r="D55" s="22"/>
      <c r="E55" s="26"/>
    </row>
  </sheetData>
  <pageMargins left="0.25" right="0.25" top="0.75" bottom="0.75" header="0.3" footer="0.3"/>
  <pageSetup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1"/>
  <sheetViews>
    <sheetView showWhiteSpace="0" zoomScale="80" zoomScaleNormal="80" workbookViewId="0">
      <pane xSplit="5" ySplit="8" topLeftCell="F9" activePane="bottomRight" state="frozen"/>
      <selection pane="topRight" activeCell="F1" sqref="F1"/>
      <selection pane="bottomLeft" activeCell="A9" sqref="A9"/>
      <selection pane="bottomRight"/>
    </sheetView>
  </sheetViews>
  <sheetFormatPr defaultRowHeight="15" x14ac:dyDescent="0.25"/>
  <cols>
    <col min="1" max="1" width="4.28515625" style="57" customWidth="1"/>
    <col min="2" max="2" width="64.42578125" customWidth="1"/>
    <col min="3" max="3" width="10" customWidth="1"/>
    <col min="4" max="4" width="14.140625" style="6" customWidth="1"/>
    <col min="5" max="5" width="12.85546875" style="32" customWidth="1"/>
    <col min="6" max="6" width="13.7109375" style="32" customWidth="1"/>
    <col min="7" max="7" width="50.5703125" style="53" customWidth="1"/>
    <col min="8" max="8" width="73.7109375" style="51" customWidth="1"/>
    <col min="9" max="9" width="10.140625" style="1" customWidth="1"/>
    <col min="10" max="10" width="0" hidden="1" customWidth="1"/>
    <col min="11" max="13" width="9.140625" hidden="1" customWidth="1"/>
    <col min="14" max="14" width="12" hidden="1" customWidth="1"/>
    <col min="15" max="15" width="0" hidden="1" customWidth="1"/>
  </cols>
  <sheetData>
    <row r="1" spans="1:11" x14ac:dyDescent="0.25">
      <c r="B1" s="45" t="s">
        <v>297</v>
      </c>
    </row>
    <row r="2" spans="1:11" x14ac:dyDescent="0.25">
      <c r="B2" s="45"/>
    </row>
    <row r="3" spans="1:11" x14ac:dyDescent="0.25">
      <c r="B3" s="48" t="s">
        <v>70</v>
      </c>
      <c r="C3" s="71" t="s">
        <v>237</v>
      </c>
      <c r="D3" s="43"/>
      <c r="E3" s="43"/>
      <c r="F3" s="43"/>
    </row>
    <row r="4" spans="1:11" x14ac:dyDescent="0.25">
      <c r="B4" s="48"/>
      <c r="C4" s="6"/>
      <c r="E4" s="6"/>
      <c r="F4" s="6"/>
    </row>
    <row r="5" spans="1:11" x14ac:dyDescent="0.25">
      <c r="B5" s="58" t="s">
        <v>244</v>
      </c>
      <c r="C5" s="59"/>
      <c r="K5" s="117" t="s">
        <v>193</v>
      </c>
    </row>
    <row r="6" spans="1:11" x14ac:dyDescent="0.25">
      <c r="K6">
        <v>2</v>
      </c>
    </row>
    <row r="7" spans="1:11" x14ac:dyDescent="0.25">
      <c r="A7" s="57">
        <v>1</v>
      </c>
      <c r="B7" s="38" t="s">
        <v>67</v>
      </c>
      <c r="C7" s="50" t="s">
        <v>88</v>
      </c>
      <c r="D7" s="31" t="s">
        <v>50</v>
      </c>
      <c r="E7" s="31" t="s">
        <v>276</v>
      </c>
      <c r="I7" s="31" t="s">
        <v>265</v>
      </c>
    </row>
    <row r="8" spans="1:11" x14ac:dyDescent="0.25">
      <c r="C8" s="50" t="s">
        <v>0</v>
      </c>
      <c r="D8" s="31" t="s">
        <v>276</v>
      </c>
      <c r="E8" s="31" t="s">
        <v>48</v>
      </c>
      <c r="F8" s="31"/>
      <c r="G8" s="54" t="s">
        <v>280</v>
      </c>
      <c r="H8" s="52" t="s">
        <v>281</v>
      </c>
      <c r="I8" s="31" t="s">
        <v>274</v>
      </c>
    </row>
    <row r="9" spans="1:11" x14ac:dyDescent="0.25">
      <c r="B9" s="36" t="s">
        <v>1</v>
      </c>
      <c r="I9" s="1" t="s">
        <v>261</v>
      </c>
    </row>
    <row r="10" spans="1:11" x14ac:dyDescent="0.25">
      <c r="B10" s="2"/>
    </row>
    <row r="11" spans="1:11" x14ac:dyDescent="0.25">
      <c r="B11" s="4" t="s">
        <v>279</v>
      </c>
      <c r="D11" s="39"/>
      <c r="E11" s="61"/>
      <c r="F11" s="61"/>
      <c r="G11" s="56" t="s">
        <v>81</v>
      </c>
    </row>
    <row r="12" spans="1:11" x14ac:dyDescent="0.25">
      <c r="A12" s="80" t="s">
        <v>113</v>
      </c>
      <c r="B12" s="3" t="s">
        <v>7</v>
      </c>
      <c r="C12" s="6"/>
      <c r="D12" s="50">
        <f>'Plan design weights'!G16</f>
        <v>0.7</v>
      </c>
      <c r="E12" s="61">
        <f>MIN(5%,9%)/9%</f>
        <v>0.55555555555555558</v>
      </c>
      <c r="F12" s="61"/>
      <c r="G12" s="158" t="s">
        <v>49</v>
      </c>
      <c r="H12" s="159" t="s">
        <v>79</v>
      </c>
    </row>
    <row r="13" spans="1:11" ht="27.75" customHeight="1" x14ac:dyDescent="0.25">
      <c r="A13" s="80" t="s">
        <v>114</v>
      </c>
      <c r="B13" s="3" t="s">
        <v>98</v>
      </c>
      <c r="D13" s="50">
        <f>'Plan design weights'!G17</f>
        <v>0.1</v>
      </c>
      <c r="E13" s="61">
        <v>1</v>
      </c>
      <c r="F13" s="61"/>
      <c r="G13" s="158" t="s">
        <v>76</v>
      </c>
      <c r="H13" s="159" t="s">
        <v>78</v>
      </c>
      <c r="I13" s="39"/>
    </row>
    <row r="14" spans="1:11" x14ac:dyDescent="0.25">
      <c r="B14" s="36"/>
      <c r="D14" s="39"/>
      <c r="E14" s="61"/>
      <c r="F14" s="135" t="s">
        <v>296</v>
      </c>
      <c r="G14" s="155" t="s">
        <v>162</v>
      </c>
      <c r="H14" s="154"/>
    </row>
    <row r="15" spans="1:11" ht="30" x14ac:dyDescent="0.25">
      <c r="A15" s="80" t="s">
        <v>115</v>
      </c>
      <c r="B15" s="3" t="s">
        <v>258</v>
      </c>
      <c r="D15" s="50">
        <f>'Plan design weights'!G18</f>
        <v>0.1</v>
      </c>
      <c r="E15" s="61">
        <v>1</v>
      </c>
      <c r="F15" s="61"/>
      <c r="G15" s="155" t="s">
        <v>160</v>
      </c>
      <c r="H15" s="154" t="s">
        <v>260</v>
      </c>
      <c r="J15" s="104"/>
    </row>
    <row r="16" spans="1:11" x14ac:dyDescent="0.25">
      <c r="A16" s="80" t="s">
        <v>116</v>
      </c>
      <c r="B16" s="3" t="s">
        <v>100</v>
      </c>
      <c r="D16" s="79">
        <f>'Plan design weights'!G19</f>
        <v>0.10000000000000009</v>
      </c>
      <c r="E16" s="61">
        <f>100%</f>
        <v>1</v>
      </c>
      <c r="F16" s="61"/>
      <c r="G16" s="152" t="s">
        <v>77</v>
      </c>
      <c r="H16" s="154" t="s">
        <v>224</v>
      </c>
      <c r="J16" s="104"/>
    </row>
    <row r="17" spans="1:11" x14ac:dyDescent="0.25">
      <c r="B17" s="36"/>
      <c r="D17" s="39"/>
      <c r="E17" s="61"/>
      <c r="F17" s="135"/>
      <c r="G17" s="134"/>
    </row>
    <row r="18" spans="1:11" x14ac:dyDescent="0.25">
      <c r="B18" s="3"/>
      <c r="D18" s="50">
        <f>SUM(D12:D16)</f>
        <v>1</v>
      </c>
      <c r="E18" s="61"/>
      <c r="F18" s="61"/>
    </row>
    <row r="19" spans="1:11" x14ac:dyDescent="0.25">
      <c r="B19" s="35" t="s">
        <v>277</v>
      </c>
      <c r="D19" s="63"/>
      <c r="E19" s="66">
        <f>SUMPRODUCT(D12:D16,E12:E16)</f>
        <v>0.68888888888888899</v>
      </c>
      <c r="F19" s="61"/>
      <c r="H19" s="110"/>
    </row>
    <row r="20" spans="1:11" x14ac:dyDescent="0.25">
      <c r="B20" s="35" t="s">
        <v>278</v>
      </c>
      <c r="C20" s="34">
        <f>'Plan provisions weights'!G16</f>
        <v>0.61</v>
      </c>
      <c r="D20" s="63"/>
      <c r="E20" s="60"/>
      <c r="F20" s="60"/>
    </row>
    <row r="21" spans="1:11" x14ac:dyDescent="0.25">
      <c r="B21" s="35" t="s">
        <v>232</v>
      </c>
      <c r="C21" s="33"/>
      <c r="D21" s="63"/>
      <c r="E21" s="60"/>
      <c r="F21" s="64">
        <f>C20*E19</f>
        <v>0.42022222222222227</v>
      </c>
    </row>
    <row r="22" spans="1:11" x14ac:dyDescent="0.25">
      <c r="B22" s="36" t="s">
        <v>2</v>
      </c>
      <c r="C22" s="6"/>
      <c r="D22" s="63"/>
      <c r="E22" s="60"/>
      <c r="F22" s="60"/>
      <c r="I22" s="1" t="s">
        <v>262</v>
      </c>
    </row>
    <row r="23" spans="1:11" x14ac:dyDescent="0.25">
      <c r="B23" s="2"/>
      <c r="C23" s="6"/>
      <c r="D23" s="63"/>
      <c r="E23" s="60"/>
      <c r="F23" s="60"/>
    </row>
    <row r="24" spans="1:11" x14ac:dyDescent="0.25">
      <c r="B24" s="4" t="s">
        <v>279</v>
      </c>
      <c r="D24" s="39"/>
      <c r="E24" s="61"/>
      <c r="F24" s="61"/>
      <c r="G24" s="56" t="s">
        <v>243</v>
      </c>
      <c r="K24" s="117" t="s">
        <v>193</v>
      </c>
    </row>
    <row r="25" spans="1:11" ht="30" x14ac:dyDescent="0.25">
      <c r="A25" s="80" t="s">
        <v>113</v>
      </c>
      <c r="B25" s="3" t="s">
        <v>8</v>
      </c>
      <c r="C25" s="6"/>
      <c r="D25" s="50">
        <f>'Investment options weights'!G16</f>
        <v>0.51</v>
      </c>
      <c r="E25" s="60">
        <f>IF($K25=0,0,IF($K25=1,0,IF($K25=2,0.25,IF($K25=3,0.5,IF($K25=4,0.75,1)))))</f>
        <v>1</v>
      </c>
      <c r="F25" s="61"/>
      <c r="G25" s="156" t="s">
        <v>80</v>
      </c>
      <c r="H25" s="157" t="s">
        <v>131</v>
      </c>
      <c r="I25" s="149"/>
      <c r="J25" s="104"/>
      <c r="K25">
        <v>5</v>
      </c>
    </row>
    <row r="26" spans="1:11" ht="30" x14ac:dyDescent="0.25">
      <c r="A26" s="80" t="s">
        <v>114</v>
      </c>
      <c r="B26" t="s">
        <v>118</v>
      </c>
      <c r="D26" s="50">
        <f>'Investment options weights'!G17</f>
        <v>0.08</v>
      </c>
      <c r="E26" s="60">
        <f>IF($K26=0,0,IF($K26=1,0,IF($K26=2,0.25,IF($K26=3,0.5,IF($K26=4,0.75,1)))))</f>
        <v>0.75</v>
      </c>
      <c r="F26" s="61"/>
      <c r="G26" s="152" t="s">
        <v>289</v>
      </c>
      <c r="H26" s="154" t="s">
        <v>223</v>
      </c>
      <c r="K26">
        <v>4</v>
      </c>
    </row>
    <row r="27" spans="1:11" ht="30" x14ac:dyDescent="0.25">
      <c r="A27" s="80" t="s">
        <v>115</v>
      </c>
      <c r="B27" s="3" t="s">
        <v>119</v>
      </c>
      <c r="D27" s="50">
        <f>'Investment options weights'!G18</f>
        <v>0.08</v>
      </c>
      <c r="E27" s="60">
        <f>IF($K27=0,0,IF($K27=1,0,IF($K27=2,0.25,IF($K27=3,0.5,IF($K27=4,0.75,1)))))</f>
        <v>0.75</v>
      </c>
      <c r="F27" s="61"/>
      <c r="G27" s="152" t="s">
        <v>184</v>
      </c>
      <c r="H27" s="154" t="s">
        <v>219</v>
      </c>
      <c r="K27">
        <v>4</v>
      </c>
    </row>
    <row r="28" spans="1:11" ht="30" x14ac:dyDescent="0.25">
      <c r="A28" s="80" t="s">
        <v>116</v>
      </c>
      <c r="B28" t="s">
        <v>108</v>
      </c>
      <c r="D28" s="79">
        <f>'Investment options weights'!G19</f>
        <v>0.33000000000000007</v>
      </c>
      <c r="E28" s="60">
        <f>IF($K28=0,0,IF($K28=1,0,IF($K28=2,0.25,IF($K28=3,0.5,IF($K28=4,0.75,1)))))</f>
        <v>0.25</v>
      </c>
      <c r="F28" s="61"/>
      <c r="G28" s="152" t="s">
        <v>290</v>
      </c>
      <c r="H28" s="154" t="s">
        <v>220</v>
      </c>
      <c r="K28">
        <v>2</v>
      </c>
    </row>
    <row r="29" spans="1:11" x14ac:dyDescent="0.25">
      <c r="D29" s="50">
        <f>SUM(D25:D28)</f>
        <v>1</v>
      </c>
      <c r="E29" s="61"/>
      <c r="F29" s="61"/>
    </row>
    <row r="30" spans="1:11" x14ac:dyDescent="0.25">
      <c r="B30" s="35" t="s">
        <v>277</v>
      </c>
      <c r="D30" s="63"/>
      <c r="E30" s="66">
        <f>SUMPRODUCT(D25:D28,E25:E28)</f>
        <v>0.71250000000000013</v>
      </c>
      <c r="F30" s="61"/>
    </row>
    <row r="31" spans="1:11" x14ac:dyDescent="0.25">
      <c r="B31" s="35" t="s">
        <v>278</v>
      </c>
      <c r="C31" s="34">
        <f>'Plan provisions weights'!G17</f>
        <v>0.15</v>
      </c>
      <c r="D31" s="63"/>
      <c r="E31" s="60"/>
      <c r="F31" s="60"/>
    </row>
    <row r="32" spans="1:11" x14ac:dyDescent="0.25">
      <c r="B32" s="35" t="s">
        <v>232</v>
      </c>
      <c r="C32" s="33"/>
      <c r="D32" s="39"/>
      <c r="E32" s="61"/>
      <c r="F32" s="65">
        <f>C31*E30</f>
        <v>0.10687500000000001</v>
      </c>
    </row>
    <row r="33" spans="1:14" x14ac:dyDescent="0.25">
      <c r="B33" s="36" t="s">
        <v>5</v>
      </c>
      <c r="D33" s="39"/>
      <c r="E33" s="61"/>
      <c r="F33" s="61"/>
      <c r="I33" s="1" t="s">
        <v>263</v>
      </c>
    </row>
    <row r="34" spans="1:14" x14ac:dyDescent="0.25">
      <c r="B34" s="2"/>
      <c r="D34" s="39"/>
      <c r="E34" s="61"/>
      <c r="F34" s="61"/>
    </row>
    <row r="35" spans="1:14" x14ac:dyDescent="0.25">
      <c r="B35" s="4" t="s">
        <v>279</v>
      </c>
      <c r="D35" s="39"/>
      <c r="E35" s="61"/>
      <c r="F35" s="148"/>
      <c r="G35" s="56" t="s">
        <v>243</v>
      </c>
      <c r="K35" s="117" t="s">
        <v>193</v>
      </c>
      <c r="M35" s="111" t="s">
        <v>195</v>
      </c>
    </row>
    <row r="36" spans="1:14" ht="26.25" customHeight="1" x14ac:dyDescent="0.25">
      <c r="A36" s="80" t="s">
        <v>113</v>
      </c>
      <c r="B36" s="3" t="s">
        <v>9</v>
      </c>
      <c r="C36" s="6"/>
      <c r="D36" s="50">
        <f>'Enrollment design weights'!G16</f>
        <v>0.38</v>
      </c>
      <c r="E36" s="60">
        <f>IF($K36=0,0,IF($K36=1,0,IF($K36=2,0.25,IF($K36=3,0.5,IF($K36=4,0.75,1)))))</f>
        <v>0.5</v>
      </c>
      <c r="F36" s="61"/>
      <c r="G36" s="155" t="s">
        <v>253</v>
      </c>
      <c r="H36" s="153" t="s">
        <v>254</v>
      </c>
      <c r="K36">
        <v>3</v>
      </c>
      <c r="M36" s="116">
        <v>0</v>
      </c>
      <c r="N36" s="90" t="s">
        <v>191</v>
      </c>
    </row>
    <row r="37" spans="1:14" ht="26.25" customHeight="1" x14ac:dyDescent="0.25">
      <c r="A37" s="80" t="s">
        <v>114</v>
      </c>
      <c r="B37" s="3" t="s">
        <v>103</v>
      </c>
      <c r="C37" s="6"/>
      <c r="D37" s="50">
        <f>'Enrollment design weights'!G17</f>
        <v>7.0000000000000007E-2</v>
      </c>
      <c r="E37" s="60">
        <f>IF($K37=0,0,IF($K37=1,0,IF($K37=2,0.25,IF($K37=3,0.5,IF($K37=4,0.75,1)))))</f>
        <v>0.5</v>
      </c>
      <c r="F37" s="61"/>
      <c r="G37" s="155" t="s">
        <v>284</v>
      </c>
      <c r="H37" s="153" t="s">
        <v>225</v>
      </c>
      <c r="K37">
        <v>3</v>
      </c>
      <c r="M37" s="113">
        <v>1</v>
      </c>
      <c r="N37" s="112" t="s">
        <v>53</v>
      </c>
    </row>
    <row r="38" spans="1:14" ht="26.25" customHeight="1" x14ac:dyDescent="0.25">
      <c r="A38" s="80" t="s">
        <v>115</v>
      </c>
      <c r="B38" s="3" t="s">
        <v>282</v>
      </c>
      <c r="C38" s="6"/>
      <c r="D38" s="50">
        <f>'Enrollment design weights'!G18</f>
        <v>0.37</v>
      </c>
      <c r="E38" s="60">
        <f>IF($K38=0,0,IF($K38=1,0,IF($K38=2,0.25,IF($K38=3,0.5,IF($K38=4,0.75,1)))))</f>
        <v>1</v>
      </c>
      <c r="F38" s="61"/>
      <c r="G38" s="155" t="s">
        <v>163</v>
      </c>
      <c r="H38" s="153" t="s">
        <v>221</v>
      </c>
      <c r="K38">
        <v>5</v>
      </c>
      <c r="M38" s="113">
        <v>2</v>
      </c>
      <c r="N38" s="112" t="s">
        <v>51</v>
      </c>
    </row>
    <row r="39" spans="1:14" ht="26.25" customHeight="1" x14ac:dyDescent="0.25">
      <c r="A39" s="80" t="s">
        <v>116</v>
      </c>
      <c r="B39" s="3" t="s">
        <v>283</v>
      </c>
      <c r="C39" s="6"/>
      <c r="D39" s="50">
        <f>'Enrollment design weights'!G19</f>
        <v>0.17999999999999994</v>
      </c>
      <c r="E39" s="60">
        <f>IF($K39=0,0,IF($K39=1,0,IF($K39=2,0.25,IF($K39=3,0.5,IF($K39=4,0.75,1)))))</f>
        <v>1</v>
      </c>
      <c r="F39" s="61"/>
      <c r="G39" s="155" t="s">
        <v>164</v>
      </c>
      <c r="H39" s="153" t="s">
        <v>222</v>
      </c>
      <c r="K39">
        <v>5</v>
      </c>
      <c r="M39" s="113">
        <v>3</v>
      </c>
      <c r="N39" s="112" t="s">
        <v>192</v>
      </c>
    </row>
    <row r="40" spans="1:14" x14ac:dyDescent="0.25">
      <c r="B40" s="36"/>
      <c r="D40" s="39"/>
      <c r="E40" s="61"/>
      <c r="F40" s="135"/>
      <c r="H40" s="154"/>
      <c r="M40" s="114">
        <v>4</v>
      </c>
      <c r="N40" s="115" t="s">
        <v>52</v>
      </c>
    </row>
    <row r="41" spans="1:14" x14ac:dyDescent="0.25">
      <c r="B41" s="3"/>
      <c r="D41" s="50">
        <f>SUM(D36:D39)</f>
        <v>1</v>
      </c>
      <c r="E41" s="61"/>
      <c r="F41" s="61"/>
      <c r="H41" s="154"/>
    </row>
    <row r="42" spans="1:14" x14ac:dyDescent="0.25">
      <c r="B42" s="35" t="s">
        <v>277</v>
      </c>
      <c r="D42" s="63"/>
      <c r="E42" s="66">
        <f>SUMPRODUCT(D36:D39,E36:E39)</f>
        <v>0.77499999999999991</v>
      </c>
      <c r="F42" s="61"/>
      <c r="H42" s="154"/>
    </row>
    <row r="43" spans="1:14" x14ac:dyDescent="0.25">
      <c r="B43" s="35" t="s">
        <v>278</v>
      </c>
      <c r="C43" s="34">
        <f>'Plan provisions weights'!G18</f>
        <v>0.15</v>
      </c>
      <c r="D43" s="63"/>
      <c r="E43" s="60"/>
      <c r="F43" s="60"/>
      <c r="H43" s="154"/>
    </row>
    <row r="44" spans="1:14" x14ac:dyDescent="0.25">
      <c r="B44" s="35" t="s">
        <v>232</v>
      </c>
      <c r="C44" s="6"/>
      <c r="D44" s="63"/>
      <c r="E44" s="60"/>
      <c r="F44" s="66">
        <f>C43*E42</f>
        <v>0.11624999999999998</v>
      </c>
      <c r="H44" s="154"/>
    </row>
    <row r="45" spans="1:14" x14ac:dyDescent="0.25">
      <c r="B45" s="3"/>
      <c r="C45" s="6"/>
      <c r="D45" s="63"/>
      <c r="E45" s="60"/>
      <c r="F45" s="60"/>
      <c r="H45" s="154"/>
    </row>
    <row r="46" spans="1:14" x14ac:dyDescent="0.25">
      <c r="B46" s="36" t="s">
        <v>3</v>
      </c>
      <c r="D46" s="39"/>
      <c r="E46" s="61"/>
      <c r="F46" s="61"/>
      <c r="H46" s="154"/>
      <c r="I46" s="1" t="s">
        <v>264</v>
      </c>
    </row>
    <row r="47" spans="1:14" x14ac:dyDescent="0.25">
      <c r="B47" s="2"/>
      <c r="D47" s="39"/>
      <c r="E47" s="61"/>
      <c r="F47" s="61"/>
      <c r="H47" s="154"/>
    </row>
    <row r="48" spans="1:14" x14ac:dyDescent="0.25">
      <c r="B48" s="4" t="s">
        <v>279</v>
      </c>
      <c r="D48" s="39"/>
      <c r="E48" s="61"/>
      <c r="F48" s="61"/>
      <c r="G48" s="56" t="s">
        <v>243</v>
      </c>
      <c r="H48" s="154"/>
      <c r="K48" s="117" t="s">
        <v>193</v>
      </c>
    </row>
    <row r="49" spans="1:11" ht="26.25" customHeight="1" x14ac:dyDescent="0.25">
      <c r="A49" s="80" t="s">
        <v>113</v>
      </c>
      <c r="B49" s="3" t="s">
        <v>109</v>
      </c>
      <c r="C49" s="6"/>
      <c r="D49" s="50">
        <f>'Communications weights'!G16</f>
        <v>0.12</v>
      </c>
      <c r="E49" s="60">
        <f>IF($K49=0,0,IF($K49=1,0,IF($K49=2,0.25,IF($K49=3,0.5,IF($K49=4,0.75,1)))))</f>
        <v>0.75</v>
      </c>
      <c r="F49" s="61"/>
      <c r="G49" s="155" t="s">
        <v>292</v>
      </c>
      <c r="H49" s="153" t="s">
        <v>226</v>
      </c>
      <c r="K49">
        <v>4</v>
      </c>
    </row>
    <row r="50" spans="1:11" ht="26.25" customHeight="1" x14ac:dyDescent="0.25">
      <c r="A50" s="80" t="s">
        <v>114</v>
      </c>
      <c r="B50" s="3" t="s">
        <v>110</v>
      </c>
      <c r="C50" s="6"/>
      <c r="D50" s="50">
        <f>'Communications weights'!G17</f>
        <v>0.13</v>
      </c>
      <c r="E50" s="60">
        <f>IF($K50=0,0,IF($K50=1,0,IF($K50=2,0.25,IF($K50=3,0.5,IF($K50=4,0.75,1)))))</f>
        <v>0.75</v>
      </c>
      <c r="F50" s="61"/>
      <c r="G50" s="155" t="s">
        <v>293</v>
      </c>
      <c r="H50" s="153" t="s">
        <v>227</v>
      </c>
      <c r="K50">
        <v>4</v>
      </c>
    </row>
    <row r="51" spans="1:11" ht="26.25" customHeight="1" x14ac:dyDescent="0.25">
      <c r="A51" s="80" t="s">
        <v>115</v>
      </c>
      <c r="B51" s="3" t="s">
        <v>121</v>
      </c>
      <c r="C51" s="6"/>
      <c r="D51" s="50">
        <f>'Communications weights'!G18</f>
        <v>0.35</v>
      </c>
      <c r="E51" s="60">
        <f>IF($K51=0,0,IF($K51=1,0,IF($K51=2,0.25,IF($K51=3,0.5,IF($K51=4,0.75,1)))))</f>
        <v>0.25</v>
      </c>
      <c r="F51" s="61"/>
      <c r="G51" s="155" t="s">
        <v>294</v>
      </c>
      <c r="H51" s="153" t="s">
        <v>228</v>
      </c>
      <c r="K51">
        <v>2</v>
      </c>
    </row>
    <row r="52" spans="1:11" ht="26.25" customHeight="1" x14ac:dyDescent="0.25">
      <c r="A52" s="80" t="s">
        <v>116</v>
      </c>
      <c r="B52" s="3" t="s">
        <v>122</v>
      </c>
      <c r="C52" s="6"/>
      <c r="D52" s="50">
        <f>'Communications weights'!G19</f>
        <v>0.4</v>
      </c>
      <c r="E52" s="60">
        <f>IF($K52=0,0,IF($K52=1,0,IF($K52=2,0.25,IF($K52=3,0.5,IF($K52=4,0.75,1)))))</f>
        <v>0.25</v>
      </c>
      <c r="F52" s="61"/>
      <c r="G52" s="155" t="s">
        <v>295</v>
      </c>
      <c r="H52" s="153" t="s">
        <v>291</v>
      </c>
      <c r="K52">
        <v>2</v>
      </c>
    </row>
    <row r="53" spans="1:11" x14ac:dyDescent="0.25">
      <c r="B53" s="3"/>
      <c r="D53" s="50">
        <f>SUM(D49:D52)</f>
        <v>1</v>
      </c>
      <c r="E53" s="61"/>
      <c r="F53" s="61"/>
    </row>
    <row r="54" spans="1:11" x14ac:dyDescent="0.25">
      <c r="B54" s="35" t="s">
        <v>277</v>
      </c>
      <c r="D54" s="63"/>
      <c r="E54" s="66">
        <f>SUMPRODUCT(D49:D52,E49:E52)</f>
        <v>0.375</v>
      </c>
      <c r="F54" s="61"/>
    </row>
    <row r="55" spans="1:11" x14ac:dyDescent="0.25">
      <c r="B55" s="35" t="s">
        <v>278</v>
      </c>
      <c r="C55" s="34">
        <f>'Plan provisions weights'!G19</f>
        <v>8.9999999999999969E-2</v>
      </c>
      <c r="D55" s="39"/>
      <c r="E55" s="61"/>
      <c r="F55" s="61"/>
    </row>
    <row r="56" spans="1:11" x14ac:dyDescent="0.25">
      <c r="B56" s="35" t="s">
        <v>232</v>
      </c>
      <c r="D56" s="39"/>
      <c r="E56" s="61"/>
      <c r="F56" s="66">
        <f>C55*E54</f>
        <v>3.3749999999999988E-2</v>
      </c>
    </row>
    <row r="57" spans="1:11" x14ac:dyDescent="0.25">
      <c r="B57" s="35"/>
      <c r="D57" s="39"/>
      <c r="E57" s="61"/>
      <c r="F57" s="61"/>
    </row>
    <row r="58" spans="1:11" x14ac:dyDescent="0.25">
      <c r="B58" s="35" t="s">
        <v>47</v>
      </c>
      <c r="C58" s="34">
        <f>SUM(C11:C57)</f>
        <v>1</v>
      </c>
      <c r="D58" s="39"/>
      <c r="E58" s="61"/>
      <c r="F58" s="61"/>
    </row>
    <row r="59" spans="1:11" x14ac:dyDescent="0.25">
      <c r="D59" s="39"/>
      <c r="E59" s="61"/>
      <c r="F59" s="61"/>
    </row>
    <row r="60" spans="1:11" x14ac:dyDescent="0.25">
      <c r="B60" s="41" t="s">
        <v>66</v>
      </c>
      <c r="C60" s="46"/>
      <c r="D60" s="67"/>
      <c r="E60" s="62"/>
      <c r="F60" s="68">
        <f>SUM(F12:F56)</f>
        <v>0.67709722222222224</v>
      </c>
    </row>
    <row r="61" spans="1:11" x14ac:dyDescent="0.25">
      <c r="D61" s="39"/>
      <c r="E61" s="61"/>
      <c r="F61" s="61"/>
    </row>
    <row r="62" spans="1:11" x14ac:dyDescent="0.25">
      <c r="A62" s="57">
        <v>2</v>
      </c>
      <c r="B62" s="47" t="s">
        <v>68</v>
      </c>
      <c r="E62" s="61"/>
      <c r="F62" s="61"/>
      <c r="I62" s="1">
        <v>3.4</v>
      </c>
    </row>
    <row r="63" spans="1:11" x14ac:dyDescent="0.25">
      <c r="B63" s="47"/>
      <c r="D63" s="40"/>
      <c r="E63" s="61"/>
      <c r="F63" s="61"/>
    </row>
    <row r="64" spans="1:11" x14ac:dyDescent="0.25">
      <c r="B64" s="100" t="s">
        <v>213</v>
      </c>
      <c r="D64" s="130" t="s">
        <v>210</v>
      </c>
      <c r="E64" s="130" t="s">
        <v>212</v>
      </c>
      <c r="F64" s="130" t="s">
        <v>211</v>
      </c>
    </row>
    <row r="65" spans="1:15" x14ac:dyDescent="0.25">
      <c r="B65" t="s">
        <v>255</v>
      </c>
      <c r="D65" s="37">
        <v>35</v>
      </c>
      <c r="E65" s="37">
        <v>45</v>
      </c>
      <c r="F65" s="37">
        <v>55</v>
      </c>
      <c r="H65" s="154" t="s">
        <v>137</v>
      </c>
    </row>
    <row r="66" spans="1:15" x14ac:dyDescent="0.25">
      <c r="B66" t="s">
        <v>57</v>
      </c>
      <c r="D66" s="37">
        <v>65</v>
      </c>
      <c r="E66" s="103">
        <f>D66</f>
        <v>65</v>
      </c>
      <c r="F66" s="103">
        <f>D66</f>
        <v>65</v>
      </c>
      <c r="H66" s="154" t="s">
        <v>136</v>
      </c>
    </row>
    <row r="67" spans="1:15" x14ac:dyDescent="0.25">
      <c r="B67" t="s">
        <v>60</v>
      </c>
      <c r="D67" s="37">
        <v>90</v>
      </c>
      <c r="E67" s="103">
        <f>D67</f>
        <v>90</v>
      </c>
      <c r="F67" s="103">
        <f>D67</f>
        <v>90</v>
      </c>
      <c r="H67" s="154" t="s">
        <v>138</v>
      </c>
    </row>
    <row r="68" spans="1:15" x14ac:dyDescent="0.25">
      <c r="D68" s="39"/>
      <c r="E68" s="61"/>
      <c r="F68" s="61"/>
      <c r="H68" s="154"/>
      <c r="K68" s="117" t="s">
        <v>193</v>
      </c>
    </row>
    <row r="69" spans="1:15" ht="30" x14ac:dyDescent="0.25">
      <c r="B69" t="s">
        <v>196</v>
      </c>
      <c r="D69" s="39"/>
      <c r="E69" s="61"/>
      <c r="F69" s="61"/>
      <c r="H69" s="154" t="s">
        <v>238</v>
      </c>
      <c r="J69" s="104"/>
      <c r="K69">
        <v>3</v>
      </c>
      <c r="L69" t="s">
        <v>239</v>
      </c>
    </row>
    <row r="70" spans="1:15" ht="45" x14ac:dyDescent="0.25">
      <c r="D70" s="39"/>
      <c r="E70" s="61"/>
      <c r="F70" s="61"/>
      <c r="H70" s="154" t="s">
        <v>241</v>
      </c>
      <c r="L70" t="s">
        <v>240</v>
      </c>
    </row>
    <row r="71" spans="1:15" x14ac:dyDescent="0.25">
      <c r="D71" s="131" t="s">
        <v>48</v>
      </c>
      <c r="E71" s="61"/>
      <c r="F71" s="61"/>
      <c r="H71" s="154"/>
      <c r="L71" t="s">
        <v>198</v>
      </c>
      <c r="O71" s="6"/>
    </row>
    <row r="72" spans="1:15" x14ac:dyDescent="0.25">
      <c r="A72" s="57" t="s">
        <v>113</v>
      </c>
      <c r="B72" t="s">
        <v>55</v>
      </c>
      <c r="D72" s="61">
        <v>0.7</v>
      </c>
      <c r="E72" s="61"/>
      <c r="F72" s="61"/>
      <c r="H72" s="154" t="s">
        <v>132</v>
      </c>
    </row>
    <row r="73" spans="1:15" x14ac:dyDescent="0.25">
      <c r="D73" s="1"/>
      <c r="E73" s="105"/>
      <c r="F73" s="61"/>
      <c r="H73" s="154"/>
    </row>
    <row r="74" spans="1:15" x14ac:dyDescent="0.25">
      <c r="A74" s="57" t="s">
        <v>114</v>
      </c>
      <c r="B74" t="s">
        <v>285</v>
      </c>
      <c r="D74" s="61">
        <v>0.4</v>
      </c>
      <c r="E74" s="61"/>
      <c r="F74" s="61"/>
      <c r="G74" s="110"/>
      <c r="H74" s="154" t="s">
        <v>209</v>
      </c>
    </row>
    <row r="75" spans="1:15" x14ac:dyDescent="0.25">
      <c r="A75" s="57" t="s">
        <v>115</v>
      </c>
      <c r="B75" t="s">
        <v>286</v>
      </c>
      <c r="D75" s="61">
        <v>0</v>
      </c>
      <c r="E75" s="61"/>
      <c r="F75" s="61"/>
      <c r="H75" s="154" t="s">
        <v>133</v>
      </c>
      <c r="O75" s="6"/>
    </row>
    <row r="76" spans="1:15" ht="30" x14ac:dyDescent="0.25">
      <c r="B76" t="s">
        <v>242</v>
      </c>
      <c r="D76" s="132">
        <f>MAX(0,D72-D74-D75)</f>
        <v>0.29999999999999993</v>
      </c>
      <c r="E76" s="61"/>
      <c r="F76" s="61"/>
      <c r="H76" s="154" t="s">
        <v>139</v>
      </c>
      <c r="O76" s="6"/>
    </row>
    <row r="77" spans="1:15" x14ac:dyDescent="0.25">
      <c r="D77" s="39"/>
      <c r="E77" s="61"/>
      <c r="F77" s="61"/>
      <c r="H77" s="154"/>
      <c r="O77" s="6"/>
    </row>
    <row r="78" spans="1:15" x14ac:dyDescent="0.25">
      <c r="B78" t="s">
        <v>216</v>
      </c>
      <c r="D78" s="108">
        <v>0.05</v>
      </c>
      <c r="E78" s="109"/>
      <c r="F78" s="61"/>
      <c r="H78" s="154" t="s">
        <v>134</v>
      </c>
      <c r="O78" s="6"/>
    </row>
    <row r="79" spans="1:15" x14ac:dyDescent="0.25">
      <c r="B79" t="s">
        <v>217</v>
      </c>
      <c r="D79" s="108">
        <v>0.05</v>
      </c>
      <c r="E79" s="61"/>
      <c r="F79" s="61"/>
      <c r="H79" s="154" t="s">
        <v>135</v>
      </c>
    </row>
    <row r="80" spans="1:15" x14ac:dyDescent="0.25">
      <c r="D80" s="1"/>
      <c r="E80" s="1"/>
      <c r="F80" s="1"/>
      <c r="H80" s="154"/>
    </row>
    <row r="81" spans="1:9" x14ac:dyDescent="0.25">
      <c r="B81" t="s">
        <v>61</v>
      </c>
      <c r="D81" s="61">
        <v>0.02</v>
      </c>
      <c r="E81" s="60">
        <f>D81</f>
        <v>0.02</v>
      </c>
      <c r="F81" s="60">
        <f>D81</f>
        <v>0.02</v>
      </c>
      <c r="H81" s="154"/>
    </row>
    <row r="82" spans="1:9" x14ac:dyDescent="0.25">
      <c r="B82" t="s">
        <v>58</v>
      </c>
      <c r="D82" s="69">
        <f t="shared" ref="D82:E82" si="0">IF(OR($K$69=1,AND($K$69=2,D$66-D$65&lt;=$D$79*200)),((1+$D$81)^($D$79*100)-1)/LN(1+$D$81)+2*(1+$D$81)^($D$79*100)*(((1+$D$81)^MAX(0,D$66-D$65-$D$79*100)-1)/LN(1+$D$81)),IF($K$69=2,((1+$D$81)^($D$79*200)-1)/LN(1+$D$81)+3*(1+$D$81)^($D$79*200)*(((1+$D$81)^MAX(0,D$66-D$65-$D$79*200)-1)/LN(1+$D$81)),((1+$D$81)^(D$66-D$65)-1)/LN(1+$D$81)))</f>
        <v>40.972421081715716</v>
      </c>
      <c r="E82" s="69">
        <f t="shared" si="0"/>
        <v>24.539541582550608</v>
      </c>
      <c r="F82" s="69">
        <f>IF(OR($K$69=1,AND($K$69=2,F$66-F$65&lt;=$D$79*200)),((1+$D$81)^($D$79*100)-1)/LN(1+$D$81)+2*(1+$D$81)^($D$79*100)*(((1+$D$81)^MAX(0,F$66-F$65-$D$79*100)-1)/LN(1+$D$81)),IF($K$69=2,((1+$D$81)^($D$79*200)-1)/LN(1+$D$81)+3*(1+$D$81)^($D$79*200)*(((1+$D$81)^MAX(0,F$66-F$65-$D$79*200)-1)/LN(1+$D$81)),((1+$D$81)^(F$66-F$65)-1)/LN(1+$D$81)))</f>
        <v>11.058856823357218</v>
      </c>
      <c r="H82" s="154" t="s">
        <v>141</v>
      </c>
    </row>
    <row r="83" spans="1:9" x14ac:dyDescent="0.25">
      <c r="B83" t="s">
        <v>62</v>
      </c>
      <c r="D83" s="69">
        <f>$D78*D$82+$D79*((1+$D$81)^(D$66-D$65)-1)/LN(1+$D$81)</f>
        <v>4.0972421081715718</v>
      </c>
      <c r="E83" s="69">
        <f t="shared" ref="E83:F83" si="1">$D78*E$82+$D79*((1+$D$81)^(E$66-E$65)-1)/LN(1+$D$81)</f>
        <v>2.453954158255061</v>
      </c>
      <c r="F83" s="69">
        <f t="shared" si="1"/>
        <v>1.1058856823357219</v>
      </c>
      <c r="H83" s="154"/>
    </row>
    <row r="84" spans="1:9" x14ac:dyDescent="0.25">
      <c r="B84" t="s">
        <v>208</v>
      </c>
      <c r="D84" s="61">
        <v>0.01</v>
      </c>
      <c r="E84" s="60">
        <f>D84</f>
        <v>0.01</v>
      </c>
      <c r="F84" s="60">
        <f>D84</f>
        <v>0.01</v>
      </c>
      <c r="H84" s="154"/>
    </row>
    <row r="85" spans="1:9" x14ac:dyDescent="0.25">
      <c r="B85" t="s">
        <v>59</v>
      </c>
      <c r="D85" s="69">
        <f>IF(D84=0,D67-D66,(1-1/(1+D84)^(D67-D66))/LN(1+D84))</f>
        <v>22.133088864688062</v>
      </c>
      <c r="E85" s="69">
        <f>D85</f>
        <v>22.133088864688062</v>
      </c>
      <c r="F85" s="69">
        <f>D85</f>
        <v>22.133088864688062</v>
      </c>
      <c r="H85" s="154" t="s">
        <v>140</v>
      </c>
    </row>
    <row r="86" spans="1:9" x14ac:dyDescent="0.25">
      <c r="D86" s="39"/>
      <c r="E86" s="39"/>
      <c r="F86" s="39"/>
      <c r="H86" s="154"/>
    </row>
    <row r="87" spans="1:9" x14ac:dyDescent="0.25">
      <c r="B87" t="s">
        <v>63</v>
      </c>
      <c r="D87" s="70">
        <f>ROUND(D83/D85,2)</f>
        <v>0.19</v>
      </c>
      <c r="E87" s="70">
        <f>ROUND(E83/E85,2)</f>
        <v>0.11</v>
      </c>
      <c r="F87" s="70">
        <f>ROUND(F83/F85,2)</f>
        <v>0.05</v>
      </c>
      <c r="H87" s="154" t="s">
        <v>142</v>
      </c>
    </row>
    <row r="88" spans="1:9" x14ac:dyDescent="0.25">
      <c r="B88" s="84" t="s">
        <v>180</v>
      </c>
      <c r="D88" s="107">
        <f>ROUND($D78*D$82/D$83*D$87,2)</f>
        <v>0.1</v>
      </c>
      <c r="E88" s="107">
        <f t="shared" ref="E88:F88" si="2">ROUND($D78*E$82/E$83*E$87,2)</f>
        <v>0.06</v>
      </c>
      <c r="F88" s="107">
        <f t="shared" si="2"/>
        <v>0.03</v>
      </c>
      <c r="H88" s="154"/>
    </row>
    <row r="89" spans="1:9" x14ac:dyDescent="0.25">
      <c r="B89" s="84" t="s">
        <v>179</v>
      </c>
      <c r="D89" s="106">
        <f>D87-D88</f>
        <v>0.09</v>
      </c>
      <c r="E89" s="106">
        <f t="shared" ref="E89:F89" si="3">E87-E88</f>
        <v>0.05</v>
      </c>
      <c r="F89" s="106">
        <f t="shared" si="3"/>
        <v>2.0000000000000004E-2</v>
      </c>
      <c r="H89" s="154"/>
    </row>
    <row r="90" spans="1:9" x14ac:dyDescent="0.25">
      <c r="D90" s="1"/>
      <c r="E90" s="1"/>
      <c r="F90" s="1"/>
      <c r="H90" s="154"/>
    </row>
    <row r="91" spans="1:9" x14ac:dyDescent="0.25">
      <c r="B91" t="s">
        <v>64</v>
      </c>
      <c r="D91" s="39">
        <f>$D74+$D75+D87</f>
        <v>0.59000000000000008</v>
      </c>
      <c r="E91" s="39">
        <f>$D74+$D75+E87</f>
        <v>0.51</v>
      </c>
      <c r="F91" s="39">
        <f>$D74+$D75+F87</f>
        <v>0.45</v>
      </c>
      <c r="H91" s="154" t="s">
        <v>143</v>
      </c>
    </row>
    <row r="92" spans="1:9" x14ac:dyDescent="0.25">
      <c r="D92" s="39"/>
      <c r="E92" s="105"/>
      <c r="F92" s="61"/>
      <c r="H92" s="154"/>
    </row>
    <row r="93" spans="1:9" x14ac:dyDescent="0.25">
      <c r="B93" s="41" t="s">
        <v>65</v>
      </c>
      <c r="C93" s="42"/>
      <c r="D93" s="66">
        <f>MIN(1,D91/$D72)</f>
        <v>0.84285714285714297</v>
      </c>
      <c r="E93" s="66">
        <f>MIN(1,E91/$D72)</f>
        <v>0.72857142857142865</v>
      </c>
      <c r="F93" s="66">
        <f>MIN(1,F91/$D72)</f>
        <v>0.6428571428571429</v>
      </c>
      <c r="H93" s="154" t="s">
        <v>144</v>
      </c>
    </row>
    <row r="94" spans="1:9" x14ac:dyDescent="0.25">
      <c r="D94" s="39"/>
      <c r="E94" s="61"/>
      <c r="F94" s="61"/>
      <c r="H94" s="154"/>
    </row>
    <row r="95" spans="1:9" x14ac:dyDescent="0.25">
      <c r="A95" s="57">
        <v>3</v>
      </c>
      <c r="B95" s="48" t="s">
        <v>69</v>
      </c>
      <c r="D95" s="39"/>
      <c r="E95" s="131" t="s">
        <v>48</v>
      </c>
      <c r="F95" s="61"/>
      <c r="H95" s="154"/>
      <c r="I95" s="1">
        <v>3.5</v>
      </c>
    </row>
    <row r="96" spans="1:9" x14ac:dyDescent="0.25">
      <c r="D96" s="39"/>
      <c r="F96" s="61"/>
      <c r="H96" s="154"/>
    </row>
    <row r="97" spans="1:12" x14ac:dyDescent="0.25">
      <c r="B97" s="36" t="s">
        <v>287</v>
      </c>
      <c r="D97" s="39"/>
      <c r="E97" s="61"/>
      <c r="F97" s="61"/>
      <c r="H97" s="154"/>
    </row>
    <row r="98" spans="1:12" x14ac:dyDescent="0.25">
      <c r="B98" s="3"/>
      <c r="D98" s="39"/>
      <c r="E98" s="61"/>
      <c r="F98" s="61"/>
      <c r="G98" s="56" t="s">
        <v>194</v>
      </c>
      <c r="H98" s="154"/>
      <c r="K98" s="117" t="s">
        <v>193</v>
      </c>
    </row>
    <row r="99" spans="1:12" ht="26.25" customHeight="1" x14ac:dyDescent="0.25">
      <c r="A99" s="80" t="s">
        <v>113</v>
      </c>
      <c r="B99" s="3" t="s">
        <v>123</v>
      </c>
      <c r="C99" s="6"/>
      <c r="D99" s="50"/>
      <c r="E99" s="60">
        <f>IF($K99=0,0,IF($K99=1,0,IF($K99=2,0.25,IF($K99=3,0.5,IF($K99=4,0.75,1)))))</f>
        <v>0.25</v>
      </c>
      <c r="F99" s="61"/>
      <c r="H99" s="153" t="s">
        <v>146</v>
      </c>
      <c r="K99">
        <v>2</v>
      </c>
    </row>
    <row r="100" spans="1:12" ht="26.25" customHeight="1" x14ac:dyDescent="0.25">
      <c r="A100" s="80" t="s">
        <v>114</v>
      </c>
      <c r="B100" s="3" t="s">
        <v>124</v>
      </c>
      <c r="C100" s="6"/>
      <c r="D100" s="50"/>
      <c r="E100" s="60">
        <f>IF($K100=1,1,0)</f>
        <v>0</v>
      </c>
      <c r="F100" s="61"/>
      <c r="H100" s="153" t="s">
        <v>147</v>
      </c>
      <c r="K100">
        <v>2</v>
      </c>
      <c r="L100" t="s">
        <v>197</v>
      </c>
    </row>
    <row r="101" spans="1:12" ht="26.25" customHeight="1" x14ac:dyDescent="0.25">
      <c r="A101" s="80" t="s">
        <v>115</v>
      </c>
      <c r="B101" s="3" t="s">
        <v>125</v>
      </c>
      <c r="C101" s="6"/>
      <c r="D101" s="50"/>
      <c r="E101" s="60">
        <f>IF($K101=0,0,IF($K101=1,0,IF($K101=2,0.25,IF($K101=3,0.5,IF($K101=4,0.75,1)))))</f>
        <v>0.25</v>
      </c>
      <c r="F101" s="61"/>
      <c r="H101" s="153" t="s">
        <v>148</v>
      </c>
      <c r="K101">
        <v>2</v>
      </c>
      <c r="L101" t="s">
        <v>198</v>
      </c>
    </row>
    <row r="102" spans="1:12" ht="26.25" customHeight="1" x14ac:dyDescent="0.25">
      <c r="A102" s="80" t="s">
        <v>116</v>
      </c>
      <c r="B102" s="3" t="s">
        <v>126</v>
      </c>
      <c r="C102" s="6"/>
      <c r="D102" s="50"/>
      <c r="E102" s="60">
        <f>IF($K102=0,0,IF($K102=1,0,IF($K102=2,0.25,IF($K102=3,0.5,IF($K102=4,0.75,1)))))</f>
        <v>0.25</v>
      </c>
      <c r="F102" s="61"/>
      <c r="H102" s="153" t="s">
        <v>149</v>
      </c>
      <c r="K102">
        <v>2</v>
      </c>
    </row>
    <row r="103" spans="1:12" x14ac:dyDescent="0.25">
      <c r="B103" s="3"/>
      <c r="D103" s="39"/>
      <c r="E103" s="61"/>
      <c r="F103" s="61"/>
      <c r="G103" s="55"/>
      <c r="H103" s="154"/>
    </row>
    <row r="104" spans="1:12" x14ac:dyDescent="0.25">
      <c r="B104" s="36" t="s">
        <v>6</v>
      </c>
      <c r="D104" s="39"/>
      <c r="E104" s="61"/>
      <c r="F104" s="61"/>
      <c r="G104" s="55"/>
      <c r="H104" s="151"/>
    </row>
    <row r="105" spans="1:12" x14ac:dyDescent="0.25">
      <c r="B105" s="3"/>
      <c r="D105" s="39"/>
      <c r="E105" s="61"/>
      <c r="F105" s="61"/>
      <c r="G105" s="56" t="s">
        <v>194</v>
      </c>
      <c r="H105" s="151"/>
      <c r="K105" s="117" t="s">
        <v>193</v>
      </c>
    </row>
    <row r="106" spans="1:12" ht="26.25" customHeight="1" x14ac:dyDescent="0.25">
      <c r="A106" s="80" t="s">
        <v>113</v>
      </c>
      <c r="B106" s="3" t="s">
        <v>127</v>
      </c>
      <c r="C106" s="6"/>
      <c r="D106" s="50"/>
      <c r="E106" s="60">
        <f>IF($K106=0,0,IF($K106=1,0,IF($K106=2,0.25,IF($K106=3,0.5,IF($K106=4,0.75,1)))))</f>
        <v>0.75</v>
      </c>
      <c r="F106" s="61"/>
      <c r="H106" s="153" t="s">
        <v>218</v>
      </c>
      <c r="K106">
        <v>4</v>
      </c>
    </row>
    <row r="107" spans="1:12" ht="26.25" customHeight="1" x14ac:dyDescent="0.25">
      <c r="A107" s="80" t="s">
        <v>114</v>
      </c>
      <c r="B107" s="3" t="s">
        <v>128</v>
      </c>
      <c r="C107" s="6"/>
      <c r="D107" s="50"/>
      <c r="E107" s="60">
        <f>IF($K107=1,1,0)</f>
        <v>0</v>
      </c>
      <c r="F107" s="61"/>
      <c r="H107" s="153" t="s">
        <v>150</v>
      </c>
      <c r="K107">
        <v>2</v>
      </c>
    </row>
    <row r="108" spans="1:12" ht="26.25" customHeight="1" x14ac:dyDescent="0.25">
      <c r="A108" s="80" t="s">
        <v>115</v>
      </c>
      <c r="B108" s="3" t="s">
        <v>129</v>
      </c>
      <c r="C108" s="6"/>
      <c r="D108" s="50"/>
      <c r="E108" s="60">
        <f>IF($K108=0,0,IF($K108=1,0,IF($K108=2,0.25,IF($K108=3,0.5,IF($K108=4,0.75,1)))))</f>
        <v>0</v>
      </c>
      <c r="F108" s="61"/>
      <c r="H108" s="153" t="s">
        <v>151</v>
      </c>
      <c r="K108">
        <v>1</v>
      </c>
    </row>
    <row r="109" spans="1:12" ht="26.25" customHeight="1" x14ac:dyDescent="0.25">
      <c r="A109" s="80" t="s">
        <v>116</v>
      </c>
      <c r="B109" s="3" t="s">
        <v>130</v>
      </c>
      <c r="C109" s="6"/>
      <c r="D109" s="50"/>
      <c r="E109" s="60">
        <f>IF($K109=0,0,IF($K109=1,0,IF($K109=2,0.25,IF($K109=3,0.5,IF($K109=4,0.75,1)))))</f>
        <v>0</v>
      </c>
      <c r="F109" s="61"/>
      <c r="H109" s="153" t="s">
        <v>152</v>
      </c>
      <c r="K109">
        <v>1</v>
      </c>
    </row>
    <row r="110" spans="1:12" x14ac:dyDescent="0.25">
      <c r="D110" s="39"/>
      <c r="E110" s="61"/>
      <c r="F110" s="37"/>
      <c r="H110" s="154"/>
    </row>
    <row r="111" spans="1:12" x14ac:dyDescent="0.25">
      <c r="B111" s="36"/>
      <c r="D111" s="39"/>
      <c r="E111" s="61"/>
      <c r="F111" s="61"/>
      <c r="H111" s="154"/>
    </row>
    <row r="112" spans="1:12" x14ac:dyDescent="0.25">
      <c r="B112" s="75" t="s">
        <v>233</v>
      </c>
      <c r="C112" s="76"/>
      <c r="D112" s="76"/>
      <c r="E112" s="76"/>
      <c r="F112" s="74">
        <f>AVERAGE(E99:E111)</f>
        <v>0.1875</v>
      </c>
      <c r="H112" s="154"/>
    </row>
    <row r="113" spans="1:15" x14ac:dyDescent="0.25">
      <c r="B113" s="3"/>
      <c r="C113" s="3"/>
      <c r="D113" s="5"/>
      <c r="E113" s="5"/>
      <c r="F113" s="5"/>
      <c r="H113" s="154"/>
    </row>
    <row r="114" spans="1:15" x14ac:dyDescent="0.25">
      <c r="A114" s="57">
        <v>4</v>
      </c>
      <c r="B114" s="48" t="s">
        <v>155</v>
      </c>
      <c r="D114" s="39"/>
      <c r="E114" s="131" t="s">
        <v>48</v>
      </c>
      <c r="F114" s="61"/>
      <c r="H114" s="154"/>
      <c r="I114" s="1">
        <v>3.6</v>
      </c>
    </row>
    <row r="115" spans="1:15" x14ac:dyDescent="0.25">
      <c r="D115" s="39"/>
      <c r="E115" s="39"/>
      <c r="F115" s="61"/>
      <c r="H115" s="154"/>
    </row>
    <row r="116" spans="1:15" x14ac:dyDescent="0.25">
      <c r="B116" s="36" t="s">
        <v>73</v>
      </c>
      <c r="D116" s="39"/>
      <c r="E116" s="39"/>
      <c r="F116" s="61"/>
      <c r="H116" s="154"/>
    </row>
    <row r="117" spans="1:15" x14ac:dyDescent="0.25">
      <c r="B117" s="36"/>
      <c r="D117" s="39"/>
      <c r="E117" s="39"/>
      <c r="F117" s="61"/>
      <c r="H117" s="154"/>
    </row>
    <row r="118" spans="1:15" x14ac:dyDescent="0.25">
      <c r="B118" t="s">
        <v>156</v>
      </c>
      <c r="D118" s="39"/>
      <c r="E118" s="61">
        <v>0.7</v>
      </c>
      <c r="F118" s="61"/>
      <c r="G118" s="152" t="s">
        <v>215</v>
      </c>
      <c r="H118" s="154" t="s">
        <v>86</v>
      </c>
    </row>
    <row r="119" spans="1:15" x14ac:dyDescent="0.25">
      <c r="B119" t="s">
        <v>74</v>
      </c>
      <c r="D119" s="39"/>
      <c r="E119" s="61">
        <v>0.75</v>
      </c>
      <c r="F119" s="61"/>
      <c r="G119" s="152" t="s">
        <v>214</v>
      </c>
      <c r="H119" s="154" t="s">
        <v>85</v>
      </c>
    </row>
    <row r="120" spans="1:15" x14ac:dyDescent="0.25">
      <c r="D120" s="39"/>
      <c r="E120" s="39"/>
      <c r="F120" s="61"/>
      <c r="G120" s="118"/>
      <c r="H120" s="154"/>
      <c r="O120" s="6"/>
    </row>
    <row r="121" spans="1:15" x14ac:dyDescent="0.25">
      <c r="B121" s="3" t="s">
        <v>75</v>
      </c>
      <c r="D121"/>
      <c r="E121"/>
      <c r="F121" s="66">
        <f>MIN(1,E118/E119)</f>
        <v>0.93333333333333324</v>
      </c>
      <c r="H121" s="154"/>
      <c r="O121" s="6"/>
    </row>
    <row r="122" spans="1:15" x14ac:dyDescent="0.25">
      <c r="D122" s="39"/>
      <c r="E122" s="61"/>
      <c r="F122" s="61"/>
      <c r="H122" s="154"/>
      <c r="O122" s="6"/>
    </row>
    <row r="123" spans="1:15" x14ac:dyDescent="0.25">
      <c r="B123" s="36" t="s">
        <v>4</v>
      </c>
      <c r="D123" s="39"/>
      <c r="E123" s="61"/>
      <c r="F123" s="61"/>
      <c r="H123" s="154"/>
      <c r="O123" s="6"/>
    </row>
    <row r="124" spans="1:15" x14ac:dyDescent="0.25">
      <c r="B124" s="36"/>
      <c r="D124" s="39"/>
      <c r="E124" s="61"/>
      <c r="F124" s="61"/>
      <c r="H124" s="154"/>
      <c r="O124" s="6"/>
    </row>
    <row r="125" spans="1:15" x14ac:dyDescent="0.25">
      <c r="B125" t="s">
        <v>82</v>
      </c>
      <c r="D125" s="39"/>
      <c r="E125" s="37">
        <v>44</v>
      </c>
      <c r="F125" s="61"/>
      <c r="H125" s="154" t="s">
        <v>145</v>
      </c>
      <c r="O125" s="6"/>
    </row>
    <row r="126" spans="1:15" x14ac:dyDescent="0.25">
      <c r="B126" t="s">
        <v>83</v>
      </c>
      <c r="D126" s="39"/>
      <c r="E126" s="61">
        <v>0.48</v>
      </c>
      <c r="F126" s="61"/>
      <c r="H126" s="154" t="s">
        <v>84</v>
      </c>
      <c r="O126" s="6"/>
    </row>
    <row r="127" spans="1:15" ht="30" x14ac:dyDescent="0.25">
      <c r="B127" t="s">
        <v>288</v>
      </c>
      <c r="D127" s="39"/>
      <c r="E127" s="60">
        <f>MAX(0,MIN(1,1-E125/100))</f>
        <v>0.56000000000000005</v>
      </c>
      <c r="F127" s="61"/>
      <c r="H127" s="154" t="s">
        <v>298</v>
      </c>
      <c r="O127" s="6"/>
    </row>
    <row r="128" spans="1:15" x14ac:dyDescent="0.25">
      <c r="D128" s="39"/>
      <c r="E128" s="61"/>
      <c r="F128" s="61"/>
      <c r="O128" s="6"/>
    </row>
    <row r="129" spans="1:9" x14ac:dyDescent="0.25">
      <c r="B129" s="3" t="s">
        <v>234</v>
      </c>
      <c r="D129" s="39"/>
      <c r="E129" s="61"/>
      <c r="F129" s="66">
        <f>1-ABS(E127-E126)/E127</f>
        <v>0.85714285714285698</v>
      </c>
    </row>
    <row r="130" spans="1:9" x14ac:dyDescent="0.25">
      <c r="D130" s="39"/>
      <c r="E130" s="61"/>
      <c r="F130" s="61"/>
    </row>
    <row r="131" spans="1:9" x14ac:dyDescent="0.25">
      <c r="D131" s="39"/>
      <c r="E131" s="61"/>
      <c r="F131" s="61"/>
    </row>
    <row r="132" spans="1:9" x14ac:dyDescent="0.25">
      <c r="B132" s="41" t="s">
        <v>72</v>
      </c>
      <c r="C132" s="42"/>
      <c r="D132" s="67"/>
      <c r="E132" s="62"/>
      <c r="F132" s="66">
        <f>AVERAGE(F121,F129)</f>
        <v>0.89523809523809517</v>
      </c>
    </row>
    <row r="133" spans="1:9" x14ac:dyDescent="0.25">
      <c r="D133" s="39"/>
      <c r="E133" s="61"/>
      <c r="F133" s="61"/>
    </row>
    <row r="134" spans="1:9" x14ac:dyDescent="0.25">
      <c r="A134" s="57">
        <v>5</v>
      </c>
      <c r="B134" s="48" t="s">
        <v>90</v>
      </c>
      <c r="C134" s="50" t="s">
        <v>88</v>
      </c>
      <c r="D134" s="39"/>
      <c r="E134" s="61"/>
      <c r="F134" s="131" t="s">
        <v>48</v>
      </c>
      <c r="I134" s="1">
        <v>3.2</v>
      </c>
    </row>
    <row r="135" spans="1:9" x14ac:dyDescent="0.25">
      <c r="B135" s="49"/>
      <c r="C135" s="50" t="s">
        <v>0</v>
      </c>
      <c r="D135" s="39"/>
      <c r="E135" s="61"/>
      <c r="F135" s="61"/>
    </row>
    <row r="136" spans="1:9" x14ac:dyDescent="0.25">
      <c r="B136" s="49" t="s">
        <v>87</v>
      </c>
      <c r="C136" s="35">
        <f>IF($K$6=1,'Overall weights'!G16,'Overall weights'!I16)</f>
        <v>0.34</v>
      </c>
      <c r="D136" s="39"/>
      <c r="E136" s="61"/>
      <c r="F136" s="66">
        <f>F60</f>
        <v>0.67709722222222224</v>
      </c>
    </row>
    <row r="137" spans="1:9" x14ac:dyDescent="0.25">
      <c r="B137" s="49" t="s">
        <v>54</v>
      </c>
      <c r="C137" s="35">
        <f>IF($K$6=1,'Overall weights'!G17,'Overall weights'!I17)</f>
        <v>0.56000000000000005</v>
      </c>
      <c r="D137" s="39"/>
      <c r="E137" s="61"/>
      <c r="F137" s="66">
        <f>D93</f>
        <v>0.84285714285714297</v>
      </c>
    </row>
    <row r="138" spans="1:9" x14ac:dyDescent="0.25">
      <c r="B138" s="49" t="s">
        <v>233</v>
      </c>
      <c r="C138" s="35">
        <f>IF($K$6=1,'Overall weights'!G18,'Overall weights'!I18)</f>
        <v>9.9999999999999867E-2</v>
      </c>
      <c r="D138" s="39"/>
      <c r="E138" s="61"/>
      <c r="F138" s="66">
        <f>F112</f>
        <v>0.1875</v>
      </c>
    </row>
    <row r="139" spans="1:9" x14ac:dyDescent="0.25">
      <c r="B139" s="49" t="s">
        <v>235</v>
      </c>
      <c r="C139" s="35" t="str">
        <f>IF($K$6=1,'Overall weights'!G19,"N/A")</f>
        <v>N/A</v>
      </c>
      <c r="D139" s="39"/>
      <c r="E139" s="61"/>
      <c r="F139" s="66" t="str">
        <f>IF($K$6=1,F132,"N/A")</f>
        <v>N/A</v>
      </c>
    </row>
    <row r="140" spans="1:9" x14ac:dyDescent="0.25">
      <c r="C140" s="35"/>
      <c r="D140" s="39"/>
      <c r="E140" s="61"/>
      <c r="F140" s="61"/>
    </row>
    <row r="141" spans="1:9" x14ac:dyDescent="0.25">
      <c r="B141" s="72" t="s">
        <v>275</v>
      </c>
      <c r="C141" s="73">
        <f>SUM(C136:C140)</f>
        <v>1</v>
      </c>
      <c r="D141" s="67"/>
      <c r="E141" s="62"/>
      <c r="F141" s="66">
        <f>IF($K$6=1,SUMPRODUCT(C136:C139,F136:F139),SUMPRODUCT(C136:C138,F136:F138))</f>
        <v>0.72096305555555562</v>
      </c>
    </row>
    <row r="142" spans="1:9" x14ac:dyDescent="0.25">
      <c r="D142" s="39"/>
      <c r="E142" s="61"/>
      <c r="F142" s="61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</sheetData>
  <printOptions horizontalCentered="1"/>
  <pageMargins left="0.25" right="0.25" top="0.5" bottom="0.5" header="0.3" footer="0.3"/>
  <pageSetup scale="50" fitToHeight="3" orientation="landscape" r:id="rId1"/>
  <rowBreaks count="2" manualBreakCount="2">
    <brk id="61" max="7" man="1"/>
    <brk id="11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5</xdr:col>
                    <xdr:colOff>28575</xdr:colOff>
                    <xdr:row>35</xdr:row>
                    <xdr:rowOff>57150</xdr:rowOff>
                  </from>
                  <to>
                    <xdr:col>5</xdr:col>
                    <xdr:colOff>838200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5</xdr:col>
                    <xdr:colOff>38100</xdr:colOff>
                    <xdr:row>36</xdr:row>
                    <xdr:rowOff>38100</xdr:rowOff>
                  </from>
                  <to>
                    <xdr:col>5</xdr:col>
                    <xdr:colOff>847725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5</xdr:col>
                    <xdr:colOff>38100</xdr:colOff>
                    <xdr:row>37</xdr:row>
                    <xdr:rowOff>76200</xdr:rowOff>
                  </from>
                  <to>
                    <xdr:col>5</xdr:col>
                    <xdr:colOff>838200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5</xdr:col>
                    <xdr:colOff>28575</xdr:colOff>
                    <xdr:row>38</xdr:row>
                    <xdr:rowOff>57150</xdr:rowOff>
                  </from>
                  <to>
                    <xdr:col>5</xdr:col>
                    <xdr:colOff>819150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Line="0" autoPict="0">
                <anchor moveWithCells="1">
                  <from>
                    <xdr:col>5</xdr:col>
                    <xdr:colOff>38100</xdr:colOff>
                    <xdr:row>48</xdr:row>
                    <xdr:rowOff>57150</xdr:rowOff>
                  </from>
                  <to>
                    <xdr:col>5</xdr:col>
                    <xdr:colOff>866775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Line="0" autoPict="0">
                <anchor moveWithCells="1">
                  <from>
                    <xdr:col>5</xdr:col>
                    <xdr:colOff>28575</xdr:colOff>
                    <xdr:row>49</xdr:row>
                    <xdr:rowOff>76200</xdr:rowOff>
                  </from>
                  <to>
                    <xdr:col>5</xdr:col>
                    <xdr:colOff>857250</xdr:colOff>
                    <xdr:row>49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Line="0" autoPict="0">
                <anchor moveWithCells="1">
                  <from>
                    <xdr:col>5</xdr:col>
                    <xdr:colOff>28575</xdr:colOff>
                    <xdr:row>50</xdr:row>
                    <xdr:rowOff>76200</xdr:rowOff>
                  </from>
                  <to>
                    <xdr:col>5</xdr:col>
                    <xdr:colOff>885825</xdr:colOff>
                    <xdr:row>50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Line="0" autoPict="0">
                <anchor moveWithCells="1">
                  <from>
                    <xdr:col>5</xdr:col>
                    <xdr:colOff>47625</xdr:colOff>
                    <xdr:row>51</xdr:row>
                    <xdr:rowOff>76200</xdr:rowOff>
                  </from>
                  <to>
                    <xdr:col>5</xdr:col>
                    <xdr:colOff>904875</xdr:colOff>
                    <xdr:row>51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Line="0" autoPict="0">
                <anchor moveWithCells="1">
                  <from>
                    <xdr:col>6</xdr:col>
                    <xdr:colOff>695325</xdr:colOff>
                    <xdr:row>105</xdr:row>
                    <xdr:rowOff>76200</xdr:rowOff>
                  </from>
                  <to>
                    <xdr:col>6</xdr:col>
                    <xdr:colOff>2886075</xdr:colOff>
                    <xdr:row>105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Line="0" autoPict="0">
                <anchor moveWithCells="1">
                  <from>
                    <xdr:col>6</xdr:col>
                    <xdr:colOff>695325</xdr:colOff>
                    <xdr:row>106</xdr:row>
                    <xdr:rowOff>76200</xdr:rowOff>
                  </from>
                  <to>
                    <xdr:col>6</xdr:col>
                    <xdr:colOff>2886075</xdr:colOff>
                    <xdr:row>106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Line="0" autoPict="0">
                <anchor moveWithCells="1">
                  <from>
                    <xdr:col>6</xdr:col>
                    <xdr:colOff>695325</xdr:colOff>
                    <xdr:row>107</xdr:row>
                    <xdr:rowOff>76200</xdr:rowOff>
                  </from>
                  <to>
                    <xdr:col>6</xdr:col>
                    <xdr:colOff>2886075</xdr:colOff>
                    <xdr:row>107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Line="0" autoPict="0">
                <anchor moveWithCells="1">
                  <from>
                    <xdr:col>6</xdr:col>
                    <xdr:colOff>695325</xdr:colOff>
                    <xdr:row>108</xdr:row>
                    <xdr:rowOff>76200</xdr:rowOff>
                  </from>
                  <to>
                    <xdr:col>6</xdr:col>
                    <xdr:colOff>2886075</xdr:colOff>
                    <xdr:row>108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Line="0" autoPict="0">
                <anchor moveWithCells="1">
                  <from>
                    <xdr:col>6</xdr:col>
                    <xdr:colOff>695325</xdr:colOff>
                    <xdr:row>98</xdr:row>
                    <xdr:rowOff>76200</xdr:rowOff>
                  </from>
                  <to>
                    <xdr:col>6</xdr:col>
                    <xdr:colOff>2886075</xdr:colOff>
                    <xdr:row>98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Line="0" autoPict="0">
                <anchor moveWithCells="1">
                  <from>
                    <xdr:col>6</xdr:col>
                    <xdr:colOff>695325</xdr:colOff>
                    <xdr:row>99</xdr:row>
                    <xdr:rowOff>76200</xdr:rowOff>
                  </from>
                  <to>
                    <xdr:col>6</xdr:col>
                    <xdr:colOff>2886075</xdr:colOff>
                    <xdr:row>99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Line="0" autoPict="0">
                <anchor moveWithCells="1">
                  <from>
                    <xdr:col>6</xdr:col>
                    <xdr:colOff>695325</xdr:colOff>
                    <xdr:row>100</xdr:row>
                    <xdr:rowOff>76200</xdr:rowOff>
                  </from>
                  <to>
                    <xdr:col>6</xdr:col>
                    <xdr:colOff>2886075</xdr:colOff>
                    <xdr:row>100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Drop Down 17">
              <controlPr defaultSize="0" autoLine="0" autoPict="0">
                <anchor moveWithCells="1">
                  <from>
                    <xdr:col>6</xdr:col>
                    <xdr:colOff>695325</xdr:colOff>
                    <xdr:row>101</xdr:row>
                    <xdr:rowOff>76200</xdr:rowOff>
                  </from>
                  <to>
                    <xdr:col>6</xdr:col>
                    <xdr:colOff>2886075</xdr:colOff>
                    <xdr:row>101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Drop Down 18">
              <controlPr defaultSize="0" autoLine="0" autoPict="0">
                <anchor moveWithCells="1">
                  <from>
                    <xdr:col>3</xdr:col>
                    <xdr:colOff>76200</xdr:colOff>
                    <xdr:row>68</xdr:row>
                    <xdr:rowOff>57150</xdr:rowOff>
                  </from>
                  <to>
                    <xdr:col>4</xdr:col>
                    <xdr:colOff>647700</xdr:colOff>
                    <xdr:row>68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Drop Down 21">
              <controlPr defaultSize="0" autoLine="0" autoPict="0">
                <anchor moveWithCells="1">
                  <from>
                    <xdr:col>5</xdr:col>
                    <xdr:colOff>28575</xdr:colOff>
                    <xdr:row>24</xdr:row>
                    <xdr:rowOff>57150</xdr:rowOff>
                  </from>
                  <to>
                    <xdr:col>5</xdr:col>
                    <xdr:colOff>838200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Drop Down 22">
              <controlPr defaultSize="0" autoLine="0" autoPict="0">
                <anchor moveWithCells="1">
                  <from>
                    <xdr:col>5</xdr:col>
                    <xdr:colOff>28575</xdr:colOff>
                    <xdr:row>25</xdr:row>
                    <xdr:rowOff>57150</xdr:rowOff>
                  </from>
                  <to>
                    <xdr:col>5</xdr:col>
                    <xdr:colOff>838200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Drop Down 23">
              <controlPr defaultSize="0" autoLine="0" autoPict="0">
                <anchor moveWithCells="1">
                  <from>
                    <xdr:col>5</xdr:col>
                    <xdr:colOff>28575</xdr:colOff>
                    <xdr:row>26</xdr:row>
                    <xdr:rowOff>57150</xdr:rowOff>
                  </from>
                  <to>
                    <xdr:col>5</xdr:col>
                    <xdr:colOff>838200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Drop Down 24">
              <controlPr defaultSize="0" autoLine="0" autoPict="0">
                <anchor moveWithCells="1">
                  <from>
                    <xdr:col>5</xdr:col>
                    <xdr:colOff>28575</xdr:colOff>
                    <xdr:row>27</xdr:row>
                    <xdr:rowOff>57150</xdr:rowOff>
                  </from>
                  <to>
                    <xdr:col>5</xdr:col>
                    <xdr:colOff>838200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Drop Down 28">
              <controlPr defaultSize="0" autoLine="0" autoPict="0">
                <anchor moveWithCells="1">
                  <from>
                    <xdr:col>2</xdr:col>
                    <xdr:colOff>152400</xdr:colOff>
                    <xdr:row>3</xdr:row>
                    <xdr:rowOff>171450</xdr:rowOff>
                  </from>
                  <to>
                    <xdr:col>3</xdr:col>
                    <xdr:colOff>95250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5"/>
  <sheetViews>
    <sheetView showGridLines="0" zoomScale="90" zoomScaleNormal="90" workbookViewId="0"/>
  </sheetViews>
  <sheetFormatPr defaultRowHeight="15" x14ac:dyDescent="0.25"/>
  <cols>
    <col min="1" max="1" width="4.7109375" customWidth="1"/>
    <col min="2" max="2" width="57" customWidth="1"/>
    <col min="3" max="3" width="25.28515625" customWidth="1"/>
    <col min="4" max="4" width="21" customWidth="1"/>
    <col min="5" max="5" width="20.5703125" customWidth="1"/>
  </cols>
  <sheetData>
    <row r="2" spans="2:3" ht="21" x14ac:dyDescent="0.35">
      <c r="B2" s="119" t="s">
        <v>158</v>
      </c>
    </row>
    <row r="3" spans="2:3" ht="21" x14ac:dyDescent="0.35">
      <c r="B3" s="119" t="s">
        <v>157</v>
      </c>
    </row>
    <row r="4" spans="2:3" x14ac:dyDescent="0.25">
      <c r="B4" s="57"/>
    </row>
    <row r="5" spans="2:3" x14ac:dyDescent="0.25">
      <c r="B5" s="48" t="s">
        <v>177</v>
      </c>
    </row>
    <row r="6" spans="2:3" x14ac:dyDescent="0.25">
      <c r="C6" s="104"/>
    </row>
    <row r="7" spans="2:3" x14ac:dyDescent="0.25">
      <c r="B7" s="48" t="s">
        <v>176</v>
      </c>
      <c r="C7" s="104"/>
    </row>
    <row r="8" spans="2:3" x14ac:dyDescent="0.25">
      <c r="B8" s="3" t="s">
        <v>117</v>
      </c>
      <c r="C8" s="6" t="str">
        <f>'DC Framework'!G12</f>
        <v>Up to 5% of basic salary + bonus</v>
      </c>
    </row>
    <row r="9" spans="2:3" x14ac:dyDescent="0.25">
      <c r="B9" s="3" t="s">
        <v>98</v>
      </c>
      <c r="C9" s="6" t="str">
        <f>'DC Framework'!G13</f>
        <v>Matching is 100% of contributions up to 5%</v>
      </c>
    </row>
    <row r="10" spans="2:3" x14ac:dyDescent="0.25">
      <c r="B10" s="3" t="s">
        <v>272</v>
      </c>
      <c r="C10" s="6" t="str">
        <f>'DC Framework'!G15</f>
        <v>Available option</v>
      </c>
    </row>
    <row r="11" spans="2:3" x14ac:dyDescent="0.25">
      <c r="B11" s="3" t="s">
        <v>100</v>
      </c>
      <c r="C11" s="6" t="str">
        <f>'DC Framework'!G16</f>
        <v>Up to a maximum of 12%</v>
      </c>
    </row>
    <row r="13" spans="2:3" x14ac:dyDescent="0.25">
      <c r="B13" s="3" t="s">
        <v>8</v>
      </c>
      <c r="C13" s="7" t="str">
        <f>'DC Framework'!G25</f>
        <v>Fees are 45 bps for assets of $250 M</v>
      </c>
    </row>
    <row r="14" spans="2:3" x14ac:dyDescent="0.25">
      <c r="B14" t="s">
        <v>118</v>
      </c>
      <c r="C14" s="7" t="str">
        <f>'DC Framework'!G26</f>
        <v>Menu has limited number of options; index funds are offered</v>
      </c>
    </row>
    <row r="15" spans="2:3" x14ac:dyDescent="0.25">
      <c r="B15" s="3" t="s">
        <v>119</v>
      </c>
      <c r="C15" s="85" t="str">
        <f>'DC Framework'!G27</f>
        <v>12 fund options</v>
      </c>
    </row>
    <row r="16" spans="2:3" x14ac:dyDescent="0.25">
      <c r="B16" t="s">
        <v>108</v>
      </c>
      <c r="C16" s="7" t="str">
        <f>'DC Framework'!G28</f>
        <v>Systematic withdrawals offered</v>
      </c>
    </row>
    <row r="18" spans="2:3" x14ac:dyDescent="0.25">
      <c r="B18" s="3" t="s">
        <v>9</v>
      </c>
      <c r="C18" s="133" t="str">
        <f>'DC Framework'!G36</f>
        <v>20% with 2 years to 100% at 4 years</v>
      </c>
    </row>
    <row r="19" spans="2:3" x14ac:dyDescent="0.25">
      <c r="B19" s="3" t="s">
        <v>103</v>
      </c>
      <c r="C19" s="133" t="str">
        <f>'DC Framework'!G37</f>
        <v>Hourly amd salaried after one year of service</v>
      </c>
    </row>
    <row r="20" spans="2:3" x14ac:dyDescent="0.25">
      <c r="B20" s="3" t="s">
        <v>282</v>
      </c>
      <c r="C20" s="133" t="str">
        <f>'DC Framework'!G38</f>
        <v>Yes with 3.00% default</v>
      </c>
    </row>
    <row r="21" spans="2:3" x14ac:dyDescent="0.25">
      <c r="B21" s="3" t="s">
        <v>283</v>
      </c>
      <c r="C21" s="133" t="str">
        <f>'DC Framework'!G39</f>
        <v>Yes annual 0.50% increase to 6%</v>
      </c>
    </row>
    <row r="23" spans="2:3" x14ac:dyDescent="0.25">
      <c r="B23" s="3" t="s">
        <v>109</v>
      </c>
      <c r="C23" s="161" t="str">
        <f>'DC Framework'!G49</f>
        <v>Online account statements, electronic delivery</v>
      </c>
    </row>
    <row r="24" spans="2:3" x14ac:dyDescent="0.25">
      <c r="B24" s="3" t="s">
        <v>120</v>
      </c>
      <c r="C24" s="161" t="str">
        <f>'DC Framework'!G50</f>
        <v>Online access, robust tools</v>
      </c>
    </row>
    <row r="25" spans="2:3" x14ac:dyDescent="0.25">
      <c r="B25" s="3" t="s">
        <v>121</v>
      </c>
      <c r="C25" s="161" t="str">
        <f>'DC Framework'!G51</f>
        <v>Annual seminar for pre-retirees</v>
      </c>
    </row>
    <row r="26" spans="2:3" x14ac:dyDescent="0.25">
      <c r="B26" s="3" t="s">
        <v>122</v>
      </c>
      <c r="C26" s="161" t="str">
        <f>'DC Framework'!G52</f>
        <v>Appropriate for employee group</v>
      </c>
    </row>
    <row r="27" spans="2:3" x14ac:dyDescent="0.25">
      <c r="B27" s="3"/>
    </row>
    <row r="28" spans="2:3" x14ac:dyDescent="0.25">
      <c r="B28" s="87" t="s">
        <v>185</v>
      </c>
    </row>
    <row r="30" spans="2:3" x14ac:dyDescent="0.25">
      <c r="B30" s="88" t="s">
        <v>161</v>
      </c>
      <c r="C30" s="133" t="str">
        <f>'DC Framework'!G14</f>
        <v>Each pay period</v>
      </c>
    </row>
    <row r="31" spans="2:3" x14ac:dyDescent="0.25">
      <c r="B31" s="89" t="s">
        <v>165</v>
      </c>
      <c r="C31" s="133" t="str">
        <f>IF('DC Framework'!D75&gt;0,"Other plan offered", "Not currently offered")</f>
        <v>Not currently offered</v>
      </c>
    </row>
    <row r="32" spans="2:3" x14ac:dyDescent="0.25">
      <c r="B32" s="89"/>
      <c r="C32" s="133"/>
    </row>
    <row r="34" spans="2:5" x14ac:dyDescent="0.25">
      <c r="B34" s="100" t="s">
        <v>231</v>
      </c>
      <c r="C34" s="99"/>
    </row>
    <row r="35" spans="2:5" x14ac:dyDescent="0.25">
      <c r="B35" s="49"/>
      <c r="C35" s="61"/>
    </row>
    <row r="36" spans="2:5" x14ac:dyDescent="0.25">
      <c r="B36" s="140" t="s">
        <v>87</v>
      </c>
      <c r="C36" s="121"/>
      <c r="D36" s="146">
        <f>'DC Framework'!F136</f>
        <v>0.67709722222222224</v>
      </c>
      <c r="E36" s="137"/>
    </row>
    <row r="37" spans="2:5" x14ac:dyDescent="0.25">
      <c r="B37" s="141" t="s">
        <v>54</v>
      </c>
      <c r="C37" s="123"/>
      <c r="D37" s="147">
        <f>'DC Framework'!F137</f>
        <v>0.84285714285714297</v>
      </c>
      <c r="E37" s="138"/>
    </row>
    <row r="38" spans="2:5" x14ac:dyDescent="0.25">
      <c r="B38" s="141" t="s">
        <v>233</v>
      </c>
      <c r="C38" s="123"/>
      <c r="D38" s="147">
        <f>'DC Framework'!F138</f>
        <v>0.1875</v>
      </c>
      <c r="E38" s="138"/>
    </row>
    <row r="39" spans="2:5" x14ac:dyDescent="0.25">
      <c r="B39" s="141" t="s">
        <v>236</v>
      </c>
      <c r="C39" s="123"/>
      <c r="D39" s="147" t="str">
        <f>'DC Framework'!F139</f>
        <v>N/A</v>
      </c>
      <c r="E39" s="138"/>
    </row>
    <row r="40" spans="2:5" x14ac:dyDescent="0.25">
      <c r="B40" s="142"/>
      <c r="C40" s="136"/>
      <c r="D40" s="144"/>
      <c r="E40" s="138"/>
    </row>
    <row r="41" spans="2:5" x14ac:dyDescent="0.25">
      <c r="B41" s="143" t="s">
        <v>275</v>
      </c>
      <c r="C41" s="126"/>
      <c r="D41" s="145">
        <f>'DC Framework'!F141</f>
        <v>0.72096305555555562</v>
      </c>
      <c r="E41" s="139"/>
    </row>
    <row r="58" spans="2:5" x14ac:dyDescent="0.25">
      <c r="B58" s="48" t="s">
        <v>166</v>
      </c>
    </row>
    <row r="59" spans="2:5" x14ac:dyDescent="0.25">
      <c r="B59" t="s">
        <v>167</v>
      </c>
    </row>
    <row r="61" spans="2:5" x14ac:dyDescent="0.25">
      <c r="B61" s="86"/>
      <c r="C61" s="98"/>
      <c r="D61" s="98" t="s">
        <v>181</v>
      </c>
      <c r="E61" s="90"/>
    </row>
    <row r="62" spans="2:5" ht="30" x14ac:dyDescent="0.25">
      <c r="B62" s="91"/>
      <c r="C62" s="92" t="s">
        <v>168</v>
      </c>
      <c r="D62" s="92" t="s">
        <v>169</v>
      </c>
      <c r="E62" s="93" t="s">
        <v>170</v>
      </c>
    </row>
    <row r="63" spans="2:5" x14ac:dyDescent="0.25">
      <c r="B63" s="127" t="s">
        <v>171</v>
      </c>
      <c r="C63" s="94">
        <f>'DC Framework'!D88</f>
        <v>0.1</v>
      </c>
      <c r="D63" s="94">
        <f>'DC Framework'!D89</f>
        <v>0.09</v>
      </c>
      <c r="E63" s="95">
        <f>'DC Framework'!D87</f>
        <v>0.19</v>
      </c>
    </row>
    <row r="64" spans="2:5" x14ac:dyDescent="0.25">
      <c r="B64" s="127" t="s">
        <v>172</v>
      </c>
      <c r="C64" s="94">
        <f>'DC Framework'!E88</f>
        <v>0.06</v>
      </c>
      <c r="D64" s="94">
        <f>'DC Framework'!E89</f>
        <v>0.05</v>
      </c>
      <c r="E64" s="95">
        <f>'DC Framework'!E87</f>
        <v>0.11</v>
      </c>
    </row>
    <row r="65" spans="2:5" x14ac:dyDescent="0.25">
      <c r="B65" s="128" t="s">
        <v>173</v>
      </c>
      <c r="C65" s="96">
        <f>'DC Framework'!F88</f>
        <v>0.03</v>
      </c>
      <c r="D65" s="96">
        <f>'DC Framework'!F89</f>
        <v>2.0000000000000004E-2</v>
      </c>
      <c r="E65" s="97">
        <f>'DC Framework'!F87</f>
        <v>0.05</v>
      </c>
    </row>
    <row r="66" spans="2:5" x14ac:dyDescent="0.25">
      <c r="C66" s="104"/>
    </row>
    <row r="67" spans="2:5" x14ac:dyDescent="0.25">
      <c r="B67" s="48" t="s">
        <v>206</v>
      </c>
      <c r="C67" s="104"/>
    </row>
    <row r="68" spans="2:5" x14ac:dyDescent="0.25">
      <c r="B68" s="48"/>
      <c r="C68" s="104"/>
    </row>
    <row r="69" spans="2:5" x14ac:dyDescent="0.25">
      <c r="B69" s="86"/>
      <c r="C69" s="120"/>
      <c r="D69" s="121"/>
      <c r="E69" s="90"/>
    </row>
    <row r="70" spans="2:5" x14ac:dyDescent="0.25">
      <c r="B70" s="122" t="s">
        <v>203</v>
      </c>
      <c r="D70" s="94">
        <f>'DC Framework'!D74</f>
        <v>0.4</v>
      </c>
      <c r="E70" s="112"/>
    </row>
    <row r="71" spans="2:5" x14ac:dyDescent="0.25">
      <c r="B71" s="122" t="s">
        <v>204</v>
      </c>
      <c r="D71" s="94">
        <f>'DC Framework'!D75</f>
        <v>0</v>
      </c>
      <c r="E71" s="112"/>
    </row>
    <row r="72" spans="2:5" x14ac:dyDescent="0.25">
      <c r="B72" s="122" t="s">
        <v>205</v>
      </c>
      <c r="D72" s="96">
        <f>'DC Framework'!D87</f>
        <v>0.19</v>
      </c>
      <c r="E72" s="112"/>
    </row>
    <row r="73" spans="2:5" x14ac:dyDescent="0.25">
      <c r="B73" s="122" t="s">
        <v>207</v>
      </c>
      <c r="D73" s="94">
        <f>'DC Framework'!D91</f>
        <v>0.59000000000000008</v>
      </c>
      <c r="E73" s="112"/>
    </row>
    <row r="74" spans="2:5" x14ac:dyDescent="0.25">
      <c r="B74" s="124"/>
      <c r="C74" s="125"/>
      <c r="D74" s="126"/>
      <c r="E74" s="115"/>
    </row>
    <row r="75" spans="2:5" x14ac:dyDescent="0.25">
      <c r="B75" s="123"/>
      <c r="C75" s="129"/>
      <c r="D75" s="123"/>
      <c r="E75" s="123"/>
    </row>
    <row r="76" spans="2:5" x14ac:dyDescent="0.25">
      <c r="B76" s="48" t="s">
        <v>174</v>
      </c>
    </row>
    <row r="78" spans="2:5" x14ac:dyDescent="0.25">
      <c r="B78" t="s">
        <v>182</v>
      </c>
    </row>
    <row r="80" spans="2:5" x14ac:dyDescent="0.25">
      <c r="B80" s="83" t="s">
        <v>190</v>
      </c>
      <c r="C80" s="101">
        <f>'DC Framework'!D81</f>
        <v>0.02</v>
      </c>
    </row>
    <row r="81" spans="2:3" x14ac:dyDescent="0.25">
      <c r="B81" s="83" t="s">
        <v>183</v>
      </c>
    </row>
    <row r="82" spans="2:3" x14ac:dyDescent="0.25">
      <c r="B82" s="83" t="s">
        <v>175</v>
      </c>
    </row>
    <row r="84" spans="2:3" x14ac:dyDescent="0.25">
      <c r="B84" s="83" t="s">
        <v>55</v>
      </c>
      <c r="C84" s="101">
        <f>'DC Framework'!D72</f>
        <v>0.7</v>
      </c>
    </row>
    <row r="85" spans="2:3" x14ac:dyDescent="0.25">
      <c r="B85" s="83" t="s">
        <v>186</v>
      </c>
      <c r="C85" s="101">
        <f>'DC Framework'!D74</f>
        <v>0.4</v>
      </c>
    </row>
    <row r="86" spans="2:3" x14ac:dyDescent="0.25">
      <c r="B86" s="83" t="s">
        <v>189</v>
      </c>
      <c r="C86" s="83">
        <f>'DC Framework'!D66</f>
        <v>65</v>
      </c>
    </row>
    <row r="87" spans="2:3" x14ac:dyDescent="0.25">
      <c r="B87" s="83" t="s">
        <v>187</v>
      </c>
      <c r="C87" s="83">
        <f>'DC Framework'!D67</f>
        <v>90</v>
      </c>
    </row>
    <row r="88" spans="2:3" x14ac:dyDescent="0.25">
      <c r="B88" s="83" t="s">
        <v>178</v>
      </c>
      <c r="C88" s="101">
        <f>'DC Framework'!D84</f>
        <v>0.01</v>
      </c>
    </row>
    <row r="89" spans="2:3" x14ac:dyDescent="0.25">
      <c r="B89" s="83" t="s">
        <v>188</v>
      </c>
      <c r="C89" s="102" t="str">
        <f>CONCATENATE('DC Framework'!D65,", ",'DC Framework'!E65,", ",'DC Framework'!F65)</f>
        <v>35, 45, 55</v>
      </c>
    </row>
    <row r="91" spans="2:3" x14ac:dyDescent="0.25">
      <c r="B91" t="s">
        <v>199</v>
      </c>
    </row>
    <row r="92" spans="2:3" x14ac:dyDescent="0.25">
      <c r="B92" t="s">
        <v>200</v>
      </c>
    </row>
    <row r="94" spans="2:3" x14ac:dyDescent="0.25">
      <c r="B94" t="s">
        <v>201</v>
      </c>
    </row>
    <row r="95" spans="2:3" x14ac:dyDescent="0.25">
      <c r="B95" t="s">
        <v>202</v>
      </c>
    </row>
  </sheetData>
  <printOptions horizontalCentered="1"/>
  <pageMargins left="0.4" right="0.4" top="0.4" bottom="0.4" header="0.2" footer="0.2"/>
  <pageSetup scale="76" fitToHeight="2" orientation="portrait" verticalDpi="0" r:id="rId1"/>
  <rowBreaks count="1" manualBreakCount="1">
    <brk id="5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49"/>
  <sheetViews>
    <sheetView showWhiteSpace="0" zoomScale="80" zoomScaleNormal="80" workbookViewId="0">
      <pane xSplit="5" ySplit="8" topLeftCell="F9" activePane="bottomRight" state="frozen"/>
      <selection pane="topRight" activeCell="F1" sqref="F1"/>
      <selection pane="bottomLeft" activeCell="A9" sqref="A9"/>
      <selection pane="bottomRight"/>
    </sheetView>
  </sheetViews>
  <sheetFormatPr defaultRowHeight="15" x14ac:dyDescent="0.25"/>
  <cols>
    <col min="1" max="1" width="4.28515625" style="57" customWidth="1"/>
    <col min="2" max="2" width="64.42578125" customWidth="1"/>
    <col min="3" max="3" width="10" customWidth="1"/>
    <col min="4" max="4" width="14.140625" style="6" customWidth="1"/>
    <col min="5" max="5" width="12.85546875" style="32" customWidth="1"/>
    <col min="6" max="6" width="13.28515625" style="32" customWidth="1"/>
    <col min="7" max="7" width="50.5703125" style="53" customWidth="1"/>
    <col min="8" max="8" width="74.42578125" style="51" customWidth="1"/>
    <col min="9" max="9" width="10.140625" style="1" customWidth="1"/>
    <col min="10" max="10" width="0" hidden="1" customWidth="1"/>
    <col min="11" max="13" width="9.140625" hidden="1" customWidth="1"/>
    <col min="14" max="14" width="12" hidden="1" customWidth="1"/>
    <col min="15" max="15" width="0" hidden="1" customWidth="1"/>
  </cols>
  <sheetData>
    <row r="1" spans="1:11" x14ac:dyDescent="0.25">
      <c r="B1" s="45" t="s">
        <v>297</v>
      </c>
    </row>
    <row r="2" spans="1:11" x14ac:dyDescent="0.25">
      <c r="B2" s="45"/>
    </row>
    <row r="3" spans="1:11" x14ac:dyDescent="0.25">
      <c r="B3" s="48" t="s">
        <v>70</v>
      </c>
      <c r="C3" s="71" t="s">
        <v>237</v>
      </c>
      <c r="D3" s="43"/>
      <c r="E3" s="43"/>
      <c r="F3" s="43"/>
    </row>
    <row r="4" spans="1:11" x14ac:dyDescent="0.25">
      <c r="B4" s="48"/>
      <c r="C4" s="6"/>
      <c r="E4" s="6"/>
      <c r="F4" s="6"/>
    </row>
    <row r="5" spans="1:11" x14ac:dyDescent="0.25">
      <c r="B5" s="58" t="s">
        <v>244</v>
      </c>
      <c r="C5" s="59"/>
      <c r="K5" s="117" t="s">
        <v>193</v>
      </c>
    </row>
    <row r="6" spans="1:11" x14ac:dyDescent="0.25">
      <c r="K6">
        <v>2</v>
      </c>
    </row>
    <row r="7" spans="1:11" x14ac:dyDescent="0.25">
      <c r="A7" s="57">
        <v>1</v>
      </c>
      <c r="B7" s="38" t="s">
        <v>67</v>
      </c>
      <c r="C7" s="50" t="s">
        <v>88</v>
      </c>
      <c r="D7" s="31" t="s">
        <v>50</v>
      </c>
      <c r="E7" s="31" t="s">
        <v>276</v>
      </c>
      <c r="I7" s="31" t="s">
        <v>265</v>
      </c>
    </row>
    <row r="8" spans="1:11" x14ac:dyDescent="0.25">
      <c r="C8" s="50" t="s">
        <v>0</v>
      </c>
      <c r="D8" s="31" t="s">
        <v>276</v>
      </c>
      <c r="E8" s="31" t="s">
        <v>48</v>
      </c>
      <c r="F8" s="31"/>
      <c r="G8" s="54" t="s">
        <v>280</v>
      </c>
      <c r="H8" s="52" t="s">
        <v>281</v>
      </c>
      <c r="I8" s="31" t="s">
        <v>274</v>
      </c>
    </row>
    <row r="9" spans="1:11" x14ac:dyDescent="0.25">
      <c r="B9" s="36" t="s">
        <v>1</v>
      </c>
      <c r="I9" s="1" t="s">
        <v>261</v>
      </c>
    </row>
    <row r="10" spans="1:11" x14ac:dyDescent="0.25">
      <c r="B10" s="2"/>
      <c r="I10" s="150" t="s">
        <v>266</v>
      </c>
    </row>
    <row r="11" spans="1:11" x14ac:dyDescent="0.25">
      <c r="B11" s="4" t="s">
        <v>279</v>
      </c>
      <c r="D11" s="39"/>
      <c r="E11" s="61"/>
      <c r="F11" s="61"/>
      <c r="G11" s="56" t="s">
        <v>81</v>
      </c>
    </row>
    <row r="12" spans="1:11" x14ac:dyDescent="0.25">
      <c r="A12" s="80" t="s">
        <v>113</v>
      </c>
      <c r="B12" s="3" t="s">
        <v>7</v>
      </c>
      <c r="C12" s="6"/>
      <c r="D12" s="50">
        <f>'Plan design weights'!G16</f>
        <v>0.7</v>
      </c>
      <c r="E12" s="61">
        <f>MIN(5%,9%)/9%</f>
        <v>0.55555555555555558</v>
      </c>
      <c r="F12" s="61"/>
      <c r="G12" s="158" t="s">
        <v>49</v>
      </c>
      <c r="H12" s="159" t="s">
        <v>245</v>
      </c>
    </row>
    <row r="13" spans="1:11" ht="27.75" customHeight="1" x14ac:dyDescent="0.25">
      <c r="A13" s="80" t="s">
        <v>114</v>
      </c>
      <c r="B13" s="3" t="s">
        <v>98</v>
      </c>
      <c r="D13" s="50">
        <f>'Plan design weights'!G17</f>
        <v>0.1</v>
      </c>
      <c r="E13" s="61">
        <v>1</v>
      </c>
      <c r="F13" s="61"/>
      <c r="G13" s="158" t="s">
        <v>76</v>
      </c>
      <c r="H13" s="159" t="s">
        <v>78</v>
      </c>
      <c r="I13" s="39"/>
    </row>
    <row r="14" spans="1:11" x14ac:dyDescent="0.25">
      <c r="B14" s="36"/>
      <c r="D14" s="39"/>
      <c r="E14" s="61"/>
      <c r="F14" s="135"/>
      <c r="G14" s="155"/>
      <c r="H14" s="154"/>
    </row>
    <row r="15" spans="1:11" ht="31.5" customHeight="1" x14ac:dyDescent="0.25">
      <c r="A15" s="80" t="s">
        <v>115</v>
      </c>
      <c r="B15" s="3" t="s">
        <v>257</v>
      </c>
      <c r="D15" s="50">
        <f>'Plan design weights'!G18</f>
        <v>0.1</v>
      </c>
      <c r="E15" s="61">
        <v>1</v>
      </c>
      <c r="F15" s="61"/>
      <c r="G15" s="152" t="s">
        <v>160</v>
      </c>
      <c r="H15" s="154" t="s">
        <v>259</v>
      </c>
      <c r="J15" s="104"/>
    </row>
    <row r="16" spans="1:11" x14ac:dyDescent="0.25">
      <c r="A16" s="80" t="s">
        <v>116</v>
      </c>
      <c r="B16" s="3" t="s">
        <v>100</v>
      </c>
      <c r="D16" s="79">
        <f>'Plan design weights'!G19</f>
        <v>0.10000000000000009</v>
      </c>
      <c r="E16" s="61">
        <f>100%</f>
        <v>1</v>
      </c>
      <c r="F16" s="61"/>
      <c r="G16" s="152" t="s">
        <v>77</v>
      </c>
      <c r="H16" s="154" t="s">
        <v>224</v>
      </c>
      <c r="J16" s="104"/>
    </row>
    <row r="17" spans="1:18" x14ac:dyDescent="0.25">
      <c r="B17" s="36"/>
      <c r="D17" s="39"/>
      <c r="E17" s="61"/>
      <c r="F17" s="135"/>
      <c r="G17" s="134"/>
    </row>
    <row r="18" spans="1:18" x14ac:dyDescent="0.25">
      <c r="B18" s="3"/>
      <c r="D18" s="50">
        <f>SUM(D12:D16)</f>
        <v>1</v>
      </c>
      <c r="E18" s="61"/>
      <c r="F18" s="61"/>
    </row>
    <row r="19" spans="1:18" x14ac:dyDescent="0.25">
      <c r="B19" s="35" t="s">
        <v>277</v>
      </c>
      <c r="D19" s="63"/>
      <c r="E19" s="66">
        <f>SUMPRODUCT(D12:D16,E12:E16)</f>
        <v>0.68888888888888899</v>
      </c>
      <c r="F19" s="61"/>
      <c r="H19" s="110"/>
    </row>
    <row r="20" spans="1:18" x14ac:dyDescent="0.25">
      <c r="B20" s="35" t="s">
        <v>278</v>
      </c>
      <c r="C20" s="34">
        <f>'Plan provisions weights'!G16</f>
        <v>0.61</v>
      </c>
      <c r="D20" s="63"/>
      <c r="E20" s="60"/>
      <c r="F20" s="60"/>
    </row>
    <row r="21" spans="1:18" x14ac:dyDescent="0.25">
      <c r="B21" s="35" t="s">
        <v>232</v>
      </c>
      <c r="C21" s="33"/>
      <c r="D21" s="63"/>
      <c r="E21" s="60"/>
      <c r="F21" s="64">
        <f>C20*E19</f>
        <v>0.42022222222222227</v>
      </c>
    </row>
    <row r="22" spans="1:18" x14ac:dyDescent="0.25">
      <c r="B22" s="36" t="s">
        <v>2</v>
      </c>
      <c r="C22" s="6"/>
      <c r="D22" s="63"/>
      <c r="E22" s="60"/>
      <c r="F22" s="60"/>
      <c r="I22" s="1" t="s">
        <v>262</v>
      </c>
    </row>
    <row r="23" spans="1:18" x14ac:dyDescent="0.25">
      <c r="B23" s="2"/>
      <c r="C23" s="6"/>
      <c r="D23" s="63"/>
      <c r="E23" s="60"/>
      <c r="F23" s="60"/>
      <c r="I23" s="150" t="s">
        <v>267</v>
      </c>
    </row>
    <row r="24" spans="1:18" x14ac:dyDescent="0.25">
      <c r="B24" s="4" t="s">
        <v>279</v>
      </c>
      <c r="D24" s="39"/>
      <c r="E24" s="61"/>
      <c r="F24" s="61"/>
      <c r="G24" s="56" t="s">
        <v>243</v>
      </c>
      <c r="K24" s="117" t="s">
        <v>193</v>
      </c>
    </row>
    <row r="25" spans="1:18" ht="30" x14ac:dyDescent="0.25">
      <c r="A25" s="80" t="s">
        <v>113</v>
      </c>
      <c r="B25" s="3" t="s">
        <v>8</v>
      </c>
      <c r="C25" s="6"/>
      <c r="D25" s="50">
        <f>'Investment options weights'!G16</f>
        <v>0.51</v>
      </c>
      <c r="E25" s="60">
        <f>IF($K25=0,0,IF($K25=1,0,IF($K25=2,0.25,IF($K25=3,0.5,IF($K25=4,0.75,1)))))</f>
        <v>1</v>
      </c>
      <c r="F25" s="61"/>
      <c r="G25" s="156" t="s">
        <v>80</v>
      </c>
      <c r="H25" s="157" t="s">
        <v>252</v>
      </c>
      <c r="I25" s="149"/>
      <c r="J25" s="104"/>
      <c r="K25">
        <v>5</v>
      </c>
      <c r="R25" s="104"/>
    </row>
    <row r="26" spans="1:18" ht="30" x14ac:dyDescent="0.25">
      <c r="A26" s="80" t="s">
        <v>114</v>
      </c>
      <c r="B26" t="s">
        <v>118</v>
      </c>
      <c r="D26" s="50">
        <f>'Investment options weights'!G17</f>
        <v>0.08</v>
      </c>
      <c r="E26" s="60">
        <f>IF($K26=0,0,IF($K26=1,0,IF($K26=2,0.25,IF($K26=3,0.5,IF($K26=4,0.75,1)))))</f>
        <v>0.75</v>
      </c>
      <c r="F26" s="61"/>
      <c r="G26" s="152" t="s">
        <v>289</v>
      </c>
      <c r="H26" s="154" t="s">
        <v>223</v>
      </c>
      <c r="K26">
        <v>4</v>
      </c>
    </row>
    <row r="27" spans="1:18" ht="30" x14ac:dyDescent="0.25">
      <c r="A27" s="80" t="s">
        <v>115</v>
      </c>
      <c r="B27" s="3" t="s">
        <v>119</v>
      </c>
      <c r="D27" s="50">
        <f>'Investment options weights'!G18</f>
        <v>0.08</v>
      </c>
      <c r="E27" s="60">
        <f>IF($K27=0,0,IF($K27=1,0,IF($K27=2,0.25,IF($K27=3,0.5,IF($K27=4,0.75,1)))))</f>
        <v>0.75</v>
      </c>
      <c r="F27" s="61"/>
      <c r="G27" s="152" t="s">
        <v>184</v>
      </c>
      <c r="H27" s="154" t="s">
        <v>219</v>
      </c>
      <c r="K27">
        <v>4</v>
      </c>
    </row>
    <row r="28" spans="1:18" ht="30" x14ac:dyDescent="0.25">
      <c r="A28" s="80" t="s">
        <v>116</v>
      </c>
      <c r="B28" t="s">
        <v>108</v>
      </c>
      <c r="D28" s="79">
        <f>'Investment options weights'!G19</f>
        <v>0.33000000000000007</v>
      </c>
      <c r="E28" s="60">
        <f>IF($K28=0,0,IF($K28=1,0,IF($K28=2,0.25,IF($K28=3,0.5,IF($K28=4,0.75,1)))))</f>
        <v>0.25</v>
      </c>
      <c r="F28" s="61"/>
      <c r="G28" s="152" t="s">
        <v>290</v>
      </c>
      <c r="H28" s="154" t="s">
        <v>220</v>
      </c>
      <c r="K28">
        <v>2</v>
      </c>
    </row>
    <row r="29" spans="1:18" x14ac:dyDescent="0.25">
      <c r="D29" s="50">
        <f>SUM(D25:D28)</f>
        <v>1</v>
      </c>
      <c r="E29" s="61"/>
      <c r="F29" s="61"/>
    </row>
    <row r="30" spans="1:18" x14ac:dyDescent="0.25">
      <c r="B30" s="35" t="s">
        <v>277</v>
      </c>
      <c r="D30" s="63"/>
      <c r="E30" s="66">
        <f>SUMPRODUCT(D25:D28,E25:E28)</f>
        <v>0.71250000000000013</v>
      </c>
      <c r="F30" s="61"/>
    </row>
    <row r="31" spans="1:18" x14ac:dyDescent="0.25">
      <c r="B31" s="35" t="s">
        <v>278</v>
      </c>
      <c r="C31" s="34">
        <f>'Plan provisions weights'!G17</f>
        <v>0.15</v>
      </c>
      <c r="D31" s="63"/>
      <c r="E31" s="60"/>
      <c r="F31" s="60"/>
    </row>
    <row r="32" spans="1:18" x14ac:dyDescent="0.25">
      <c r="B32" s="35" t="s">
        <v>232</v>
      </c>
      <c r="C32" s="33"/>
      <c r="D32" s="39"/>
      <c r="E32" s="61"/>
      <c r="F32" s="65">
        <f>C31*E30</f>
        <v>0.10687500000000001</v>
      </c>
    </row>
    <row r="33" spans="1:14" x14ac:dyDescent="0.25">
      <c r="B33" s="36" t="s">
        <v>5</v>
      </c>
      <c r="D33" s="39"/>
      <c r="E33" s="61"/>
      <c r="F33" s="61"/>
      <c r="I33" s="1" t="s">
        <v>263</v>
      </c>
    </row>
    <row r="34" spans="1:14" x14ac:dyDescent="0.25">
      <c r="B34" s="2"/>
      <c r="D34" s="39"/>
      <c r="E34" s="61"/>
      <c r="F34" s="61"/>
      <c r="I34" s="150" t="s">
        <v>268</v>
      </c>
    </row>
    <row r="35" spans="1:14" x14ac:dyDescent="0.25">
      <c r="B35" s="4" t="s">
        <v>279</v>
      </c>
      <c r="D35" s="39"/>
      <c r="E35" s="61"/>
      <c r="F35" s="148"/>
      <c r="G35" s="56" t="s">
        <v>243</v>
      </c>
      <c r="K35" s="117" t="s">
        <v>193</v>
      </c>
      <c r="M35" s="111" t="s">
        <v>195</v>
      </c>
    </row>
    <row r="36" spans="1:14" ht="26.25" customHeight="1" x14ac:dyDescent="0.25">
      <c r="A36" s="80" t="s">
        <v>113</v>
      </c>
      <c r="B36" s="3" t="s">
        <v>9</v>
      </c>
      <c r="C36" s="6"/>
      <c r="D36" s="50">
        <f>'Enrollment design weights'!G16</f>
        <v>0.38</v>
      </c>
      <c r="E36" s="60">
        <f>IF($K36=0,0,IF($K36=1,0,IF($K36=2,0.25,IF($K36=3,0.5,IF($K36=4,0.75,1)))))</f>
        <v>0.5</v>
      </c>
      <c r="F36" s="61"/>
      <c r="G36" s="155" t="s">
        <v>229</v>
      </c>
      <c r="H36" s="153" t="s">
        <v>246</v>
      </c>
      <c r="K36">
        <v>3</v>
      </c>
      <c r="M36" s="116">
        <v>0</v>
      </c>
      <c r="N36" s="90" t="s">
        <v>191</v>
      </c>
    </row>
    <row r="37" spans="1:14" ht="26.25" customHeight="1" x14ac:dyDescent="0.25">
      <c r="A37" s="80" t="s">
        <v>114</v>
      </c>
      <c r="B37" s="3" t="s">
        <v>103</v>
      </c>
      <c r="C37" s="6"/>
      <c r="D37" s="50">
        <f>'Enrollment design weights'!G17</f>
        <v>7.0000000000000007E-2</v>
      </c>
      <c r="E37" s="60">
        <f>IF($K37=0,0,IF($K37=1,0,IF($K37=2,0.25,IF($K37=3,0.5,IF($K37=4,0.75,1)))))</f>
        <v>0.5</v>
      </c>
      <c r="F37" s="61"/>
      <c r="G37" s="155" t="s">
        <v>230</v>
      </c>
      <c r="H37" s="153" t="s">
        <v>225</v>
      </c>
      <c r="K37">
        <v>3</v>
      </c>
      <c r="M37" s="113">
        <v>1</v>
      </c>
      <c r="N37" s="112" t="s">
        <v>53</v>
      </c>
    </row>
    <row r="38" spans="1:14" ht="26.25" customHeight="1" x14ac:dyDescent="0.25">
      <c r="A38" s="80" t="s">
        <v>115</v>
      </c>
      <c r="B38" s="3" t="s">
        <v>282</v>
      </c>
      <c r="C38" s="6"/>
      <c r="D38" s="50">
        <f>'Enrollment design weights'!G18</f>
        <v>0.37</v>
      </c>
      <c r="E38" s="60">
        <f>IF($K38=0,0,IF($K38=1,0,IF($K38=2,0.25,IF($K38=3,0.5,IF($K38=4,0.75,1)))))</f>
        <v>1</v>
      </c>
      <c r="F38" s="61"/>
      <c r="G38" s="155" t="s">
        <v>163</v>
      </c>
      <c r="H38" s="153" t="s">
        <v>221</v>
      </c>
      <c r="K38">
        <v>5</v>
      </c>
      <c r="M38" s="113">
        <v>2</v>
      </c>
      <c r="N38" s="112" t="s">
        <v>51</v>
      </c>
    </row>
    <row r="39" spans="1:14" ht="26.25" customHeight="1" x14ac:dyDescent="0.25">
      <c r="A39" s="80" t="s">
        <v>116</v>
      </c>
      <c r="B39" s="3" t="s">
        <v>283</v>
      </c>
      <c r="C39" s="6"/>
      <c r="D39" s="50">
        <f>'Enrollment design weights'!G19</f>
        <v>0.17999999999999994</v>
      </c>
      <c r="E39" s="60">
        <f>IF($K39=0,0,IF($K39=1,0,IF($K39=2,0.25,IF($K39=3,0.5,IF($K39=4,0.75,1)))))</f>
        <v>1</v>
      </c>
      <c r="F39" s="61"/>
      <c r="G39" s="155" t="s">
        <v>164</v>
      </c>
      <c r="H39" s="153" t="s">
        <v>222</v>
      </c>
      <c r="K39">
        <v>5</v>
      </c>
      <c r="M39" s="113">
        <v>3</v>
      </c>
      <c r="N39" s="112" t="s">
        <v>192</v>
      </c>
    </row>
    <row r="40" spans="1:14" x14ac:dyDescent="0.25">
      <c r="B40" s="36"/>
      <c r="D40" s="39"/>
      <c r="E40" s="61"/>
      <c r="F40" s="135"/>
      <c r="M40" s="114">
        <v>4</v>
      </c>
      <c r="N40" s="115" t="s">
        <v>52</v>
      </c>
    </row>
    <row r="41" spans="1:14" x14ac:dyDescent="0.25">
      <c r="B41" s="3"/>
      <c r="D41" s="50">
        <f>SUM(D36:D39)</f>
        <v>1</v>
      </c>
      <c r="E41" s="61"/>
      <c r="F41" s="61"/>
    </row>
    <row r="42" spans="1:14" x14ac:dyDescent="0.25">
      <c r="B42" s="35" t="s">
        <v>277</v>
      </c>
      <c r="D42" s="63"/>
      <c r="E42" s="66">
        <f>SUMPRODUCT(D36:D39,E36:E39)</f>
        <v>0.77499999999999991</v>
      </c>
      <c r="F42" s="61"/>
    </row>
    <row r="43" spans="1:14" x14ac:dyDescent="0.25">
      <c r="B43" s="35" t="s">
        <v>278</v>
      </c>
      <c r="C43" s="34">
        <f>'Plan provisions weights'!G18</f>
        <v>0.15</v>
      </c>
      <c r="D43" s="63"/>
      <c r="E43" s="60"/>
      <c r="F43" s="60"/>
    </row>
    <row r="44" spans="1:14" x14ac:dyDescent="0.25">
      <c r="B44" s="35" t="s">
        <v>232</v>
      </c>
      <c r="C44" s="6"/>
      <c r="D44" s="63"/>
      <c r="E44" s="60"/>
      <c r="F44" s="66">
        <f>C43*E42</f>
        <v>0.11624999999999998</v>
      </c>
    </row>
    <row r="45" spans="1:14" x14ac:dyDescent="0.25">
      <c r="B45" s="3"/>
      <c r="C45" s="6"/>
      <c r="D45" s="63"/>
      <c r="E45" s="60"/>
      <c r="F45" s="60"/>
    </row>
    <row r="46" spans="1:14" x14ac:dyDescent="0.25">
      <c r="B46" s="36" t="s">
        <v>3</v>
      </c>
      <c r="D46" s="39"/>
      <c r="E46" s="61"/>
      <c r="F46" s="61"/>
      <c r="I46" s="1" t="s">
        <v>264</v>
      </c>
    </row>
    <row r="47" spans="1:14" x14ac:dyDescent="0.25">
      <c r="B47" s="2"/>
      <c r="D47" s="39"/>
      <c r="E47" s="61"/>
      <c r="F47" s="61"/>
    </row>
    <row r="48" spans="1:14" x14ac:dyDescent="0.25">
      <c r="B48" s="4" t="s">
        <v>279</v>
      </c>
      <c r="D48" s="39"/>
      <c r="E48" s="61"/>
      <c r="F48" s="61"/>
      <c r="G48" s="56" t="s">
        <v>243</v>
      </c>
      <c r="K48" s="117" t="s">
        <v>193</v>
      </c>
    </row>
    <row r="49" spans="1:11" ht="26.25" customHeight="1" x14ac:dyDescent="0.25">
      <c r="A49" s="80" t="s">
        <v>113</v>
      </c>
      <c r="B49" s="3" t="s">
        <v>109</v>
      </c>
      <c r="C49" s="6"/>
      <c r="D49" s="50">
        <f>'Communications weights'!G16</f>
        <v>0.12</v>
      </c>
      <c r="E49" s="60">
        <f>IF($K49=0,0,IF($K49=1,0,IF($K49=2,0.25,IF($K49=3,0.5,IF($K49=4,0.75,1)))))</f>
        <v>0.75</v>
      </c>
      <c r="F49" s="61"/>
      <c r="G49" s="155" t="s">
        <v>292</v>
      </c>
      <c r="H49" s="153" t="s">
        <v>226</v>
      </c>
      <c r="K49">
        <v>4</v>
      </c>
    </row>
    <row r="50" spans="1:11" ht="26.25" customHeight="1" x14ac:dyDescent="0.25">
      <c r="A50" s="80" t="s">
        <v>114</v>
      </c>
      <c r="B50" s="3" t="s">
        <v>110</v>
      </c>
      <c r="C50" s="6"/>
      <c r="D50" s="50">
        <f>'Communications weights'!G17</f>
        <v>0.13</v>
      </c>
      <c r="E50" s="60">
        <f>IF($K50=0,0,IF($K50=1,0,IF($K50=2,0.25,IF($K50=3,0.5,IF($K50=4,0.75,1)))))</f>
        <v>0.75</v>
      </c>
      <c r="F50" s="61"/>
      <c r="G50" s="155" t="s">
        <v>293</v>
      </c>
      <c r="H50" s="153" t="s">
        <v>227</v>
      </c>
      <c r="K50">
        <v>4</v>
      </c>
    </row>
    <row r="51" spans="1:11" ht="26.25" customHeight="1" x14ac:dyDescent="0.25">
      <c r="A51" s="80" t="s">
        <v>115</v>
      </c>
      <c r="B51" s="3" t="s">
        <v>121</v>
      </c>
      <c r="C51" s="6"/>
      <c r="D51" s="50">
        <f>'Communications weights'!G18</f>
        <v>0.35</v>
      </c>
      <c r="E51" s="60">
        <f>IF($K51=0,0,IF($K51=1,0,IF($K51=2,0.25,IF($K51=3,0.5,IF($K51=4,0.75,1)))))</f>
        <v>0.25</v>
      </c>
      <c r="F51" s="61"/>
      <c r="G51" s="155" t="s">
        <v>294</v>
      </c>
      <c r="H51" s="153" t="s">
        <v>228</v>
      </c>
      <c r="K51">
        <v>2</v>
      </c>
    </row>
    <row r="52" spans="1:11" ht="26.25" customHeight="1" x14ac:dyDescent="0.25">
      <c r="A52" s="80" t="s">
        <v>116</v>
      </c>
      <c r="B52" s="3" t="s">
        <v>122</v>
      </c>
      <c r="C52" s="6"/>
      <c r="D52" s="50">
        <f>'Communications weights'!G19</f>
        <v>0.4</v>
      </c>
      <c r="E52" s="60">
        <f>IF($K52=0,0,IF($K52=1,0,IF($K52=2,0.25,IF($K52=3,0.5,IF($K52=4,0.75,1)))))</f>
        <v>0.25</v>
      </c>
      <c r="F52" s="61"/>
      <c r="G52" s="155" t="s">
        <v>295</v>
      </c>
      <c r="H52" s="153" t="s">
        <v>71</v>
      </c>
      <c r="K52">
        <v>2</v>
      </c>
    </row>
    <row r="53" spans="1:11" x14ac:dyDescent="0.25">
      <c r="B53" s="3"/>
      <c r="D53" s="50">
        <f>SUM(D49:D52)</f>
        <v>1</v>
      </c>
      <c r="E53" s="61"/>
      <c r="F53" s="61"/>
      <c r="H53" s="154"/>
    </row>
    <row r="54" spans="1:11" x14ac:dyDescent="0.25">
      <c r="B54" s="35" t="s">
        <v>277</v>
      </c>
      <c r="D54" s="63"/>
      <c r="E54" s="66">
        <f>SUMPRODUCT(D49:D52,E49:E52)</f>
        <v>0.375</v>
      </c>
      <c r="F54" s="61"/>
      <c r="H54" s="154"/>
    </row>
    <row r="55" spans="1:11" x14ac:dyDescent="0.25">
      <c r="B55" s="35" t="s">
        <v>278</v>
      </c>
      <c r="C55" s="34">
        <f>'Plan provisions weights'!G19</f>
        <v>8.9999999999999969E-2</v>
      </c>
      <c r="D55" s="39"/>
      <c r="E55" s="61"/>
      <c r="F55" s="61"/>
      <c r="H55" s="154"/>
    </row>
    <row r="56" spans="1:11" x14ac:dyDescent="0.25">
      <c r="B56" s="35" t="s">
        <v>232</v>
      </c>
      <c r="D56" s="39"/>
      <c r="E56" s="61"/>
      <c r="F56" s="66">
        <f>C55*E54</f>
        <v>3.3749999999999988E-2</v>
      </c>
      <c r="H56" s="154"/>
    </row>
    <row r="57" spans="1:11" x14ac:dyDescent="0.25">
      <c r="B57" s="35"/>
      <c r="D57" s="39"/>
      <c r="E57" s="61"/>
      <c r="F57" s="61"/>
      <c r="H57" s="154"/>
    </row>
    <row r="58" spans="1:11" x14ac:dyDescent="0.25">
      <c r="B58" s="35" t="s">
        <v>47</v>
      </c>
      <c r="C58" s="34">
        <f>SUM(C11:C57)</f>
        <v>1</v>
      </c>
      <c r="D58" s="39"/>
      <c r="E58" s="61"/>
      <c r="F58" s="61"/>
      <c r="H58" s="154"/>
    </row>
    <row r="59" spans="1:11" x14ac:dyDescent="0.25">
      <c r="D59" s="39"/>
      <c r="E59" s="61"/>
      <c r="F59" s="61"/>
      <c r="H59" s="154"/>
    </row>
    <row r="60" spans="1:11" x14ac:dyDescent="0.25">
      <c r="B60" s="41" t="s">
        <v>66</v>
      </c>
      <c r="C60" s="46"/>
      <c r="D60" s="67"/>
      <c r="E60" s="62"/>
      <c r="F60" s="68">
        <f>SUM(F12:F56)</f>
        <v>0.67709722222222224</v>
      </c>
      <c r="H60" s="154"/>
    </row>
    <row r="61" spans="1:11" x14ac:dyDescent="0.25">
      <c r="D61" s="39"/>
      <c r="E61" s="61"/>
      <c r="F61" s="61"/>
      <c r="H61" s="154"/>
    </row>
    <row r="62" spans="1:11" x14ac:dyDescent="0.25">
      <c r="A62" s="57">
        <v>2</v>
      </c>
      <c r="B62" s="47" t="s">
        <v>68</v>
      </c>
      <c r="E62" s="61"/>
      <c r="F62" s="61"/>
      <c r="H62" s="154"/>
      <c r="I62" s="1">
        <v>3.4</v>
      </c>
    </row>
    <row r="63" spans="1:11" x14ac:dyDescent="0.25">
      <c r="B63" s="47"/>
      <c r="D63" s="40"/>
      <c r="E63" s="61"/>
      <c r="F63" s="61"/>
      <c r="H63" s="154"/>
      <c r="I63" s="150" t="s">
        <v>269</v>
      </c>
    </row>
    <row r="64" spans="1:11" x14ac:dyDescent="0.25">
      <c r="B64" s="100" t="s">
        <v>213</v>
      </c>
      <c r="D64" s="130" t="s">
        <v>210</v>
      </c>
      <c r="E64" s="130" t="s">
        <v>212</v>
      </c>
      <c r="F64" s="130" t="s">
        <v>211</v>
      </c>
      <c r="H64" s="154"/>
    </row>
    <row r="65" spans="1:19" x14ac:dyDescent="0.25">
      <c r="B65" t="s">
        <v>56</v>
      </c>
      <c r="D65" s="37">
        <v>35</v>
      </c>
      <c r="E65" s="37">
        <v>45</v>
      </c>
      <c r="F65" s="37">
        <v>55</v>
      </c>
      <c r="H65" s="154" t="s">
        <v>137</v>
      </c>
    </row>
    <row r="66" spans="1:19" x14ac:dyDescent="0.25">
      <c r="B66" t="s">
        <v>57</v>
      </c>
      <c r="D66" s="37">
        <v>65</v>
      </c>
      <c r="E66" s="103">
        <f>D66</f>
        <v>65</v>
      </c>
      <c r="F66" s="103">
        <f>D66</f>
        <v>65</v>
      </c>
      <c r="H66" s="154" t="s">
        <v>136</v>
      </c>
    </row>
    <row r="67" spans="1:19" x14ac:dyDescent="0.25">
      <c r="B67" t="s">
        <v>60</v>
      </c>
      <c r="D67" s="37">
        <v>90</v>
      </c>
      <c r="E67" s="103">
        <f>D67</f>
        <v>90</v>
      </c>
      <c r="F67" s="103">
        <f>D67</f>
        <v>90</v>
      </c>
      <c r="H67" s="154" t="s">
        <v>138</v>
      </c>
    </row>
    <row r="68" spans="1:19" x14ac:dyDescent="0.25">
      <c r="D68" s="39"/>
      <c r="E68" s="61"/>
      <c r="F68" s="61"/>
      <c r="H68" s="154"/>
      <c r="K68" s="117" t="s">
        <v>193</v>
      </c>
    </row>
    <row r="69" spans="1:19" ht="30" x14ac:dyDescent="0.25">
      <c r="B69" t="s">
        <v>196</v>
      </c>
      <c r="D69" s="39"/>
      <c r="E69" s="61"/>
      <c r="F69" s="61"/>
      <c r="H69" s="154" t="s">
        <v>238</v>
      </c>
      <c r="J69" s="104"/>
      <c r="K69">
        <v>3</v>
      </c>
      <c r="L69" t="s">
        <v>239</v>
      </c>
    </row>
    <row r="70" spans="1:19" ht="45" x14ac:dyDescent="0.25">
      <c r="D70" s="39"/>
      <c r="E70" s="61"/>
      <c r="F70" s="61"/>
      <c r="H70" s="154" t="s">
        <v>241</v>
      </c>
      <c r="L70" t="s">
        <v>240</v>
      </c>
    </row>
    <row r="71" spans="1:19" x14ac:dyDescent="0.25">
      <c r="D71" s="131" t="s">
        <v>48</v>
      </c>
      <c r="E71" s="61"/>
      <c r="F71" s="61"/>
      <c r="H71" s="154"/>
      <c r="L71" t="s">
        <v>198</v>
      </c>
      <c r="O71" s="6"/>
    </row>
    <row r="72" spans="1:19" x14ac:dyDescent="0.25">
      <c r="A72" s="57" t="s">
        <v>113</v>
      </c>
      <c r="B72" t="s">
        <v>55</v>
      </c>
      <c r="D72" s="61">
        <v>0.7</v>
      </c>
      <c r="E72" s="61"/>
      <c r="F72" s="61"/>
      <c r="H72" s="154" t="s">
        <v>132</v>
      </c>
      <c r="S72" s="104"/>
    </row>
    <row r="73" spans="1:19" x14ac:dyDescent="0.25">
      <c r="D73" s="1"/>
      <c r="E73" s="105"/>
      <c r="F73" s="61"/>
      <c r="H73" s="154"/>
    </row>
    <row r="74" spans="1:19" ht="30" customHeight="1" x14ac:dyDescent="0.25">
      <c r="A74" s="57" t="s">
        <v>114</v>
      </c>
      <c r="B74" t="s">
        <v>285</v>
      </c>
      <c r="D74" s="61">
        <v>0.4</v>
      </c>
      <c r="E74" s="61"/>
      <c r="F74" s="61"/>
      <c r="G74" s="110"/>
      <c r="H74" s="154" t="s">
        <v>249</v>
      </c>
    </row>
    <row r="75" spans="1:19" x14ac:dyDescent="0.25">
      <c r="A75" s="57" t="s">
        <v>115</v>
      </c>
      <c r="B75" t="s">
        <v>286</v>
      </c>
      <c r="D75" s="61">
        <v>0</v>
      </c>
      <c r="E75" s="61"/>
      <c r="F75" s="61"/>
      <c r="H75" s="154" t="s">
        <v>133</v>
      </c>
      <c r="O75" s="6"/>
    </row>
    <row r="76" spans="1:19" ht="30" x14ac:dyDescent="0.25">
      <c r="B76" t="s">
        <v>242</v>
      </c>
      <c r="D76" s="132">
        <f>MAX(0,D72-D74-D75)</f>
        <v>0.29999999999999993</v>
      </c>
      <c r="E76" s="61"/>
      <c r="F76" s="61"/>
      <c r="H76" s="154" t="s">
        <v>139</v>
      </c>
      <c r="O76" s="6"/>
    </row>
    <row r="77" spans="1:19" x14ac:dyDescent="0.25">
      <c r="D77" s="39"/>
      <c r="E77" s="61"/>
      <c r="F77" s="61"/>
      <c r="H77" s="154"/>
      <c r="O77" s="6"/>
    </row>
    <row r="78" spans="1:19" x14ac:dyDescent="0.25">
      <c r="B78" t="s">
        <v>216</v>
      </c>
      <c r="D78" s="108">
        <v>0.05</v>
      </c>
      <c r="E78" s="109"/>
      <c r="F78" s="61"/>
      <c r="H78" s="154" t="s">
        <v>134</v>
      </c>
      <c r="O78" s="6"/>
    </row>
    <row r="79" spans="1:19" x14ac:dyDescent="0.25">
      <c r="B79" t="s">
        <v>217</v>
      </c>
      <c r="D79" s="108">
        <v>0.05</v>
      </c>
      <c r="E79" s="61"/>
      <c r="F79" s="61"/>
      <c r="H79" s="154" t="s">
        <v>135</v>
      </c>
    </row>
    <row r="80" spans="1:19" x14ac:dyDescent="0.25">
      <c r="D80" s="1"/>
      <c r="E80" s="1"/>
      <c r="F80" s="1"/>
      <c r="H80" s="154"/>
    </row>
    <row r="81" spans="1:9" x14ac:dyDescent="0.25">
      <c r="B81" t="s">
        <v>61</v>
      </c>
      <c r="D81" s="61">
        <v>0.02</v>
      </c>
      <c r="E81" s="60">
        <f>D81</f>
        <v>0.02</v>
      </c>
      <c r="F81" s="60">
        <f>D81</f>
        <v>0.02</v>
      </c>
      <c r="H81" s="154"/>
    </row>
    <row r="82" spans="1:9" x14ac:dyDescent="0.25">
      <c r="B82" t="s">
        <v>58</v>
      </c>
      <c r="D82" s="69">
        <f t="shared" ref="D82:E82" si="0">IF(OR($K$69=1,AND($K$69=2,D$66-D$65&lt;=$D$79*200)),((1+$D$81)^($D$79*100)-1)/LN(1+$D$81)+2*(1+$D$81)^($D$79*100)*(((1+$D$81)^MAX(0,D$66-D$65-$D$79*100)-1)/LN(1+$D$81)),IF($K$69=2,((1+$D$81)^($D$79*200)-1)/LN(1+$D$81)+3*(1+$D$81)^($D$79*200)*(((1+$D$81)^MAX(0,D$66-D$65-$D$79*200)-1)/LN(1+$D$81)),((1+$D$81)^(D$66-D$65)-1)/LN(1+$D$81)))</f>
        <v>40.972421081715716</v>
      </c>
      <c r="E82" s="69">
        <f t="shared" si="0"/>
        <v>24.539541582550608</v>
      </c>
      <c r="F82" s="69">
        <f>IF(OR($K$69=1,AND($K$69=2,F$66-F$65&lt;=$D$79*200)),((1+$D$81)^($D$79*100)-1)/LN(1+$D$81)+2*(1+$D$81)^($D$79*100)*(((1+$D$81)^MAX(0,F$66-F$65-$D$79*100)-1)/LN(1+$D$81)),IF($K$69=2,((1+$D$81)^($D$79*200)-1)/LN(1+$D$81)+3*(1+$D$81)^($D$79*200)*(((1+$D$81)^MAX(0,F$66-F$65-$D$79*200)-1)/LN(1+$D$81)),((1+$D$81)^(F$66-F$65)-1)/LN(1+$D$81)))</f>
        <v>11.058856823357218</v>
      </c>
      <c r="H82" s="154" t="s">
        <v>141</v>
      </c>
    </row>
    <row r="83" spans="1:9" x14ac:dyDescent="0.25">
      <c r="B83" t="s">
        <v>62</v>
      </c>
      <c r="D83" s="69">
        <f>$D78*D$82+$D79*((1+$D$81)^(D$66-D$65)-1)/LN(1+$D$81)</f>
        <v>4.0972421081715718</v>
      </c>
      <c r="E83" s="69">
        <f t="shared" ref="E83:F83" si="1">$D78*E$82+$D79*((1+$D$81)^(E$66-E$65)-1)/LN(1+$D$81)</f>
        <v>2.453954158255061</v>
      </c>
      <c r="F83" s="69">
        <f t="shared" si="1"/>
        <v>1.1058856823357219</v>
      </c>
      <c r="H83" s="154"/>
    </row>
    <row r="84" spans="1:9" x14ac:dyDescent="0.25">
      <c r="B84" t="s">
        <v>208</v>
      </c>
      <c r="D84" s="61">
        <v>0.01</v>
      </c>
      <c r="E84" s="60">
        <f>D84</f>
        <v>0.01</v>
      </c>
      <c r="F84" s="60">
        <f>D84</f>
        <v>0.01</v>
      </c>
      <c r="H84" s="154"/>
    </row>
    <row r="85" spans="1:9" x14ac:dyDescent="0.25">
      <c r="B85" t="s">
        <v>59</v>
      </c>
      <c r="D85" s="69">
        <f>IF(D84=0,D67-D66,(1-1/(1+D84)^(D67-D66))/LN(1+D84))</f>
        <v>22.133088864688062</v>
      </c>
      <c r="E85" s="69">
        <f>D85</f>
        <v>22.133088864688062</v>
      </c>
      <c r="F85" s="69">
        <f>D85</f>
        <v>22.133088864688062</v>
      </c>
      <c r="H85" s="154" t="s">
        <v>256</v>
      </c>
    </row>
    <row r="86" spans="1:9" x14ac:dyDescent="0.25">
      <c r="D86" s="39"/>
      <c r="E86" s="39"/>
      <c r="F86" s="39"/>
      <c r="H86" s="154"/>
    </row>
    <row r="87" spans="1:9" x14ac:dyDescent="0.25">
      <c r="B87" t="s">
        <v>63</v>
      </c>
      <c r="D87" s="70">
        <f>ROUND(D83/D85,2)</f>
        <v>0.19</v>
      </c>
      <c r="E87" s="70">
        <f>ROUND(E83/E85,2)</f>
        <v>0.11</v>
      </c>
      <c r="F87" s="70">
        <f>ROUND(F83/F85,2)</f>
        <v>0.05</v>
      </c>
      <c r="H87" s="154" t="s">
        <v>142</v>
      </c>
    </row>
    <row r="88" spans="1:9" x14ac:dyDescent="0.25">
      <c r="B88" s="84" t="s">
        <v>180</v>
      </c>
      <c r="D88" s="107">
        <f>ROUND($D78*D$82/D$83*D$87,2)</f>
        <v>0.1</v>
      </c>
      <c r="E88" s="107">
        <f t="shared" ref="E88:F88" si="2">ROUND($D78*E$82/E$83*E$87,2)</f>
        <v>0.06</v>
      </c>
      <c r="F88" s="107">
        <f t="shared" si="2"/>
        <v>0.03</v>
      </c>
      <c r="H88" s="154"/>
    </row>
    <row r="89" spans="1:9" x14ac:dyDescent="0.25">
      <c r="B89" s="84" t="s">
        <v>179</v>
      </c>
      <c r="D89" s="106">
        <f>D87-D88</f>
        <v>0.09</v>
      </c>
      <c r="E89" s="106">
        <f t="shared" ref="E89:F89" si="3">E87-E88</f>
        <v>0.05</v>
      </c>
      <c r="F89" s="106">
        <f t="shared" si="3"/>
        <v>2.0000000000000004E-2</v>
      </c>
      <c r="H89" s="154"/>
    </row>
    <row r="90" spans="1:9" x14ac:dyDescent="0.25">
      <c r="D90" s="1"/>
      <c r="E90" s="1"/>
      <c r="F90" s="1"/>
      <c r="H90" s="154"/>
    </row>
    <row r="91" spans="1:9" x14ac:dyDescent="0.25">
      <c r="B91" t="s">
        <v>64</v>
      </c>
      <c r="D91" s="39">
        <f>$D74+$D75+D87</f>
        <v>0.59000000000000008</v>
      </c>
      <c r="E91" s="39">
        <f>$D74+$D75+E87</f>
        <v>0.51</v>
      </c>
      <c r="F91" s="39">
        <f>$D74+$D75+F87</f>
        <v>0.45</v>
      </c>
      <c r="H91" s="154" t="s">
        <v>143</v>
      </c>
    </row>
    <row r="92" spans="1:9" x14ac:dyDescent="0.25">
      <c r="D92" s="39"/>
      <c r="E92" s="105"/>
      <c r="F92" s="61"/>
      <c r="H92" s="154"/>
    </row>
    <row r="93" spans="1:9" x14ac:dyDescent="0.25">
      <c r="B93" s="41" t="s">
        <v>65</v>
      </c>
      <c r="C93" s="42"/>
      <c r="D93" s="66">
        <f>MIN(1,D91/$D72)</f>
        <v>0.84285714285714297</v>
      </c>
      <c r="E93" s="66">
        <f>MIN(1,E91/$D72)</f>
        <v>0.72857142857142865</v>
      </c>
      <c r="F93" s="66">
        <f>MIN(1,F91/$D72)</f>
        <v>0.6428571428571429</v>
      </c>
      <c r="H93" s="154" t="s">
        <v>144</v>
      </c>
    </row>
    <row r="94" spans="1:9" x14ac:dyDescent="0.25">
      <c r="D94" s="39"/>
      <c r="E94" s="61"/>
      <c r="F94" s="61"/>
      <c r="H94" s="154"/>
    </row>
    <row r="95" spans="1:9" x14ac:dyDescent="0.25">
      <c r="A95" s="57">
        <v>3</v>
      </c>
      <c r="B95" s="48" t="s">
        <v>69</v>
      </c>
      <c r="D95" s="39"/>
      <c r="E95" s="131" t="s">
        <v>48</v>
      </c>
      <c r="F95" s="61"/>
      <c r="H95" s="154"/>
      <c r="I95" s="1">
        <v>3.5</v>
      </c>
    </row>
    <row r="96" spans="1:9" x14ac:dyDescent="0.25">
      <c r="D96" s="39"/>
      <c r="F96" s="61"/>
      <c r="H96" s="154"/>
      <c r="I96" s="150" t="s">
        <v>270</v>
      </c>
    </row>
    <row r="97" spans="1:12" x14ac:dyDescent="0.25">
      <c r="B97" s="36" t="s">
        <v>287</v>
      </c>
      <c r="D97" s="39"/>
      <c r="E97" s="61"/>
      <c r="F97" s="61"/>
      <c r="H97" s="154"/>
    </row>
    <row r="98" spans="1:12" x14ac:dyDescent="0.25">
      <c r="B98" s="3"/>
      <c r="D98" s="39"/>
      <c r="E98" s="61"/>
      <c r="F98" s="61"/>
      <c r="G98" s="56" t="s">
        <v>194</v>
      </c>
      <c r="H98" s="154"/>
      <c r="K98" s="117" t="s">
        <v>193</v>
      </c>
    </row>
    <row r="99" spans="1:12" ht="26.25" customHeight="1" x14ac:dyDescent="0.25">
      <c r="A99" s="80" t="s">
        <v>113</v>
      </c>
      <c r="B99" s="3" t="s">
        <v>123</v>
      </c>
      <c r="C99" s="6"/>
      <c r="D99" s="50"/>
      <c r="E99" s="60">
        <f>IF($K99=0,0,IF($K99=1,0,IF($K99=2,0.25,IF($K99=3,0.5,IF($K99=4,0.75,1)))))</f>
        <v>0.25</v>
      </c>
      <c r="F99" s="61"/>
      <c r="H99" s="153" t="s">
        <v>146</v>
      </c>
      <c r="K99">
        <v>2</v>
      </c>
    </row>
    <row r="100" spans="1:12" ht="26.25" customHeight="1" x14ac:dyDescent="0.25">
      <c r="A100" s="80" t="s">
        <v>114</v>
      </c>
      <c r="B100" s="3" t="s">
        <v>124</v>
      </c>
      <c r="C100" s="6"/>
      <c r="D100" s="50"/>
      <c r="E100" s="60">
        <f>IF($K100=1,1,0)</f>
        <v>0</v>
      </c>
      <c r="F100" s="61"/>
      <c r="H100" s="153" t="s">
        <v>147</v>
      </c>
      <c r="K100">
        <v>2</v>
      </c>
      <c r="L100" t="s">
        <v>197</v>
      </c>
    </row>
    <row r="101" spans="1:12" ht="26.25" customHeight="1" x14ac:dyDescent="0.25">
      <c r="A101" s="80" t="s">
        <v>115</v>
      </c>
      <c r="B101" s="3" t="s">
        <v>125</v>
      </c>
      <c r="C101" s="6"/>
      <c r="D101" s="50"/>
      <c r="E101" s="60">
        <f>IF($K101=0,0,IF($K101=1,0,IF($K101=2,0.25,IF($K101=3,0.5,IF($K101=4,0.75,1)))))</f>
        <v>0.25</v>
      </c>
      <c r="F101" s="61"/>
      <c r="H101" s="153" t="s">
        <v>148</v>
      </c>
      <c r="K101">
        <v>2</v>
      </c>
      <c r="L101" t="s">
        <v>198</v>
      </c>
    </row>
    <row r="102" spans="1:12" ht="26.25" customHeight="1" x14ac:dyDescent="0.25">
      <c r="A102" s="80" t="s">
        <v>116</v>
      </c>
      <c r="B102" s="3" t="s">
        <v>126</v>
      </c>
      <c r="C102" s="6"/>
      <c r="D102" s="50"/>
      <c r="E102" s="60">
        <f>IF($K102=0,0,IF($K102=1,0,IF($K102=2,0.25,IF($K102=3,0.5,IF($K102=4,0.75,1)))))</f>
        <v>0.25</v>
      </c>
      <c r="F102" s="61"/>
      <c r="H102" s="153" t="s">
        <v>149</v>
      </c>
      <c r="K102">
        <v>2</v>
      </c>
    </row>
    <row r="103" spans="1:12" x14ac:dyDescent="0.25">
      <c r="B103" s="3"/>
      <c r="D103" s="39"/>
      <c r="E103" s="61"/>
      <c r="F103" s="61"/>
      <c r="G103" s="55"/>
      <c r="H103" s="154"/>
    </row>
    <row r="104" spans="1:12" x14ac:dyDescent="0.25">
      <c r="B104" s="36" t="s">
        <v>6</v>
      </c>
      <c r="D104" s="39"/>
      <c r="E104" s="61"/>
      <c r="F104" s="61"/>
      <c r="G104" s="55"/>
      <c r="H104" s="154"/>
    </row>
    <row r="105" spans="1:12" x14ac:dyDescent="0.25">
      <c r="B105" s="3"/>
      <c r="D105" s="39"/>
      <c r="E105" s="61"/>
      <c r="F105" s="61"/>
      <c r="G105" s="56" t="s">
        <v>194</v>
      </c>
      <c r="H105" s="154"/>
      <c r="K105" s="117" t="s">
        <v>193</v>
      </c>
    </row>
    <row r="106" spans="1:12" ht="26.25" customHeight="1" x14ac:dyDescent="0.25">
      <c r="A106" s="80" t="s">
        <v>113</v>
      </c>
      <c r="B106" s="3" t="s">
        <v>128</v>
      </c>
      <c r="C106" s="6"/>
      <c r="D106" s="50"/>
      <c r="E106" s="60">
        <f>IF($K106=1,1,0)</f>
        <v>0</v>
      </c>
      <c r="F106" s="61"/>
      <c r="H106" s="153" t="s">
        <v>150</v>
      </c>
      <c r="K106">
        <v>2</v>
      </c>
    </row>
    <row r="107" spans="1:12" ht="26.25" customHeight="1" x14ac:dyDescent="0.25">
      <c r="A107" s="80" t="s">
        <v>114</v>
      </c>
      <c r="B107" s="3" t="s">
        <v>129</v>
      </c>
      <c r="C107" s="6"/>
      <c r="D107" s="50"/>
      <c r="E107" s="60">
        <f>IF($K107=1,1,0)</f>
        <v>0</v>
      </c>
      <c r="F107" s="61"/>
      <c r="H107" s="153" t="s">
        <v>151</v>
      </c>
      <c r="K107">
        <v>2</v>
      </c>
    </row>
    <row r="108" spans="1:12" ht="26.25" customHeight="1" x14ac:dyDescent="0.25">
      <c r="A108" s="80" t="s">
        <v>115</v>
      </c>
      <c r="B108" s="3" t="s">
        <v>130</v>
      </c>
      <c r="C108" s="6"/>
      <c r="D108" s="50"/>
      <c r="E108" s="60">
        <f>IF($K108=0,0,IF($K108=1,0,IF($K108=2,0.25,IF($K108=3,0.5,IF($K108=4,0.75,1)))))</f>
        <v>0.25</v>
      </c>
      <c r="F108" s="61"/>
      <c r="H108" s="153" t="s">
        <v>152</v>
      </c>
      <c r="K108">
        <v>2</v>
      </c>
    </row>
    <row r="109" spans="1:12" x14ac:dyDescent="0.25">
      <c r="B109" s="36"/>
      <c r="D109" s="39"/>
      <c r="E109" s="61"/>
      <c r="F109" s="61"/>
    </row>
    <row r="110" spans="1:12" x14ac:dyDescent="0.25">
      <c r="B110" s="75" t="s">
        <v>233</v>
      </c>
      <c r="C110" s="76"/>
      <c r="D110" s="76"/>
      <c r="E110" s="76"/>
      <c r="F110" s="74">
        <f>AVERAGE(E99:E109)</f>
        <v>0.14285714285714285</v>
      </c>
    </row>
    <row r="111" spans="1:12" x14ac:dyDescent="0.25">
      <c r="B111" s="3"/>
      <c r="C111" s="3"/>
      <c r="D111" s="5"/>
      <c r="E111" s="5"/>
      <c r="F111" s="5"/>
    </row>
    <row r="112" spans="1:12" x14ac:dyDescent="0.25">
      <c r="A112" s="57">
        <v>4</v>
      </c>
      <c r="B112" s="48" t="s">
        <v>155</v>
      </c>
      <c r="D112" s="39"/>
      <c r="E112" s="131" t="s">
        <v>48</v>
      </c>
      <c r="F112" s="61"/>
    </row>
    <row r="113" spans="2:15" x14ac:dyDescent="0.25">
      <c r="D113" s="39"/>
      <c r="E113" s="39"/>
      <c r="F113" s="61"/>
    </row>
    <row r="114" spans="2:15" x14ac:dyDescent="0.25">
      <c r="B114" s="36" t="s">
        <v>73</v>
      </c>
      <c r="D114" s="39"/>
      <c r="E114" s="39"/>
      <c r="F114" s="61"/>
      <c r="I114" s="1">
        <v>3.6</v>
      </c>
      <c r="J114" s="104"/>
    </row>
    <row r="115" spans="2:15" x14ac:dyDescent="0.25">
      <c r="B115" s="36"/>
      <c r="D115" s="39"/>
      <c r="E115" s="39"/>
      <c r="F115" s="61"/>
      <c r="I115" s="150" t="s">
        <v>271</v>
      </c>
    </row>
    <row r="116" spans="2:15" x14ac:dyDescent="0.25">
      <c r="B116" t="s">
        <v>156</v>
      </c>
      <c r="D116" s="39"/>
      <c r="E116" s="61">
        <v>0.7</v>
      </c>
      <c r="F116" s="61"/>
      <c r="G116" s="152" t="s">
        <v>215</v>
      </c>
      <c r="H116" s="154" t="s">
        <v>86</v>
      </c>
    </row>
    <row r="117" spans="2:15" ht="32.25" customHeight="1" x14ac:dyDescent="0.25">
      <c r="B117" t="s">
        <v>74</v>
      </c>
      <c r="D117" s="39"/>
      <c r="E117" s="61">
        <v>0.75</v>
      </c>
      <c r="F117" s="61"/>
      <c r="G117" s="152" t="s">
        <v>251</v>
      </c>
      <c r="H117" s="154" t="s">
        <v>250</v>
      </c>
    </row>
    <row r="118" spans="2:15" x14ac:dyDescent="0.25">
      <c r="D118" s="39"/>
      <c r="E118" s="39"/>
      <c r="F118" s="61"/>
      <c r="G118" s="160"/>
      <c r="H118" s="154"/>
      <c r="O118" s="6"/>
    </row>
    <row r="119" spans="2:15" x14ac:dyDescent="0.25">
      <c r="B119" s="3" t="s">
        <v>75</v>
      </c>
      <c r="D119"/>
      <c r="E119"/>
      <c r="F119" s="66">
        <f>MIN(1,E116/E117)</f>
        <v>0.93333333333333324</v>
      </c>
      <c r="G119" s="152"/>
      <c r="H119" s="154"/>
      <c r="O119" s="6"/>
    </row>
    <row r="120" spans="2:15" x14ac:dyDescent="0.25">
      <c r="D120" s="39"/>
      <c r="E120" s="61"/>
      <c r="F120" s="61"/>
      <c r="G120" s="152"/>
      <c r="H120" s="154"/>
      <c r="O120" s="6"/>
    </row>
    <row r="121" spans="2:15" x14ac:dyDescent="0.25">
      <c r="B121" s="36" t="s">
        <v>4</v>
      </c>
      <c r="D121" s="39"/>
      <c r="E121" s="61"/>
      <c r="F121" s="61"/>
      <c r="G121" s="152"/>
      <c r="H121" s="154"/>
      <c r="O121" s="6"/>
    </row>
    <row r="122" spans="2:15" x14ac:dyDescent="0.25">
      <c r="B122" s="36"/>
      <c r="D122" s="39"/>
      <c r="E122" s="61"/>
      <c r="F122" s="61"/>
      <c r="G122" s="152"/>
      <c r="H122" s="154"/>
      <c r="O122" s="6"/>
    </row>
    <row r="123" spans="2:15" x14ac:dyDescent="0.25">
      <c r="B123" t="s">
        <v>82</v>
      </c>
      <c r="D123" s="39"/>
      <c r="E123" s="37">
        <v>44</v>
      </c>
      <c r="F123" s="61"/>
      <c r="G123" s="152"/>
      <c r="H123" s="154" t="s">
        <v>145</v>
      </c>
      <c r="O123" s="6"/>
    </row>
    <row r="124" spans="2:15" x14ac:dyDescent="0.25">
      <c r="B124" t="s">
        <v>83</v>
      </c>
      <c r="D124" s="39"/>
      <c r="E124" s="61">
        <v>0.48</v>
      </c>
      <c r="F124" s="61"/>
      <c r="G124" s="152"/>
      <c r="H124" s="154" t="s">
        <v>84</v>
      </c>
      <c r="O124" s="6"/>
    </row>
    <row r="125" spans="2:15" ht="30" x14ac:dyDescent="0.25">
      <c r="B125" t="s">
        <v>288</v>
      </c>
      <c r="D125" s="39"/>
      <c r="E125" s="60">
        <f>MAX(0,MIN(1,1-E123/100))</f>
        <v>0.56000000000000005</v>
      </c>
      <c r="F125" s="61"/>
      <c r="G125" s="152"/>
      <c r="H125" s="154" t="s">
        <v>298</v>
      </c>
      <c r="O125" s="6"/>
    </row>
    <row r="126" spans="2:15" x14ac:dyDescent="0.25">
      <c r="D126" s="39"/>
      <c r="E126" s="61"/>
      <c r="F126" s="61"/>
      <c r="O126" s="6"/>
    </row>
    <row r="127" spans="2:15" x14ac:dyDescent="0.25">
      <c r="B127" s="3" t="s">
        <v>234</v>
      </c>
      <c r="D127" s="39"/>
      <c r="E127" s="61"/>
      <c r="F127" s="66">
        <f>1-ABS(E125-E124)/E125</f>
        <v>0.85714285714285698</v>
      </c>
    </row>
    <row r="128" spans="2:15" x14ac:dyDescent="0.25">
      <c r="D128" s="39"/>
      <c r="E128" s="61"/>
      <c r="F128" s="61"/>
    </row>
    <row r="129" spans="1:9" x14ac:dyDescent="0.25">
      <c r="D129" s="39"/>
      <c r="E129" s="61"/>
      <c r="F129" s="61"/>
    </row>
    <row r="130" spans="1:9" x14ac:dyDescent="0.25">
      <c r="B130" s="41" t="s">
        <v>72</v>
      </c>
      <c r="C130" s="42"/>
      <c r="D130" s="67"/>
      <c r="E130" s="62"/>
      <c r="F130" s="66">
        <f>AVERAGE(F119,F127)</f>
        <v>0.89523809523809517</v>
      </c>
    </row>
    <row r="131" spans="1:9" x14ac:dyDescent="0.25">
      <c r="D131" s="39"/>
      <c r="E131" s="61"/>
      <c r="F131" s="61"/>
    </row>
    <row r="132" spans="1:9" x14ac:dyDescent="0.25">
      <c r="A132" s="57">
        <v>5</v>
      </c>
      <c r="B132" s="48" t="s">
        <v>90</v>
      </c>
      <c r="C132" s="50" t="s">
        <v>88</v>
      </c>
      <c r="D132" s="39"/>
      <c r="E132" s="61"/>
      <c r="F132" s="131" t="s">
        <v>48</v>
      </c>
    </row>
    <row r="133" spans="1:9" x14ac:dyDescent="0.25">
      <c r="B133" s="49"/>
      <c r="C133" s="50" t="s">
        <v>0</v>
      </c>
      <c r="D133" s="39"/>
      <c r="E133" s="61"/>
      <c r="F133" s="61"/>
    </row>
    <row r="134" spans="1:9" x14ac:dyDescent="0.25">
      <c r="B134" s="49" t="s">
        <v>87</v>
      </c>
      <c r="C134" s="35">
        <f>IF($K$6=1,'Overall weights'!G16,'Overall weights'!I16)</f>
        <v>0.34</v>
      </c>
      <c r="D134" s="39"/>
      <c r="E134" s="61"/>
      <c r="F134" s="66">
        <f>F60</f>
        <v>0.67709722222222224</v>
      </c>
      <c r="I134" s="1">
        <v>3.2</v>
      </c>
    </row>
    <row r="135" spans="1:9" x14ac:dyDescent="0.25">
      <c r="B135" s="49" t="s">
        <v>54</v>
      </c>
      <c r="C135" s="35">
        <f>IF($K$6=1,'Overall weights'!G17,'Overall weights'!I17)</f>
        <v>0.56000000000000005</v>
      </c>
      <c r="D135" s="39"/>
      <c r="E135" s="61"/>
      <c r="F135" s="66">
        <f>D93</f>
        <v>0.84285714285714297</v>
      </c>
    </row>
    <row r="136" spans="1:9" x14ac:dyDescent="0.25">
      <c r="B136" s="49" t="s">
        <v>233</v>
      </c>
      <c r="C136" s="35">
        <f>IF($K$6=1,'Overall weights'!G18,'Overall weights'!I18)</f>
        <v>9.9999999999999867E-2</v>
      </c>
      <c r="D136" s="39"/>
      <c r="E136" s="61"/>
      <c r="F136" s="66">
        <f>F110</f>
        <v>0.14285714285714285</v>
      </c>
    </row>
    <row r="137" spans="1:9" x14ac:dyDescent="0.25">
      <c r="B137" s="49" t="s">
        <v>235</v>
      </c>
      <c r="C137" s="35" t="str">
        <f>IF($K$6=1,'Overall weights'!G19,"N/A")</f>
        <v>N/A</v>
      </c>
      <c r="D137" s="39"/>
      <c r="E137" s="61"/>
      <c r="F137" s="66" t="str">
        <f>IF($K$6=1,F130,"N/A")</f>
        <v>N/A</v>
      </c>
    </row>
    <row r="138" spans="1:9" x14ac:dyDescent="0.25">
      <c r="C138" s="35"/>
      <c r="D138" s="39"/>
      <c r="E138" s="61"/>
      <c r="F138" s="61"/>
    </row>
    <row r="139" spans="1:9" x14ac:dyDescent="0.25">
      <c r="B139" s="72" t="s">
        <v>275</v>
      </c>
      <c r="C139" s="73">
        <f>SUM(C134:C138)</f>
        <v>1</v>
      </c>
      <c r="D139" s="67"/>
      <c r="E139" s="62"/>
      <c r="F139" s="66">
        <f>IF($K$6=1,SUMPRODUCT(C134:C137,F134:F137),SUMPRODUCT(C134:C136,F134:F136))</f>
        <v>0.71649876984126992</v>
      </c>
    </row>
    <row r="140" spans="1:9" x14ac:dyDescent="0.25">
      <c r="B140" s="57"/>
      <c r="D140" s="39"/>
      <c r="E140" s="61"/>
      <c r="F140" s="61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</sheetData>
  <printOptions horizontalCentered="1"/>
  <pageMargins left="0.25" right="0.25" top="0.5" bottom="0.5" header="0.3" footer="0.3"/>
  <pageSetup scale="50" fitToHeight="3" orientation="landscape" r:id="rId1"/>
  <rowBreaks count="2" manualBreakCount="2">
    <brk id="61" max="7" man="1"/>
    <brk id="111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5</xdr:col>
                    <xdr:colOff>28575</xdr:colOff>
                    <xdr:row>35</xdr:row>
                    <xdr:rowOff>57150</xdr:rowOff>
                  </from>
                  <to>
                    <xdr:col>5</xdr:col>
                    <xdr:colOff>838200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5</xdr:col>
                    <xdr:colOff>38100</xdr:colOff>
                    <xdr:row>36</xdr:row>
                    <xdr:rowOff>38100</xdr:rowOff>
                  </from>
                  <to>
                    <xdr:col>5</xdr:col>
                    <xdr:colOff>847725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5</xdr:col>
                    <xdr:colOff>38100</xdr:colOff>
                    <xdr:row>37</xdr:row>
                    <xdr:rowOff>76200</xdr:rowOff>
                  </from>
                  <to>
                    <xdr:col>5</xdr:col>
                    <xdr:colOff>838200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5</xdr:col>
                    <xdr:colOff>28575</xdr:colOff>
                    <xdr:row>38</xdr:row>
                    <xdr:rowOff>57150</xdr:rowOff>
                  </from>
                  <to>
                    <xdr:col>5</xdr:col>
                    <xdr:colOff>819150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Drop Down 5">
              <controlPr defaultSize="0" autoLine="0" autoPict="0">
                <anchor moveWithCells="1">
                  <from>
                    <xdr:col>5</xdr:col>
                    <xdr:colOff>38100</xdr:colOff>
                    <xdr:row>48</xdr:row>
                    <xdr:rowOff>76200</xdr:rowOff>
                  </from>
                  <to>
                    <xdr:col>5</xdr:col>
                    <xdr:colOff>857250</xdr:colOff>
                    <xdr:row>48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Drop Down 6">
              <controlPr defaultSize="0" autoLine="0" autoPict="0">
                <anchor moveWithCells="1">
                  <from>
                    <xdr:col>5</xdr:col>
                    <xdr:colOff>47625</xdr:colOff>
                    <xdr:row>49</xdr:row>
                    <xdr:rowOff>76200</xdr:rowOff>
                  </from>
                  <to>
                    <xdr:col>5</xdr:col>
                    <xdr:colOff>838200</xdr:colOff>
                    <xdr:row>49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Drop Down 7">
              <controlPr defaultSize="0" autoLine="0" autoPict="0">
                <anchor moveWithCells="1">
                  <from>
                    <xdr:col>5</xdr:col>
                    <xdr:colOff>47625</xdr:colOff>
                    <xdr:row>50</xdr:row>
                    <xdr:rowOff>76200</xdr:rowOff>
                  </from>
                  <to>
                    <xdr:col>5</xdr:col>
                    <xdr:colOff>857250</xdr:colOff>
                    <xdr:row>50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Drop Down 8">
              <controlPr defaultSize="0" autoLine="0" autoPict="0">
                <anchor moveWithCells="1">
                  <from>
                    <xdr:col>5</xdr:col>
                    <xdr:colOff>28575</xdr:colOff>
                    <xdr:row>51</xdr:row>
                    <xdr:rowOff>57150</xdr:rowOff>
                  </from>
                  <to>
                    <xdr:col>5</xdr:col>
                    <xdr:colOff>847725</xdr:colOff>
                    <xdr:row>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Drop Down 10">
              <controlPr defaultSize="0" autoLine="0" autoPict="0">
                <anchor moveWithCells="1">
                  <from>
                    <xdr:col>6</xdr:col>
                    <xdr:colOff>695325</xdr:colOff>
                    <xdr:row>106</xdr:row>
                    <xdr:rowOff>76200</xdr:rowOff>
                  </from>
                  <to>
                    <xdr:col>6</xdr:col>
                    <xdr:colOff>2886075</xdr:colOff>
                    <xdr:row>106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3" name="Drop Down 13">
              <controlPr defaultSize="0" autoLine="0" autoPict="0">
                <anchor moveWithCells="1">
                  <from>
                    <xdr:col>6</xdr:col>
                    <xdr:colOff>695325</xdr:colOff>
                    <xdr:row>98</xdr:row>
                    <xdr:rowOff>76200</xdr:rowOff>
                  </from>
                  <to>
                    <xdr:col>6</xdr:col>
                    <xdr:colOff>2886075</xdr:colOff>
                    <xdr:row>98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4" name="Drop Down 14">
              <controlPr defaultSize="0" autoLine="0" autoPict="0">
                <anchor moveWithCells="1">
                  <from>
                    <xdr:col>6</xdr:col>
                    <xdr:colOff>695325</xdr:colOff>
                    <xdr:row>99</xdr:row>
                    <xdr:rowOff>76200</xdr:rowOff>
                  </from>
                  <to>
                    <xdr:col>6</xdr:col>
                    <xdr:colOff>2886075</xdr:colOff>
                    <xdr:row>99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5" name="Drop Down 15">
              <controlPr defaultSize="0" autoLine="0" autoPict="0">
                <anchor moveWithCells="1">
                  <from>
                    <xdr:col>6</xdr:col>
                    <xdr:colOff>695325</xdr:colOff>
                    <xdr:row>100</xdr:row>
                    <xdr:rowOff>76200</xdr:rowOff>
                  </from>
                  <to>
                    <xdr:col>6</xdr:col>
                    <xdr:colOff>2886075</xdr:colOff>
                    <xdr:row>100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6" name="Drop Down 16">
              <controlPr defaultSize="0" autoLine="0" autoPict="0">
                <anchor moveWithCells="1">
                  <from>
                    <xdr:col>6</xdr:col>
                    <xdr:colOff>695325</xdr:colOff>
                    <xdr:row>101</xdr:row>
                    <xdr:rowOff>76200</xdr:rowOff>
                  </from>
                  <to>
                    <xdr:col>6</xdr:col>
                    <xdr:colOff>2886075</xdr:colOff>
                    <xdr:row>101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7" name="Drop Down 17">
              <controlPr defaultSize="0" autoLine="0" autoPict="0">
                <anchor moveWithCells="1">
                  <from>
                    <xdr:col>3</xdr:col>
                    <xdr:colOff>76200</xdr:colOff>
                    <xdr:row>68</xdr:row>
                    <xdr:rowOff>57150</xdr:rowOff>
                  </from>
                  <to>
                    <xdr:col>4</xdr:col>
                    <xdr:colOff>647700</xdr:colOff>
                    <xdr:row>68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8" name="Drop Down 18">
              <controlPr defaultSize="0" autoLine="0" autoPict="0">
                <anchor moveWithCells="1">
                  <from>
                    <xdr:col>5</xdr:col>
                    <xdr:colOff>28575</xdr:colOff>
                    <xdr:row>24</xdr:row>
                    <xdr:rowOff>57150</xdr:rowOff>
                  </from>
                  <to>
                    <xdr:col>5</xdr:col>
                    <xdr:colOff>838200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9" name="Drop Down 19">
              <controlPr defaultSize="0" autoLine="0" autoPict="0">
                <anchor moveWithCells="1">
                  <from>
                    <xdr:col>5</xdr:col>
                    <xdr:colOff>28575</xdr:colOff>
                    <xdr:row>25</xdr:row>
                    <xdr:rowOff>57150</xdr:rowOff>
                  </from>
                  <to>
                    <xdr:col>5</xdr:col>
                    <xdr:colOff>838200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0" name="Drop Down 20">
              <controlPr defaultSize="0" autoLine="0" autoPict="0">
                <anchor moveWithCells="1">
                  <from>
                    <xdr:col>5</xdr:col>
                    <xdr:colOff>28575</xdr:colOff>
                    <xdr:row>26</xdr:row>
                    <xdr:rowOff>57150</xdr:rowOff>
                  </from>
                  <to>
                    <xdr:col>5</xdr:col>
                    <xdr:colOff>838200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1" name="Drop Down 21">
              <controlPr defaultSize="0" autoLine="0" autoPict="0">
                <anchor moveWithCells="1">
                  <from>
                    <xdr:col>5</xdr:col>
                    <xdr:colOff>28575</xdr:colOff>
                    <xdr:row>27</xdr:row>
                    <xdr:rowOff>57150</xdr:rowOff>
                  </from>
                  <to>
                    <xdr:col>5</xdr:col>
                    <xdr:colOff>838200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2" name="Drop Down 22">
              <controlPr defaultSize="0" autoLine="0" autoPict="0">
                <anchor moveWithCells="1">
                  <from>
                    <xdr:col>2</xdr:col>
                    <xdr:colOff>152400</xdr:colOff>
                    <xdr:row>3</xdr:row>
                    <xdr:rowOff>171450</xdr:rowOff>
                  </from>
                  <to>
                    <xdr:col>3</xdr:col>
                    <xdr:colOff>95250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3" name="Drop Down 28">
              <controlPr defaultSize="0" autoLine="0" autoPict="0">
                <anchor moveWithCells="1">
                  <from>
                    <xdr:col>6</xdr:col>
                    <xdr:colOff>695325</xdr:colOff>
                    <xdr:row>105</xdr:row>
                    <xdr:rowOff>76200</xdr:rowOff>
                  </from>
                  <to>
                    <xdr:col>6</xdr:col>
                    <xdr:colOff>2886075</xdr:colOff>
                    <xdr:row>105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4" name="Drop Down 29">
              <controlPr defaultSize="0" autoLine="0" autoPict="0">
                <anchor moveWithCells="1">
                  <from>
                    <xdr:col>6</xdr:col>
                    <xdr:colOff>695325</xdr:colOff>
                    <xdr:row>107</xdr:row>
                    <xdr:rowOff>76200</xdr:rowOff>
                  </from>
                  <to>
                    <xdr:col>6</xdr:col>
                    <xdr:colOff>2886075</xdr:colOff>
                    <xdr:row>107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3"/>
  <sheetViews>
    <sheetView showGridLines="0" zoomScale="90" zoomScaleNormal="90" workbookViewId="0"/>
  </sheetViews>
  <sheetFormatPr defaultRowHeight="15" x14ac:dyDescent="0.25"/>
  <cols>
    <col min="1" max="1" width="4.7109375" customWidth="1"/>
    <col min="2" max="2" width="57" customWidth="1"/>
    <col min="3" max="3" width="25.28515625" customWidth="1"/>
    <col min="4" max="4" width="21" customWidth="1"/>
    <col min="5" max="5" width="20.5703125" customWidth="1"/>
  </cols>
  <sheetData>
    <row r="2" spans="2:3" ht="21" x14ac:dyDescent="0.35">
      <c r="B2" s="119" t="s">
        <v>158</v>
      </c>
    </row>
    <row r="3" spans="2:3" ht="21" x14ac:dyDescent="0.35">
      <c r="B3" s="119" t="s">
        <v>157</v>
      </c>
    </row>
    <row r="4" spans="2:3" x14ac:dyDescent="0.25">
      <c r="B4" s="57"/>
    </row>
    <row r="5" spans="2:3" x14ac:dyDescent="0.25">
      <c r="B5" s="48" t="s">
        <v>177</v>
      </c>
    </row>
    <row r="6" spans="2:3" x14ac:dyDescent="0.25">
      <c r="C6" s="104"/>
    </row>
    <row r="7" spans="2:3" x14ac:dyDescent="0.25">
      <c r="B7" s="48" t="s">
        <v>176</v>
      </c>
      <c r="C7" s="104"/>
    </row>
    <row r="8" spans="2:3" x14ac:dyDescent="0.25">
      <c r="B8" s="3" t="s">
        <v>117</v>
      </c>
      <c r="C8" s="6" t="str">
        <f>'DC Framework-Canada'!G12</f>
        <v>Up to 5% of basic salary + bonus</v>
      </c>
    </row>
    <row r="9" spans="2:3" x14ac:dyDescent="0.25">
      <c r="B9" s="3" t="s">
        <v>98</v>
      </c>
      <c r="C9" s="6" t="str">
        <f>'DC Framework-Canada'!G13</f>
        <v>Matching is 100% of contributions up to 5%</v>
      </c>
    </row>
    <row r="10" spans="2:3" x14ac:dyDescent="0.25">
      <c r="B10" s="3" t="s">
        <v>273</v>
      </c>
      <c r="C10" s="6" t="str">
        <f>'DC Framework-Canada'!G15</f>
        <v>Available option</v>
      </c>
    </row>
    <row r="11" spans="2:3" x14ac:dyDescent="0.25">
      <c r="B11" s="3" t="s">
        <v>100</v>
      </c>
      <c r="C11" s="6" t="str">
        <f>'DC Framework-Canada'!G16</f>
        <v>Up to a maximum of 12%</v>
      </c>
    </row>
    <row r="13" spans="2:3" x14ac:dyDescent="0.25">
      <c r="B13" s="3" t="s">
        <v>8</v>
      </c>
      <c r="C13" s="7" t="str">
        <f>'DC Framework-Canada'!G25</f>
        <v>Fees are 45 bps for assets of $250 M</v>
      </c>
    </row>
    <row r="14" spans="2:3" x14ac:dyDescent="0.25">
      <c r="B14" t="s">
        <v>118</v>
      </c>
      <c r="C14" s="7" t="str">
        <f>'DC Framework-Canada'!G26</f>
        <v>Menu has limited number of options; index funds are offered</v>
      </c>
    </row>
    <row r="15" spans="2:3" x14ac:dyDescent="0.25">
      <c r="B15" s="3" t="s">
        <v>119</v>
      </c>
      <c r="C15" s="85" t="str">
        <f>'DC Framework-Canada'!G27</f>
        <v>12 fund options</v>
      </c>
    </row>
    <row r="16" spans="2:3" x14ac:dyDescent="0.25">
      <c r="B16" t="s">
        <v>108</v>
      </c>
      <c r="C16" s="7" t="str">
        <f>'DC Framework-Canada'!G28</f>
        <v>Systematic withdrawals offered</v>
      </c>
    </row>
    <row r="18" spans="2:3" x14ac:dyDescent="0.25">
      <c r="B18" s="3" t="s">
        <v>9</v>
      </c>
      <c r="C18" s="133" t="str">
        <f>'DC Framework-Canada'!G36</f>
        <v>20% with 2 years to 100% at 6 years</v>
      </c>
    </row>
    <row r="19" spans="2:3" x14ac:dyDescent="0.25">
      <c r="B19" s="3" t="s">
        <v>103</v>
      </c>
      <c r="C19" s="133" t="str">
        <f>'DC Framework-Canada'!G37</f>
        <v>Hourly &amp; Salaried after one year of service</v>
      </c>
    </row>
    <row r="20" spans="2:3" x14ac:dyDescent="0.25">
      <c r="B20" s="3" t="s">
        <v>282</v>
      </c>
      <c r="C20" s="133" t="str">
        <f>'DC Framework-Canada'!G38</f>
        <v>Yes with 3.00% default</v>
      </c>
    </row>
    <row r="21" spans="2:3" x14ac:dyDescent="0.25">
      <c r="B21" s="3" t="s">
        <v>283</v>
      </c>
      <c r="C21" s="133" t="str">
        <f>'DC Framework-Canada'!G39</f>
        <v>Yes annual 0.50% increase to 6%</v>
      </c>
    </row>
    <row r="23" spans="2:3" x14ac:dyDescent="0.25">
      <c r="B23" s="3" t="s">
        <v>109</v>
      </c>
      <c r="C23" s="161" t="str">
        <f>'DC Framework-Canada'!G49</f>
        <v>Online account statements, electronic delivery</v>
      </c>
    </row>
    <row r="24" spans="2:3" x14ac:dyDescent="0.25">
      <c r="B24" s="3" t="s">
        <v>120</v>
      </c>
      <c r="C24" s="161" t="str">
        <f>'DC Framework-Canada'!G50</f>
        <v>Online access, robust tools</v>
      </c>
    </row>
    <row r="25" spans="2:3" x14ac:dyDescent="0.25">
      <c r="B25" s="3" t="s">
        <v>121</v>
      </c>
      <c r="C25" s="161" t="str">
        <f>'DC Framework-Canada'!G51</f>
        <v>Annual seminar for pre-retirees</v>
      </c>
    </row>
    <row r="26" spans="2:3" x14ac:dyDescent="0.25">
      <c r="B26" s="3" t="s">
        <v>122</v>
      </c>
      <c r="C26" s="161" t="str">
        <f>'DC Framework-Canada'!G52</f>
        <v>Appropriate for employee group</v>
      </c>
    </row>
    <row r="27" spans="2:3" x14ac:dyDescent="0.25">
      <c r="B27" s="3"/>
    </row>
    <row r="28" spans="2:3" x14ac:dyDescent="0.25">
      <c r="B28" s="87" t="s">
        <v>185</v>
      </c>
    </row>
    <row r="30" spans="2:3" x14ac:dyDescent="0.25">
      <c r="B30" s="89" t="s">
        <v>165</v>
      </c>
      <c r="C30" s="133" t="str">
        <f>IF('DC Framework-Canada'!D75&gt;0,"Other plan offered", "Not currently offered")</f>
        <v>Not currently offered</v>
      </c>
    </row>
    <row r="32" spans="2:3" x14ac:dyDescent="0.25">
      <c r="B32" s="100" t="s">
        <v>231</v>
      </c>
      <c r="C32" s="99"/>
    </row>
    <row r="33" spans="2:5" x14ac:dyDescent="0.25">
      <c r="B33" s="49"/>
      <c r="C33" s="61"/>
    </row>
    <row r="34" spans="2:5" x14ac:dyDescent="0.25">
      <c r="B34" s="140" t="s">
        <v>87</v>
      </c>
      <c r="C34" s="121"/>
      <c r="D34" s="146">
        <f>'DC Framework-Canada'!F134</f>
        <v>0.67709722222222224</v>
      </c>
      <c r="E34" s="137"/>
    </row>
    <row r="35" spans="2:5" x14ac:dyDescent="0.25">
      <c r="B35" s="141" t="s">
        <v>54</v>
      </c>
      <c r="C35" s="123"/>
      <c r="D35" s="147">
        <f>'DC Framework-Canada'!F135</f>
        <v>0.84285714285714297</v>
      </c>
      <c r="E35" s="138"/>
    </row>
    <row r="36" spans="2:5" x14ac:dyDescent="0.25">
      <c r="B36" s="141" t="s">
        <v>233</v>
      </c>
      <c r="C36" s="123"/>
      <c r="D36" s="147">
        <f>'DC Framework-Canada'!F136</f>
        <v>0.14285714285714285</v>
      </c>
      <c r="E36" s="138"/>
    </row>
    <row r="37" spans="2:5" x14ac:dyDescent="0.25">
      <c r="B37" s="141" t="s">
        <v>236</v>
      </c>
      <c r="C37" s="123"/>
      <c r="D37" s="147" t="str">
        <f>'DC Framework-Canada'!F137</f>
        <v>N/A</v>
      </c>
      <c r="E37" s="138"/>
    </row>
    <row r="38" spans="2:5" x14ac:dyDescent="0.25">
      <c r="B38" s="142"/>
      <c r="C38" s="136"/>
      <c r="D38" s="144"/>
      <c r="E38" s="138"/>
    </row>
    <row r="39" spans="2:5" x14ac:dyDescent="0.25">
      <c r="B39" s="143" t="s">
        <v>275</v>
      </c>
      <c r="C39" s="126"/>
      <c r="D39" s="145">
        <f>'DC Framework-Canada'!F139</f>
        <v>0.71649876984126992</v>
      </c>
      <c r="E39" s="139"/>
    </row>
    <row r="56" spans="2:5" x14ac:dyDescent="0.25">
      <c r="B56" s="48" t="s">
        <v>166</v>
      </c>
    </row>
    <row r="57" spans="2:5" x14ac:dyDescent="0.25">
      <c r="B57" t="s">
        <v>167</v>
      </c>
    </row>
    <row r="59" spans="2:5" x14ac:dyDescent="0.25">
      <c r="B59" s="86"/>
      <c r="C59" s="98"/>
      <c r="D59" s="98" t="s">
        <v>181</v>
      </c>
      <c r="E59" s="90"/>
    </row>
    <row r="60" spans="2:5" ht="30" x14ac:dyDescent="0.25">
      <c r="B60" s="91"/>
      <c r="C60" s="92" t="s">
        <v>168</v>
      </c>
      <c r="D60" s="92" t="s">
        <v>169</v>
      </c>
      <c r="E60" s="93" t="s">
        <v>170</v>
      </c>
    </row>
    <row r="61" spans="2:5" x14ac:dyDescent="0.25">
      <c r="B61" s="127" t="s">
        <v>171</v>
      </c>
      <c r="C61" s="94">
        <f>'DC Framework-Canada'!D88</f>
        <v>0.1</v>
      </c>
      <c r="D61" s="94">
        <f>'DC Framework-Canada'!D89</f>
        <v>0.09</v>
      </c>
      <c r="E61" s="95">
        <f>'DC Framework-Canada'!D87</f>
        <v>0.19</v>
      </c>
    </row>
    <row r="62" spans="2:5" x14ac:dyDescent="0.25">
      <c r="B62" s="127" t="s">
        <v>172</v>
      </c>
      <c r="C62" s="94">
        <f>'DC Framework-Canada'!E88</f>
        <v>0.06</v>
      </c>
      <c r="D62" s="94">
        <f>'DC Framework-Canada'!E89</f>
        <v>0.05</v>
      </c>
      <c r="E62" s="95">
        <f>'DC Framework-Canada'!E87</f>
        <v>0.11</v>
      </c>
    </row>
    <row r="63" spans="2:5" x14ac:dyDescent="0.25">
      <c r="B63" s="128" t="s">
        <v>173</v>
      </c>
      <c r="C63" s="96">
        <f>'DC Framework-Canada'!F88</f>
        <v>0.03</v>
      </c>
      <c r="D63" s="96">
        <f>'DC Framework-Canada'!F89</f>
        <v>2.0000000000000004E-2</v>
      </c>
      <c r="E63" s="97">
        <f>'DC Framework-Canada'!F87</f>
        <v>0.05</v>
      </c>
    </row>
    <row r="64" spans="2:5" x14ac:dyDescent="0.25">
      <c r="C64" s="104"/>
    </row>
    <row r="65" spans="2:5" x14ac:dyDescent="0.25">
      <c r="B65" s="48" t="s">
        <v>206</v>
      </c>
      <c r="C65" s="104"/>
    </row>
    <row r="66" spans="2:5" x14ac:dyDescent="0.25">
      <c r="B66" s="48"/>
      <c r="C66" s="104"/>
    </row>
    <row r="67" spans="2:5" x14ac:dyDescent="0.25">
      <c r="B67" s="86"/>
      <c r="C67" s="120"/>
      <c r="D67" s="121"/>
      <c r="E67" s="90"/>
    </row>
    <row r="68" spans="2:5" x14ac:dyDescent="0.25">
      <c r="B68" s="122" t="s">
        <v>247</v>
      </c>
      <c r="D68" s="94">
        <f>'DC Framework-Canada'!D74</f>
        <v>0.4</v>
      </c>
      <c r="E68" s="112"/>
    </row>
    <row r="69" spans="2:5" x14ac:dyDescent="0.25">
      <c r="B69" s="122" t="s">
        <v>204</v>
      </c>
      <c r="D69" s="94">
        <f>'DC Framework-Canada'!D75</f>
        <v>0</v>
      </c>
      <c r="E69" s="112"/>
    </row>
    <row r="70" spans="2:5" x14ac:dyDescent="0.25">
      <c r="B70" s="122" t="s">
        <v>205</v>
      </c>
      <c r="D70" s="96">
        <f>'DC Framework-Canada'!D87</f>
        <v>0.19</v>
      </c>
      <c r="E70" s="112"/>
    </row>
    <row r="71" spans="2:5" x14ac:dyDescent="0.25">
      <c r="B71" s="122" t="s">
        <v>207</v>
      </c>
      <c r="D71" s="94">
        <f>'DC Framework-Canada'!D91</f>
        <v>0.59000000000000008</v>
      </c>
      <c r="E71" s="112"/>
    </row>
    <row r="72" spans="2:5" x14ac:dyDescent="0.25">
      <c r="B72" s="124"/>
      <c r="C72" s="125"/>
      <c r="D72" s="126"/>
      <c r="E72" s="115"/>
    </row>
    <row r="73" spans="2:5" x14ac:dyDescent="0.25">
      <c r="B73" s="123"/>
      <c r="C73" s="129"/>
      <c r="D73" s="123"/>
      <c r="E73" s="123"/>
    </row>
    <row r="74" spans="2:5" x14ac:dyDescent="0.25">
      <c r="B74" s="48" t="s">
        <v>174</v>
      </c>
    </row>
    <row r="76" spans="2:5" x14ac:dyDescent="0.25">
      <c r="B76" t="s">
        <v>182</v>
      </c>
    </row>
    <row r="78" spans="2:5" x14ac:dyDescent="0.25">
      <c r="B78" s="83" t="s">
        <v>190</v>
      </c>
      <c r="C78" s="101">
        <f>'DC Framework-Canada'!D81</f>
        <v>0.02</v>
      </c>
    </row>
    <row r="79" spans="2:5" x14ac:dyDescent="0.25">
      <c r="B79" s="83" t="s">
        <v>183</v>
      </c>
    </row>
    <row r="80" spans="2:5" x14ac:dyDescent="0.25">
      <c r="B80" s="83" t="s">
        <v>175</v>
      </c>
    </row>
    <row r="82" spans="2:3" x14ac:dyDescent="0.25">
      <c r="B82" s="83" t="s">
        <v>55</v>
      </c>
      <c r="C82" s="101">
        <f>'DC Framework-Canada'!D72</f>
        <v>0.7</v>
      </c>
    </row>
    <row r="83" spans="2:3" x14ac:dyDescent="0.25">
      <c r="B83" s="83" t="s">
        <v>186</v>
      </c>
      <c r="C83" s="101">
        <f>'DC Framework-Canada'!D74</f>
        <v>0.4</v>
      </c>
    </row>
    <row r="84" spans="2:3" x14ac:dyDescent="0.25">
      <c r="B84" s="83" t="s">
        <v>189</v>
      </c>
      <c r="C84" s="83">
        <f>'DC Framework-Canada'!D66</f>
        <v>65</v>
      </c>
    </row>
    <row r="85" spans="2:3" x14ac:dyDescent="0.25">
      <c r="B85" s="83" t="s">
        <v>187</v>
      </c>
      <c r="C85" s="83">
        <f>'DC Framework-Canada'!D67</f>
        <v>90</v>
      </c>
    </row>
    <row r="86" spans="2:3" x14ac:dyDescent="0.25">
      <c r="B86" s="83" t="s">
        <v>178</v>
      </c>
      <c r="C86" s="101">
        <f>'DC Framework-Canada'!D84</f>
        <v>0.01</v>
      </c>
    </row>
    <row r="87" spans="2:3" x14ac:dyDescent="0.25">
      <c r="B87" s="83" t="s">
        <v>188</v>
      </c>
      <c r="C87" s="102" t="str">
        <f>CONCATENATE('DC Framework-Canada'!D65,", ",'DC Framework-Canada'!E65,", ",'DC Framework-Canada'!F65)</f>
        <v>35, 45, 55</v>
      </c>
    </row>
    <row r="89" spans="2:3" x14ac:dyDescent="0.25">
      <c r="B89" t="s">
        <v>199</v>
      </c>
    </row>
    <row r="90" spans="2:3" x14ac:dyDescent="0.25">
      <c r="B90" t="s">
        <v>200</v>
      </c>
    </row>
    <row r="92" spans="2:3" x14ac:dyDescent="0.25">
      <c r="B92" t="s">
        <v>248</v>
      </c>
    </row>
    <row r="93" spans="2:3" x14ac:dyDescent="0.25">
      <c r="B93" t="s">
        <v>202</v>
      </c>
    </row>
  </sheetData>
  <printOptions horizontalCentered="1"/>
  <pageMargins left="0.4" right="0.4" top="0.4" bottom="0.4" header="0.2" footer="0.2"/>
  <pageSetup scale="76" fitToHeight="2" orientation="portrait" verticalDpi="0" r:id="rId1"/>
  <rowBreaks count="1" manualBreakCount="1">
    <brk id="5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83"/>
  <sheetViews>
    <sheetView zoomScale="80" zoomScaleNormal="80" workbookViewId="0"/>
  </sheetViews>
  <sheetFormatPr defaultRowHeight="15" x14ac:dyDescent="0.25"/>
  <cols>
    <col min="2" max="2" width="27.28515625" customWidth="1"/>
    <col min="3" max="3" width="17" customWidth="1"/>
    <col min="4" max="4" width="27.28515625" customWidth="1"/>
    <col min="5" max="5" width="16.28515625" customWidth="1"/>
    <col min="6" max="6" width="23.7109375" customWidth="1"/>
  </cols>
  <sheetData>
    <row r="2" spans="2:11" x14ac:dyDescent="0.25">
      <c r="B2" s="9" t="s">
        <v>91</v>
      </c>
      <c r="D2" s="9"/>
    </row>
    <row r="3" spans="2:11" x14ac:dyDescent="0.25">
      <c r="B3" s="8"/>
      <c r="D3" s="8"/>
    </row>
    <row r="4" spans="2:11" x14ac:dyDescent="0.25">
      <c r="B4" s="10" t="s">
        <v>27</v>
      </c>
      <c r="D4" s="10"/>
    </row>
    <row r="5" spans="2:11" ht="15.75" thickBot="1" x14ac:dyDescent="0.3">
      <c r="B5" s="10"/>
      <c r="D5" s="10"/>
      <c r="F5" s="78" t="s">
        <v>101</v>
      </c>
    </row>
    <row r="6" spans="2:11" ht="31.5" customHeight="1" thickBot="1" x14ac:dyDescent="0.3">
      <c r="B6" s="77" t="s">
        <v>92</v>
      </c>
      <c r="C6" s="28">
        <v>1</v>
      </c>
      <c r="D6" s="77" t="s">
        <v>93</v>
      </c>
      <c r="E6" s="28">
        <v>3</v>
      </c>
      <c r="F6" s="16"/>
    </row>
    <row r="7" spans="2:11" ht="30.75" customHeight="1" thickBot="1" x14ac:dyDescent="0.3">
      <c r="B7" s="15" t="str">
        <f>B6</f>
        <v>Benefits provided</v>
      </c>
      <c r="C7" s="28">
        <v>5</v>
      </c>
      <c r="D7" s="77" t="s">
        <v>94</v>
      </c>
      <c r="E7" s="28">
        <v>1</v>
      </c>
      <c r="F7" s="19"/>
    </row>
    <row r="8" spans="2:11" ht="34.5" customHeight="1" thickBot="1" x14ac:dyDescent="0.3">
      <c r="B8" s="15" t="str">
        <f>B7</f>
        <v>Benefits provided</v>
      </c>
      <c r="C8" s="28">
        <v>1</v>
      </c>
      <c r="D8" s="77" t="s">
        <v>95</v>
      </c>
      <c r="E8" s="28">
        <v>1</v>
      </c>
      <c r="F8" s="19"/>
    </row>
    <row r="9" spans="2:11" ht="34.5" customHeight="1" thickBot="1" x14ac:dyDescent="0.3">
      <c r="B9" s="20" t="str">
        <f>D6</f>
        <v>Replacement ratio</v>
      </c>
      <c r="C9" s="28">
        <v>5</v>
      </c>
      <c r="D9" s="20" t="str">
        <f>D7</f>
        <v>Governance and Other</v>
      </c>
      <c r="E9" s="28">
        <v>1</v>
      </c>
      <c r="F9" s="19"/>
    </row>
    <row r="10" spans="2:11" ht="34.5" customHeight="1" thickBot="1" x14ac:dyDescent="0.3">
      <c r="B10" s="20" t="str">
        <f>D6</f>
        <v>Replacement ratio</v>
      </c>
      <c r="C10" s="28">
        <v>1</v>
      </c>
      <c r="D10" s="20" t="str">
        <f>D8</f>
        <v>Plan Success</v>
      </c>
      <c r="E10" s="28">
        <v>1</v>
      </c>
      <c r="F10" s="19"/>
    </row>
    <row r="11" spans="2:11" ht="34.5" customHeight="1" thickBot="1" x14ac:dyDescent="0.3">
      <c r="B11" s="20" t="str">
        <f>D7</f>
        <v>Governance and Other</v>
      </c>
      <c r="C11" s="28">
        <v>1</v>
      </c>
      <c r="D11" s="20" t="str">
        <f>D8</f>
        <v>Plan Success</v>
      </c>
      <c r="E11" s="28">
        <v>3</v>
      </c>
      <c r="F11" s="19"/>
    </row>
    <row r="12" spans="2:11" x14ac:dyDescent="0.25">
      <c r="B12" s="10"/>
      <c r="D12" s="10"/>
    </row>
    <row r="13" spans="2:11" x14ac:dyDescent="0.25">
      <c r="B13" s="22" t="s">
        <v>28</v>
      </c>
      <c r="D13" s="22"/>
      <c r="K13" s="22"/>
    </row>
    <row r="14" spans="2:11" ht="15.75" thickBot="1" x14ac:dyDescent="0.3"/>
    <row r="15" spans="2:11" ht="35.25" customHeight="1" thickBot="1" x14ac:dyDescent="0.3">
      <c r="B15" s="27" t="s">
        <v>45</v>
      </c>
      <c r="C15" s="29" t="str">
        <f>B16</f>
        <v>Benefits provided</v>
      </c>
      <c r="D15" s="29" t="str">
        <f>B17</f>
        <v>Replacement ratio</v>
      </c>
      <c r="E15" s="29" t="str">
        <f>B18</f>
        <v>Governance and Other</v>
      </c>
      <c r="F15" s="29" t="str">
        <f>B19</f>
        <v>Plan Success</v>
      </c>
      <c r="G15" s="12" t="s">
        <v>32</v>
      </c>
      <c r="I15" s="44" t="s">
        <v>96</v>
      </c>
    </row>
    <row r="16" spans="2:11" ht="15.75" thickBot="1" x14ac:dyDescent="0.3">
      <c r="B16" s="23" t="str">
        <f>B6</f>
        <v>Benefits provided</v>
      </c>
      <c r="C16" s="24">
        <v>1</v>
      </c>
      <c r="D16" s="81">
        <f>IF($C$6=1,1/$E$6,$C$6)</f>
        <v>0.33333333333333331</v>
      </c>
      <c r="E16" s="24">
        <f>IF($C$7=1,1/$E$7,$C$7)</f>
        <v>5</v>
      </c>
      <c r="F16" s="24">
        <f>IF($C$8=1,1/$E$8,$C$8)</f>
        <v>1</v>
      </c>
      <c r="G16" s="24">
        <f>ROUND(G31,2)</f>
        <v>0.25</v>
      </c>
      <c r="I16">
        <f>ROUND(G16/SUM($G$16:$G$18),2)</f>
        <v>0.34</v>
      </c>
    </row>
    <row r="17" spans="2:11" ht="17.25" customHeight="1" thickBot="1" x14ac:dyDescent="0.3">
      <c r="B17" s="23" t="str">
        <f>D6</f>
        <v>Replacement ratio</v>
      </c>
      <c r="C17" s="24">
        <f>1/D16</f>
        <v>3</v>
      </c>
      <c r="D17" s="23">
        <v>1</v>
      </c>
      <c r="E17" s="24">
        <f>IF($C$9=1,1/$E$9,$C$9)</f>
        <v>5</v>
      </c>
      <c r="F17" s="24">
        <f>IF($C$10=1,1/$E$10,$C$10)</f>
        <v>1</v>
      </c>
      <c r="G17" s="24">
        <f t="shared" ref="G17:G18" si="0">ROUND(G32,2)</f>
        <v>0.41</v>
      </c>
      <c r="I17">
        <f>ROUND(G17/SUM($G$16:$G$18),2)</f>
        <v>0.56000000000000005</v>
      </c>
    </row>
    <row r="18" spans="2:11" ht="15.75" thickBot="1" x14ac:dyDescent="0.3">
      <c r="B18" s="23" t="str">
        <f>D7</f>
        <v>Governance and Other</v>
      </c>
      <c r="C18" s="24">
        <f>1/E16</f>
        <v>0.2</v>
      </c>
      <c r="D18" s="81">
        <f>1/E17</f>
        <v>0.2</v>
      </c>
      <c r="E18" s="24">
        <v>1</v>
      </c>
      <c r="F18" s="24">
        <f>IF($C$11=1,1/$E$11,$C$11)</f>
        <v>0.33333333333333331</v>
      </c>
      <c r="G18" s="24">
        <f t="shared" si="0"/>
        <v>7.0000000000000007E-2</v>
      </c>
      <c r="I18">
        <f>1-I16-I17</f>
        <v>9.9999999999999867E-2</v>
      </c>
    </row>
    <row r="19" spans="2:11" ht="15.75" thickBot="1" x14ac:dyDescent="0.3">
      <c r="B19" s="23" t="str">
        <f>D8</f>
        <v>Plan Success</v>
      </c>
      <c r="C19" s="24">
        <f>1/F16</f>
        <v>1</v>
      </c>
      <c r="D19" s="23">
        <f>1/E18</f>
        <v>1</v>
      </c>
      <c r="E19" s="24">
        <f>1/F18</f>
        <v>3</v>
      </c>
      <c r="F19" s="24">
        <v>1</v>
      </c>
      <c r="G19" s="24">
        <f>1-SUM(G16:G18)</f>
        <v>0.27</v>
      </c>
    </row>
    <row r="20" spans="2:11" x14ac:dyDescent="0.25">
      <c r="G20" s="18"/>
      <c r="K20" s="30"/>
    </row>
    <row r="21" spans="2:11" x14ac:dyDescent="0.25">
      <c r="B21" s="22" t="s">
        <v>33</v>
      </c>
      <c r="D21" s="22"/>
    </row>
    <row r="22" spans="2:11" x14ac:dyDescent="0.25">
      <c r="C22" t="s">
        <v>34</v>
      </c>
      <c r="K22" s="30"/>
    </row>
    <row r="23" spans="2:11" x14ac:dyDescent="0.25">
      <c r="B23" s="25" t="s">
        <v>35</v>
      </c>
      <c r="C23" s="18">
        <f>SUM(C16:C19)</f>
        <v>5.2</v>
      </c>
      <c r="D23" s="25">
        <f>SUM(D16:D19)</f>
        <v>2.5333333333333332</v>
      </c>
      <c r="E23" s="18">
        <f>SUM(E16:E19)</f>
        <v>14</v>
      </c>
      <c r="F23" s="18">
        <f>SUM(F16:F19)</f>
        <v>3.3333333333333335</v>
      </c>
      <c r="K23" s="30"/>
    </row>
    <row r="24" spans="2:11" x14ac:dyDescent="0.25">
      <c r="G24" s="17" t="s">
        <v>36</v>
      </c>
    </row>
    <row r="25" spans="2:11" x14ac:dyDescent="0.25">
      <c r="B25" s="8" t="s">
        <v>37</v>
      </c>
      <c r="C25">
        <f>C16/C$23</f>
        <v>0.19230769230769229</v>
      </c>
      <c r="D25" s="8">
        <f t="shared" ref="C25:F28" si="1">D16/D$23</f>
        <v>0.13157894736842105</v>
      </c>
      <c r="E25">
        <f t="shared" si="1"/>
        <v>0.35714285714285715</v>
      </c>
      <c r="F25">
        <f t="shared" si="1"/>
        <v>0.3</v>
      </c>
      <c r="G25">
        <f>SUM(C25:F25)</f>
        <v>0.98102949681897056</v>
      </c>
    </row>
    <row r="26" spans="2:11" x14ac:dyDescent="0.25">
      <c r="C26">
        <f>C17/C$23</f>
        <v>0.57692307692307687</v>
      </c>
      <c r="D26">
        <f t="shared" si="1"/>
        <v>0.39473684210526316</v>
      </c>
      <c r="E26">
        <f t="shared" si="1"/>
        <v>0.35714285714285715</v>
      </c>
      <c r="F26">
        <f t="shared" si="1"/>
        <v>0.3</v>
      </c>
      <c r="G26">
        <f>SUM(C26:F26)</f>
        <v>1.6288027761711972</v>
      </c>
    </row>
    <row r="27" spans="2:11" x14ac:dyDescent="0.25">
      <c r="C27">
        <f t="shared" si="1"/>
        <v>3.8461538461538464E-2</v>
      </c>
      <c r="D27">
        <f t="shared" si="1"/>
        <v>7.8947368421052641E-2</v>
      </c>
      <c r="E27">
        <f t="shared" si="1"/>
        <v>7.1428571428571425E-2</v>
      </c>
      <c r="F27">
        <f t="shared" si="1"/>
        <v>9.9999999999999992E-2</v>
      </c>
      <c r="G27">
        <f>SUM(C27:F27)</f>
        <v>0.28883747831116252</v>
      </c>
    </row>
    <row r="28" spans="2:11" x14ac:dyDescent="0.25">
      <c r="C28">
        <f t="shared" si="1"/>
        <v>0.19230769230769229</v>
      </c>
      <c r="D28">
        <f t="shared" si="1"/>
        <v>0.39473684210526316</v>
      </c>
      <c r="E28">
        <f t="shared" si="1"/>
        <v>0.21428571428571427</v>
      </c>
      <c r="F28">
        <f t="shared" si="1"/>
        <v>0.3</v>
      </c>
      <c r="G28">
        <f>SUM(C28:F28)</f>
        <v>1.1013302486986698</v>
      </c>
    </row>
    <row r="30" spans="2:11" x14ac:dyDescent="0.25">
      <c r="G30" s="17" t="s">
        <v>38</v>
      </c>
    </row>
    <row r="31" spans="2:11" x14ac:dyDescent="0.25">
      <c r="C31" s="18"/>
      <c r="E31" s="18"/>
      <c r="F31" s="18"/>
      <c r="G31">
        <f>G25/$C$54</f>
        <v>0.24525737420474264</v>
      </c>
    </row>
    <row r="32" spans="2:11" x14ac:dyDescent="0.25">
      <c r="C32" s="18"/>
      <c r="E32" s="18"/>
      <c r="G32">
        <f>G26/$C$54</f>
        <v>0.40720069404279929</v>
      </c>
    </row>
    <row r="33" spans="2:13" x14ac:dyDescent="0.25">
      <c r="G33">
        <f>G27/$C$54</f>
        <v>7.220936957779063E-2</v>
      </c>
    </row>
    <row r="34" spans="2:13" x14ac:dyDescent="0.25">
      <c r="G34">
        <f>G28/$C$54</f>
        <v>0.27533256217466745</v>
      </c>
    </row>
    <row r="35" spans="2:13" x14ac:dyDescent="0.25">
      <c r="G35">
        <f>SUM(G31:G34)</f>
        <v>1</v>
      </c>
    </row>
    <row r="44" spans="2:13" x14ac:dyDescent="0.25">
      <c r="B44" s="22" t="s">
        <v>39</v>
      </c>
      <c r="D44" s="22"/>
    </row>
    <row r="46" spans="2:13" x14ac:dyDescent="0.25">
      <c r="B46">
        <f>G31</f>
        <v>0.24525737420474264</v>
      </c>
      <c r="C46">
        <f>G32</f>
        <v>0.40720069404279929</v>
      </c>
      <c r="D46">
        <f>G33</f>
        <v>7.220936957779063E-2</v>
      </c>
      <c r="E46">
        <f>G34</f>
        <v>0.27533256217466745</v>
      </c>
      <c r="M46" s="17" t="s">
        <v>46</v>
      </c>
    </row>
    <row r="48" spans="2:13" x14ac:dyDescent="0.25">
      <c r="B48" s="18">
        <f t="shared" ref="B48:E51" si="2">C16</f>
        <v>1</v>
      </c>
      <c r="C48" s="18">
        <f t="shared" si="2"/>
        <v>0.33333333333333331</v>
      </c>
      <c r="D48" s="18">
        <f t="shared" si="2"/>
        <v>5</v>
      </c>
      <c r="E48" s="18">
        <f t="shared" si="2"/>
        <v>1</v>
      </c>
      <c r="F48" s="18">
        <f t="shared" ref="F48:I51" si="3">B$46*B48</f>
        <v>0.24525737420474264</v>
      </c>
      <c r="G48" s="18">
        <f t="shared" si="3"/>
        <v>0.13573356468093309</v>
      </c>
      <c r="H48" s="18">
        <f t="shared" si="3"/>
        <v>0.36104684788895314</v>
      </c>
      <c r="I48" s="18">
        <f t="shared" si="3"/>
        <v>0.27533256217466745</v>
      </c>
      <c r="K48" s="18">
        <f>SUM(F48:I48)</f>
        <v>1.0173703489492962</v>
      </c>
      <c r="L48">
        <f>G31</f>
        <v>0.24525737420474264</v>
      </c>
      <c r="M48">
        <f>K48/L48</f>
        <v>4.1481743505089801</v>
      </c>
    </row>
    <row r="49" spans="2:13" x14ac:dyDescent="0.25">
      <c r="B49" s="18">
        <f t="shared" si="2"/>
        <v>3</v>
      </c>
      <c r="C49" s="18">
        <f t="shared" si="2"/>
        <v>1</v>
      </c>
      <c r="D49" s="18">
        <f t="shared" si="2"/>
        <v>5</v>
      </c>
      <c r="E49" s="18">
        <f t="shared" si="2"/>
        <v>1</v>
      </c>
      <c r="F49" s="18">
        <f t="shared" si="3"/>
        <v>0.73577212261422797</v>
      </c>
      <c r="G49" s="18">
        <f t="shared" si="3"/>
        <v>0.40720069404279929</v>
      </c>
      <c r="H49" s="18">
        <f t="shared" si="3"/>
        <v>0.36104684788895314</v>
      </c>
      <c r="I49" s="18">
        <f t="shared" si="3"/>
        <v>0.27533256217466745</v>
      </c>
      <c r="K49" s="18">
        <f>SUM(F49:I49)</f>
        <v>1.7793522267206479</v>
      </c>
      <c r="L49">
        <f>G32</f>
        <v>0.40720069404279929</v>
      </c>
      <c r="M49">
        <f>K49/L49</f>
        <v>4.3697180597968899</v>
      </c>
    </row>
    <row r="50" spans="2:13" x14ac:dyDescent="0.25">
      <c r="B50" s="18">
        <f t="shared" si="2"/>
        <v>0.2</v>
      </c>
      <c r="C50" s="18">
        <f t="shared" si="2"/>
        <v>0.2</v>
      </c>
      <c r="D50" s="18">
        <f t="shared" si="2"/>
        <v>1</v>
      </c>
      <c r="E50" s="18">
        <f t="shared" si="2"/>
        <v>0.33333333333333331</v>
      </c>
      <c r="F50" s="18">
        <f t="shared" si="3"/>
        <v>4.9051474840948531E-2</v>
      </c>
      <c r="G50" s="18">
        <f t="shared" si="3"/>
        <v>8.1440138808559867E-2</v>
      </c>
      <c r="H50" s="18">
        <f t="shared" si="3"/>
        <v>7.220936957779063E-2</v>
      </c>
      <c r="I50" s="18">
        <f t="shared" si="3"/>
        <v>9.177752072488915E-2</v>
      </c>
      <c r="K50" s="18">
        <f>SUM(F50:I50)</f>
        <v>0.29447850395218816</v>
      </c>
      <c r="L50">
        <f>G33</f>
        <v>7.220936957779063E-2</v>
      </c>
      <c r="M50">
        <f>K50/L50</f>
        <v>4.0781204111600591</v>
      </c>
    </row>
    <row r="51" spans="2:13" x14ac:dyDescent="0.25">
      <c r="B51" s="18">
        <f t="shared" si="2"/>
        <v>1</v>
      </c>
      <c r="C51" s="18">
        <f t="shared" si="2"/>
        <v>1</v>
      </c>
      <c r="D51" s="18">
        <f t="shared" si="2"/>
        <v>3</v>
      </c>
      <c r="E51" s="18">
        <f t="shared" si="2"/>
        <v>1</v>
      </c>
      <c r="F51" s="18">
        <f t="shared" si="3"/>
        <v>0.24525737420474264</v>
      </c>
      <c r="G51" s="18">
        <f t="shared" si="3"/>
        <v>0.40720069404279929</v>
      </c>
      <c r="H51" s="18">
        <f t="shared" si="3"/>
        <v>0.2166281087333719</v>
      </c>
      <c r="I51" s="18">
        <f t="shared" si="3"/>
        <v>0.27533256217466745</v>
      </c>
      <c r="K51" s="18">
        <f>SUM(F51:I51)</f>
        <v>1.1444187391555813</v>
      </c>
      <c r="L51">
        <f>G34</f>
        <v>0.27533256217466745</v>
      </c>
      <c r="M51">
        <f>K51/L51</f>
        <v>4.1564961663690791</v>
      </c>
    </row>
    <row r="54" spans="2:13" x14ac:dyDescent="0.25">
      <c r="B54" t="s">
        <v>40</v>
      </c>
      <c r="C54">
        <v>4</v>
      </c>
    </row>
    <row r="56" spans="2:13" x14ac:dyDescent="0.25">
      <c r="B56" t="s">
        <v>41</v>
      </c>
      <c r="C56">
        <f>SUM(M48:M51)/C54</f>
        <v>4.1881272469587518</v>
      </c>
    </row>
    <row r="58" spans="2:13" x14ac:dyDescent="0.25">
      <c r="B58" t="s">
        <v>42</v>
      </c>
      <c r="C58">
        <f>(C56-C54)/(C54-1)</f>
        <v>6.2709082319583942E-2</v>
      </c>
    </row>
    <row r="60" spans="2:13" x14ac:dyDescent="0.25">
      <c r="B60" t="s">
        <v>43</v>
      </c>
      <c r="C60">
        <f>C58/0.9</f>
        <v>6.9676758132871039E-2</v>
      </c>
    </row>
    <row r="62" spans="2:13" x14ac:dyDescent="0.25">
      <c r="B62" s="22" t="s">
        <v>25</v>
      </c>
      <c r="C62" s="26" t="str">
        <f>IF(C60&lt;0.1,"VERY CONSISTENT (&lt;10%)",IF(C60&lt;0.2,"CONSISTENT (10% to 20%)","NOT CONSISTENT (&gt;20%)"))</f>
        <v>VERY CONSISTENT (&lt;10%)</v>
      </c>
      <c r="D62" s="22"/>
      <c r="E62" s="26"/>
    </row>
    <row r="64" spans="2:13" x14ac:dyDescent="0.25">
      <c r="B64" t="s">
        <v>44</v>
      </c>
    </row>
    <row r="66" spans="2:4" x14ac:dyDescent="0.25">
      <c r="B66" s="9" t="s">
        <v>10</v>
      </c>
    </row>
    <row r="67" spans="2:4" x14ac:dyDescent="0.25">
      <c r="B67" s="9"/>
    </row>
    <row r="68" spans="2:4" x14ac:dyDescent="0.25">
      <c r="B68" t="s">
        <v>11</v>
      </c>
    </row>
    <row r="69" spans="2:4" ht="15.75" thickBot="1" x14ac:dyDescent="0.3"/>
    <row r="70" spans="2:4" ht="15.75" thickBot="1" x14ac:dyDescent="0.3">
      <c r="B70" s="11" t="s">
        <v>12</v>
      </c>
      <c r="C70" s="12" t="s">
        <v>13</v>
      </c>
      <c r="D70" s="12" t="s">
        <v>14</v>
      </c>
    </row>
    <row r="71" spans="2:4" ht="30.75" thickBot="1" x14ac:dyDescent="0.3">
      <c r="B71" s="13">
        <v>1</v>
      </c>
      <c r="C71" s="14" t="s">
        <v>15</v>
      </c>
      <c r="D71" s="14" t="s">
        <v>16</v>
      </c>
    </row>
    <row r="72" spans="2:4" ht="30.75" thickBot="1" x14ac:dyDescent="0.3">
      <c r="B72" s="13">
        <v>3</v>
      </c>
      <c r="C72" s="14" t="s">
        <v>17</v>
      </c>
      <c r="D72" s="14" t="s">
        <v>18</v>
      </c>
    </row>
    <row r="73" spans="2:4" ht="30.75" thickBot="1" x14ac:dyDescent="0.3">
      <c r="B73" s="13">
        <v>5</v>
      </c>
      <c r="C73" s="14" t="s">
        <v>19</v>
      </c>
      <c r="D73" s="14" t="s">
        <v>20</v>
      </c>
    </row>
    <row r="74" spans="2:4" ht="30.75" thickBot="1" x14ac:dyDescent="0.3">
      <c r="B74" s="13">
        <v>7</v>
      </c>
      <c r="C74" s="14" t="s">
        <v>21</v>
      </c>
      <c r="D74" s="14" t="s">
        <v>22</v>
      </c>
    </row>
    <row r="75" spans="2:4" ht="45.75" thickBot="1" x14ac:dyDescent="0.3">
      <c r="B75" s="13">
        <v>9</v>
      </c>
      <c r="C75" s="14" t="s">
        <v>23</v>
      </c>
      <c r="D75" s="14" t="s">
        <v>24</v>
      </c>
    </row>
    <row r="77" spans="2:4" x14ac:dyDescent="0.25">
      <c r="B77" s="9" t="s">
        <v>28</v>
      </c>
    </row>
    <row r="79" spans="2:4" x14ac:dyDescent="0.25">
      <c r="B79" t="s">
        <v>102</v>
      </c>
    </row>
    <row r="80" spans="2:4" x14ac:dyDescent="0.25">
      <c r="B80" s="10" t="s">
        <v>29</v>
      </c>
    </row>
    <row r="81" spans="2:2" x14ac:dyDescent="0.25">
      <c r="B81" s="10" t="s">
        <v>30</v>
      </c>
    </row>
    <row r="82" spans="2:2" x14ac:dyDescent="0.25">
      <c r="B82" s="10"/>
    </row>
    <row r="83" spans="2:2" x14ac:dyDescent="0.25">
      <c r="B83" s="10" t="s">
        <v>31</v>
      </c>
    </row>
  </sheetData>
  <pageMargins left="0.25" right="0.25" top="0.75" bottom="0.75" header="0.3" footer="0.3"/>
  <pageSetup scale="69" firstPageNumber="0" fitToHeight="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zoomScale="80" zoomScaleNormal="80" workbookViewId="0"/>
  </sheetViews>
  <sheetFormatPr defaultRowHeight="15" x14ac:dyDescent="0.25"/>
  <cols>
    <col min="1" max="1" width="8.7109375"/>
    <col min="2" max="2" width="27.42578125" customWidth="1"/>
    <col min="3" max="3" width="16.140625" customWidth="1"/>
    <col min="4" max="4" width="24.28515625" customWidth="1"/>
    <col min="5" max="5" width="15.42578125" customWidth="1"/>
    <col min="6" max="6" width="31" customWidth="1"/>
    <col min="7" max="7" width="17.5703125"/>
    <col min="8" max="1025" width="8.7109375"/>
  </cols>
  <sheetData>
    <row r="2" spans="2:7" x14ac:dyDescent="0.25">
      <c r="B2" s="9" t="s">
        <v>89</v>
      </c>
    </row>
    <row r="3" spans="2:7" x14ac:dyDescent="0.25">
      <c r="B3" s="8"/>
    </row>
    <row r="4" spans="2:7" x14ac:dyDescent="0.25">
      <c r="B4" s="10" t="s">
        <v>26</v>
      </c>
    </row>
    <row r="5" spans="2:7" x14ac:dyDescent="0.25">
      <c r="B5" s="10"/>
      <c r="F5" s="78" t="s">
        <v>101</v>
      </c>
    </row>
    <row r="6" spans="2:7" ht="31.5" customHeight="1" x14ac:dyDescent="0.25">
      <c r="B6" s="77" t="s">
        <v>1</v>
      </c>
      <c r="C6" s="28">
        <v>5</v>
      </c>
      <c r="D6" s="77" t="s">
        <v>153</v>
      </c>
      <c r="E6" s="28">
        <v>1</v>
      </c>
      <c r="F6" s="16"/>
    </row>
    <row r="7" spans="2:7" ht="30.75" customHeight="1" x14ac:dyDescent="0.25">
      <c r="B7" s="15" t="str">
        <f>B6</f>
        <v>Plan design</v>
      </c>
      <c r="C7" s="28">
        <v>5</v>
      </c>
      <c r="D7" s="77" t="s">
        <v>154</v>
      </c>
      <c r="E7" s="28">
        <v>1</v>
      </c>
      <c r="F7" s="19"/>
    </row>
    <row r="8" spans="2:7" ht="34.5" customHeight="1" x14ac:dyDescent="0.25">
      <c r="B8" s="15" t="str">
        <f>B7</f>
        <v>Plan design</v>
      </c>
      <c r="C8" s="28">
        <v>7</v>
      </c>
      <c r="D8" s="77" t="s">
        <v>3</v>
      </c>
      <c r="E8" s="28">
        <v>1</v>
      </c>
      <c r="F8" s="19"/>
    </row>
    <row r="9" spans="2:7" ht="34.5" customHeight="1" x14ac:dyDescent="0.25">
      <c r="B9" s="20" t="str">
        <f>D6</f>
        <v>Investment options</v>
      </c>
      <c r="C9" s="28">
        <v>1</v>
      </c>
      <c r="D9" s="21" t="str">
        <f>D7</f>
        <v>Enrollment design</v>
      </c>
      <c r="E9" s="28">
        <v>1</v>
      </c>
      <c r="F9" s="19"/>
    </row>
    <row r="10" spans="2:7" ht="34.5" customHeight="1" x14ac:dyDescent="0.25">
      <c r="B10" s="20" t="str">
        <f>D6</f>
        <v>Investment options</v>
      </c>
      <c r="C10" s="28">
        <v>3</v>
      </c>
      <c r="D10" s="21" t="str">
        <f>D8</f>
        <v>Communications</v>
      </c>
      <c r="E10" s="28">
        <v>1</v>
      </c>
      <c r="F10" s="19"/>
    </row>
    <row r="11" spans="2:7" ht="34.5" customHeight="1" x14ac:dyDescent="0.25">
      <c r="B11" s="20" t="str">
        <f>D7</f>
        <v>Enrollment design</v>
      </c>
      <c r="C11" s="28">
        <v>3</v>
      </c>
      <c r="D11" s="21" t="str">
        <f>D8</f>
        <v>Communications</v>
      </c>
      <c r="E11" s="28">
        <v>1</v>
      </c>
      <c r="F11" s="19"/>
    </row>
    <row r="12" spans="2:7" x14ac:dyDescent="0.25">
      <c r="B12" s="10"/>
    </row>
    <row r="13" spans="2:7" x14ac:dyDescent="0.25">
      <c r="B13" s="22" t="s">
        <v>28</v>
      </c>
    </row>
    <row r="15" spans="2:7" ht="35.25" customHeight="1" x14ac:dyDescent="0.25">
      <c r="B15" s="27" t="s">
        <v>45</v>
      </c>
      <c r="C15" s="29" t="str">
        <f>B16</f>
        <v>Plan design</v>
      </c>
      <c r="D15" s="29" t="str">
        <f>B17</f>
        <v>Investment options</v>
      </c>
      <c r="E15" s="29" t="str">
        <f>B18</f>
        <v>Enrollment design</v>
      </c>
      <c r="F15" s="29" t="str">
        <f>B19</f>
        <v>Communications</v>
      </c>
      <c r="G15" s="12" t="s">
        <v>32</v>
      </c>
    </row>
    <row r="16" spans="2:7" x14ac:dyDescent="0.25">
      <c r="B16" s="23" t="str">
        <f>B6</f>
        <v>Plan design</v>
      </c>
      <c r="C16" s="24">
        <v>1</v>
      </c>
      <c r="D16" s="24">
        <f>IF($C$6=1,1/$E$6,$C$6)</f>
        <v>5</v>
      </c>
      <c r="E16" s="24">
        <f>IF($C$7=1,1/$E$7,$C$7)</f>
        <v>5</v>
      </c>
      <c r="F16" s="24">
        <f>IF($C$8=1,1/$E$8,$C$8)</f>
        <v>7</v>
      </c>
      <c r="G16" s="24">
        <f>ROUND(G31,2)</f>
        <v>0.61</v>
      </c>
    </row>
    <row r="17" spans="2:11" ht="17.25" customHeight="1" x14ac:dyDescent="0.25">
      <c r="B17" s="23" t="str">
        <f>D6</f>
        <v>Investment options</v>
      </c>
      <c r="C17" s="24">
        <f>1/D16</f>
        <v>0.2</v>
      </c>
      <c r="D17" s="24">
        <v>1</v>
      </c>
      <c r="E17" s="24">
        <f>IF($C$9=1,1/$E$9,$C$9)</f>
        <v>1</v>
      </c>
      <c r="F17" s="24">
        <f>IF($C$10=1,1/$E$10,$C$10)</f>
        <v>3</v>
      </c>
      <c r="G17" s="24">
        <f t="shared" ref="G17:G18" si="0">ROUND(G32,2)</f>
        <v>0.15</v>
      </c>
    </row>
    <row r="18" spans="2:11" x14ac:dyDescent="0.25">
      <c r="B18" s="23" t="str">
        <f>D7</f>
        <v>Enrollment design</v>
      </c>
      <c r="C18" s="24">
        <f>1/E16</f>
        <v>0.2</v>
      </c>
      <c r="D18" s="24">
        <f>1/E17</f>
        <v>1</v>
      </c>
      <c r="E18" s="24">
        <v>1</v>
      </c>
      <c r="F18" s="24">
        <f>IF($C$11=1,1/$E$11,$C$11)</f>
        <v>3</v>
      </c>
      <c r="G18" s="24">
        <f t="shared" si="0"/>
        <v>0.15</v>
      </c>
    </row>
    <row r="19" spans="2:11" x14ac:dyDescent="0.25">
      <c r="B19" s="23" t="str">
        <f>D8</f>
        <v>Communications</v>
      </c>
      <c r="C19" s="24">
        <f>1/F16</f>
        <v>0.14285714285714285</v>
      </c>
      <c r="D19" s="24">
        <f>1/E18</f>
        <v>1</v>
      </c>
      <c r="E19" s="24">
        <f>1/F18</f>
        <v>0.33333333333333331</v>
      </c>
      <c r="F19" s="24">
        <v>1</v>
      </c>
      <c r="G19" s="24">
        <f>1-SUM(G16:G18)</f>
        <v>8.9999999999999969E-2</v>
      </c>
    </row>
    <row r="20" spans="2:11" x14ac:dyDescent="0.25">
      <c r="G20" s="18"/>
      <c r="K20" s="30"/>
    </row>
    <row r="21" spans="2:11" x14ac:dyDescent="0.25">
      <c r="B21" s="22" t="s">
        <v>33</v>
      </c>
    </row>
    <row r="22" spans="2:11" x14ac:dyDescent="0.25">
      <c r="K22" s="30"/>
    </row>
    <row r="23" spans="2:11" x14ac:dyDescent="0.25">
      <c r="B23" s="25" t="s">
        <v>35</v>
      </c>
      <c r="C23" s="18">
        <f>SUM(C16:C19)</f>
        <v>1.5428571428571427</v>
      </c>
      <c r="D23" s="18">
        <f>SUM(D16:D19)</f>
        <v>8</v>
      </c>
      <c r="E23" s="18">
        <f>SUM(E16:E19)</f>
        <v>7.333333333333333</v>
      </c>
      <c r="F23" s="18">
        <f>SUM(F16:F19)</f>
        <v>14</v>
      </c>
      <c r="K23" s="30"/>
    </row>
    <row r="24" spans="2:11" x14ac:dyDescent="0.25">
      <c r="G24" s="17" t="s">
        <v>36</v>
      </c>
    </row>
    <row r="25" spans="2:11" x14ac:dyDescent="0.25">
      <c r="B25" s="8" t="s">
        <v>37</v>
      </c>
      <c r="C25">
        <f t="shared" ref="C25:F28" si="1">C16/C$23</f>
        <v>0.64814814814814825</v>
      </c>
      <c r="D25">
        <f t="shared" si="1"/>
        <v>0.625</v>
      </c>
      <c r="E25">
        <f t="shared" si="1"/>
        <v>0.68181818181818188</v>
      </c>
      <c r="F25">
        <f t="shared" si="1"/>
        <v>0.5</v>
      </c>
      <c r="G25">
        <f>SUM(C25:F25)</f>
        <v>2.4549663299663305</v>
      </c>
    </row>
    <row r="26" spans="2:11" x14ac:dyDescent="0.25">
      <c r="C26">
        <f t="shared" si="1"/>
        <v>0.12962962962962965</v>
      </c>
      <c r="D26">
        <f t="shared" si="1"/>
        <v>0.125</v>
      </c>
      <c r="E26">
        <f t="shared" si="1"/>
        <v>0.13636363636363638</v>
      </c>
      <c r="F26">
        <f t="shared" si="1"/>
        <v>0.21428571428571427</v>
      </c>
      <c r="G26">
        <f>SUM(C26:F26)</f>
        <v>0.60527898027898031</v>
      </c>
    </row>
    <row r="27" spans="2:11" x14ac:dyDescent="0.25">
      <c r="C27">
        <f t="shared" si="1"/>
        <v>0.12962962962962965</v>
      </c>
      <c r="D27">
        <f t="shared" si="1"/>
        <v>0.125</v>
      </c>
      <c r="E27">
        <f t="shared" si="1"/>
        <v>0.13636363636363638</v>
      </c>
      <c r="F27">
        <f t="shared" si="1"/>
        <v>0.21428571428571427</v>
      </c>
      <c r="G27">
        <f>SUM(C27:F27)</f>
        <v>0.60527898027898031</v>
      </c>
    </row>
    <row r="28" spans="2:11" x14ac:dyDescent="0.25">
      <c r="C28">
        <f t="shared" si="1"/>
        <v>9.2592592592592601E-2</v>
      </c>
      <c r="D28">
        <f t="shared" si="1"/>
        <v>0.125</v>
      </c>
      <c r="E28">
        <f t="shared" si="1"/>
        <v>4.5454545454545456E-2</v>
      </c>
      <c r="F28">
        <f t="shared" si="1"/>
        <v>7.1428571428571425E-2</v>
      </c>
      <c r="G28">
        <f>SUM(C28:F28)</f>
        <v>0.33447570947570948</v>
      </c>
    </row>
    <row r="29" spans="2:11" x14ac:dyDescent="0.25">
      <c r="E29" s="3"/>
    </row>
    <row r="30" spans="2:11" x14ac:dyDescent="0.25">
      <c r="E30" s="3"/>
      <c r="G30" s="17" t="s">
        <v>38</v>
      </c>
    </row>
    <row r="31" spans="2:11" x14ac:dyDescent="0.25">
      <c r="C31" s="18"/>
      <c r="D31" s="18"/>
      <c r="E31" s="18"/>
      <c r="F31" s="18"/>
      <c r="G31">
        <f>G25/$C$47</f>
        <v>0.61374158249158262</v>
      </c>
    </row>
    <row r="32" spans="2:11" x14ac:dyDescent="0.25">
      <c r="C32" s="18"/>
      <c r="G32">
        <f>G26/$C$47</f>
        <v>0.15131974506974508</v>
      </c>
    </row>
    <row r="33" spans="2:13" x14ac:dyDescent="0.25">
      <c r="G33">
        <f>G27/$C$47</f>
        <v>0.15131974506974508</v>
      </c>
    </row>
    <row r="34" spans="2:13" x14ac:dyDescent="0.25">
      <c r="G34">
        <f>G28/$C$47</f>
        <v>8.361892736892737E-2</v>
      </c>
    </row>
    <row r="35" spans="2:13" x14ac:dyDescent="0.25">
      <c r="G35">
        <f>SUM(G31:G34)</f>
        <v>1.0000000000000002</v>
      </c>
    </row>
    <row r="37" spans="2:13" x14ac:dyDescent="0.25">
      <c r="B37" s="22" t="s">
        <v>39</v>
      </c>
    </row>
    <row r="39" spans="2:13" x14ac:dyDescent="0.25">
      <c r="B39">
        <f>G31</f>
        <v>0.61374158249158262</v>
      </c>
      <c r="C39">
        <f>G32</f>
        <v>0.15131974506974508</v>
      </c>
      <c r="D39">
        <f>G33</f>
        <v>0.15131974506974508</v>
      </c>
      <c r="E39">
        <f>G34</f>
        <v>8.361892736892737E-2</v>
      </c>
      <c r="M39" s="17" t="s">
        <v>46</v>
      </c>
    </row>
    <row r="41" spans="2:13" x14ac:dyDescent="0.25">
      <c r="B41" s="18">
        <f t="shared" ref="B41:E44" si="2">C16</f>
        <v>1</v>
      </c>
      <c r="C41" s="18">
        <f t="shared" si="2"/>
        <v>5</v>
      </c>
      <c r="D41" s="18">
        <f t="shared" si="2"/>
        <v>5</v>
      </c>
      <c r="E41" s="18">
        <f t="shared" si="2"/>
        <v>7</v>
      </c>
      <c r="F41" s="18">
        <f t="shared" ref="F41:I44" si="3">B$39*B41</f>
        <v>0.61374158249158262</v>
      </c>
      <c r="G41" s="18">
        <f t="shared" si="3"/>
        <v>0.75659872534872541</v>
      </c>
      <c r="H41" s="18">
        <f t="shared" si="3"/>
        <v>0.75659872534872541</v>
      </c>
      <c r="I41" s="18">
        <f t="shared" si="3"/>
        <v>0.58533249158249157</v>
      </c>
      <c r="K41" s="18">
        <f>SUM(F41:I41)</f>
        <v>2.7122715247715252</v>
      </c>
      <c r="L41">
        <f>G31</f>
        <v>0.61374158249158262</v>
      </c>
      <c r="M41">
        <f>K41/L41</f>
        <v>4.4192402831182189</v>
      </c>
    </row>
    <row r="42" spans="2:13" x14ac:dyDescent="0.25">
      <c r="B42" s="18">
        <f t="shared" si="2"/>
        <v>0.2</v>
      </c>
      <c r="C42" s="18">
        <f t="shared" si="2"/>
        <v>1</v>
      </c>
      <c r="D42" s="18">
        <f t="shared" si="2"/>
        <v>1</v>
      </c>
      <c r="E42" s="18">
        <f t="shared" si="2"/>
        <v>3</v>
      </c>
      <c r="F42" s="18">
        <f t="shared" si="3"/>
        <v>0.12274831649831652</v>
      </c>
      <c r="G42" s="18">
        <f t="shared" si="3"/>
        <v>0.15131974506974508</v>
      </c>
      <c r="H42" s="18">
        <f t="shared" si="3"/>
        <v>0.15131974506974508</v>
      </c>
      <c r="I42" s="18">
        <f t="shared" si="3"/>
        <v>0.25085678210678208</v>
      </c>
      <c r="K42" s="18">
        <f>SUM(F42:I42)</f>
        <v>0.67624458874458881</v>
      </c>
      <c r="L42">
        <f>G32</f>
        <v>0.15131974506974508</v>
      </c>
      <c r="M42">
        <f>K42/L42</f>
        <v>4.4689778484156157</v>
      </c>
    </row>
    <row r="43" spans="2:13" x14ac:dyDescent="0.25">
      <c r="B43" s="18">
        <f t="shared" si="2"/>
        <v>0.2</v>
      </c>
      <c r="C43" s="18">
        <f t="shared" si="2"/>
        <v>1</v>
      </c>
      <c r="D43" s="18">
        <f t="shared" si="2"/>
        <v>1</v>
      </c>
      <c r="E43" s="18">
        <f t="shared" si="2"/>
        <v>3</v>
      </c>
      <c r="F43" s="18">
        <f t="shared" si="3"/>
        <v>0.12274831649831652</v>
      </c>
      <c r="G43" s="18">
        <f t="shared" si="3"/>
        <v>0.15131974506974508</v>
      </c>
      <c r="H43" s="18">
        <f t="shared" si="3"/>
        <v>0.15131974506974508</v>
      </c>
      <c r="I43" s="18">
        <f t="shared" si="3"/>
        <v>0.25085678210678208</v>
      </c>
      <c r="K43" s="18">
        <f>SUM(F43:I43)</f>
        <v>0.67624458874458881</v>
      </c>
      <c r="L43">
        <f>G33</f>
        <v>0.15131974506974508</v>
      </c>
      <c r="M43">
        <f>K43/L43</f>
        <v>4.4689778484156157</v>
      </c>
    </row>
    <row r="44" spans="2:13" x14ac:dyDescent="0.25">
      <c r="B44" s="18">
        <f t="shared" si="2"/>
        <v>0.14285714285714285</v>
      </c>
      <c r="C44" s="18">
        <f t="shared" si="2"/>
        <v>1</v>
      </c>
      <c r="D44" s="18">
        <f t="shared" si="2"/>
        <v>0.33333333333333331</v>
      </c>
      <c r="E44" s="18">
        <f t="shared" si="2"/>
        <v>1</v>
      </c>
      <c r="F44" s="18">
        <f t="shared" si="3"/>
        <v>8.7677368927368937E-2</v>
      </c>
      <c r="G44" s="18">
        <f t="shared" si="3"/>
        <v>0.15131974506974508</v>
      </c>
      <c r="H44" s="18">
        <f t="shared" si="3"/>
        <v>5.0439915023248356E-2</v>
      </c>
      <c r="I44" s="18">
        <f t="shared" si="3"/>
        <v>8.361892736892737E-2</v>
      </c>
      <c r="K44" s="18">
        <f>SUM(F44:I44)</f>
        <v>0.37305595638928979</v>
      </c>
      <c r="L44">
        <f>G34</f>
        <v>8.361892736892737E-2</v>
      </c>
      <c r="M44">
        <f>K44/L44</f>
        <v>4.4613817484570681</v>
      </c>
    </row>
    <row r="47" spans="2:13" x14ac:dyDescent="0.25">
      <c r="B47" t="s">
        <v>40</v>
      </c>
      <c r="C47">
        <v>4</v>
      </c>
    </row>
    <row r="49" spans="2:3" x14ac:dyDescent="0.25">
      <c r="B49" t="s">
        <v>41</v>
      </c>
      <c r="C49">
        <f>SUM(M41:M44)/C47</f>
        <v>4.4546444321016292</v>
      </c>
    </row>
    <row r="51" spans="2:3" x14ac:dyDescent="0.25">
      <c r="B51" t="s">
        <v>42</v>
      </c>
      <c r="C51">
        <f>(C49-C47)/(C47-1)</f>
        <v>0.1515481440338764</v>
      </c>
    </row>
    <row r="53" spans="2:3" x14ac:dyDescent="0.25">
      <c r="B53" t="s">
        <v>43</v>
      </c>
      <c r="C53">
        <f>C51/0.9</f>
        <v>0.1683868267043071</v>
      </c>
    </row>
    <row r="55" spans="2:3" x14ac:dyDescent="0.25">
      <c r="B55" s="22" t="s">
        <v>25</v>
      </c>
      <c r="C55" s="26" t="str">
        <f>IF(C53&lt;0.1,"VERY CONSISTENT (&lt;10%)",IF(C53&lt;0.2,"CONSISTENT (10% to 20%)","NOT CONSISTENT (&gt;20%)"))</f>
        <v>CONSISTENT (10% to 20%)</v>
      </c>
    </row>
  </sheetData>
  <pageMargins left="0.25" right="0.25" top="0.75" bottom="0.75" header="0.3" footer="0.3"/>
  <pageSetup scale="54" firstPageNumber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zoomScale="80" zoomScaleNormal="80" workbookViewId="0"/>
  </sheetViews>
  <sheetFormatPr defaultRowHeight="15" x14ac:dyDescent="0.25"/>
  <cols>
    <col min="2" max="2" width="30.7109375" customWidth="1"/>
    <col min="3" max="3" width="16.7109375" customWidth="1"/>
    <col min="4" max="4" width="30.28515625" customWidth="1"/>
    <col min="5" max="5" width="13.42578125" customWidth="1"/>
    <col min="6" max="6" width="30.140625" customWidth="1"/>
  </cols>
  <sheetData>
    <row r="2" spans="2:9" x14ac:dyDescent="0.25">
      <c r="B2" s="9" t="s">
        <v>97</v>
      </c>
      <c r="D2" s="9"/>
    </row>
    <row r="3" spans="2:9" x14ac:dyDescent="0.25">
      <c r="B3" s="8"/>
      <c r="D3" s="8"/>
    </row>
    <row r="4" spans="2:9" x14ac:dyDescent="0.25">
      <c r="B4" s="10" t="s">
        <v>26</v>
      </c>
      <c r="D4" s="10"/>
    </row>
    <row r="5" spans="2:9" ht="15.75" thickBot="1" x14ac:dyDescent="0.3">
      <c r="B5" s="10"/>
      <c r="D5" s="10"/>
      <c r="F5" s="78" t="s">
        <v>101</v>
      </c>
    </row>
    <row r="6" spans="2:9" ht="31.5" customHeight="1" thickBot="1" x14ac:dyDescent="0.3">
      <c r="B6" s="77" t="s">
        <v>7</v>
      </c>
      <c r="C6" s="28">
        <v>7</v>
      </c>
      <c r="D6" s="77" t="s">
        <v>159</v>
      </c>
      <c r="E6" s="28">
        <v>1</v>
      </c>
      <c r="F6" s="16"/>
    </row>
    <row r="7" spans="2:9" ht="30.75" customHeight="1" thickBot="1" x14ac:dyDescent="0.3">
      <c r="B7" s="15" t="str">
        <f>B6</f>
        <v>Employer contributions</v>
      </c>
      <c r="C7" s="28">
        <v>7</v>
      </c>
      <c r="D7" s="77" t="s">
        <v>99</v>
      </c>
      <c r="E7" s="28">
        <v>1</v>
      </c>
      <c r="F7" s="19"/>
    </row>
    <row r="8" spans="2:9" ht="34.5" customHeight="1" thickBot="1" x14ac:dyDescent="0.3">
      <c r="B8" s="15" t="str">
        <f>B7</f>
        <v>Employer contributions</v>
      </c>
      <c r="C8" s="28">
        <v>7</v>
      </c>
      <c r="D8" s="77" t="s">
        <v>100</v>
      </c>
      <c r="E8" s="28">
        <v>1</v>
      </c>
      <c r="F8" s="19"/>
    </row>
    <row r="9" spans="2:9" ht="34.5" customHeight="1" thickBot="1" x14ac:dyDescent="0.3">
      <c r="B9" s="20" t="str">
        <f>D6</f>
        <v>Roth contributions</v>
      </c>
      <c r="C9" s="28">
        <v>1</v>
      </c>
      <c r="D9" s="20" t="str">
        <f>D7</f>
        <v>Matching leverage</v>
      </c>
      <c r="E9" s="28">
        <v>1</v>
      </c>
      <c r="F9" s="19"/>
    </row>
    <row r="10" spans="2:9" ht="34.5" customHeight="1" thickBot="1" x14ac:dyDescent="0.3">
      <c r="B10" s="20" t="str">
        <f>D6</f>
        <v>Roth contributions</v>
      </c>
      <c r="C10" s="28">
        <v>1</v>
      </c>
      <c r="D10" s="20" t="str">
        <f>D8</f>
        <v>Employee contributions</v>
      </c>
      <c r="E10" s="28">
        <v>1</v>
      </c>
      <c r="F10" s="19"/>
    </row>
    <row r="11" spans="2:9" ht="34.5" customHeight="1" thickBot="1" x14ac:dyDescent="0.3">
      <c r="B11" s="20" t="str">
        <f>D7</f>
        <v>Matching leverage</v>
      </c>
      <c r="C11" s="28">
        <v>1</v>
      </c>
      <c r="D11" s="20" t="str">
        <f>D8</f>
        <v>Employee contributions</v>
      </c>
      <c r="E11" s="28">
        <v>1</v>
      </c>
      <c r="F11" s="19"/>
    </row>
    <row r="12" spans="2:9" x14ac:dyDescent="0.25">
      <c r="B12" s="10"/>
      <c r="D12" s="10"/>
    </row>
    <row r="13" spans="2:9" x14ac:dyDescent="0.25">
      <c r="B13" s="22" t="s">
        <v>28</v>
      </c>
      <c r="D13" s="22"/>
    </row>
    <row r="15" spans="2:9" ht="35.25" customHeight="1" thickBot="1" x14ac:dyDescent="0.3">
      <c r="B15" s="27" t="s">
        <v>45</v>
      </c>
      <c r="C15" s="29" t="str">
        <f>B16</f>
        <v>Employer contributions</v>
      </c>
      <c r="D15" s="29" t="str">
        <f>B17</f>
        <v>Roth contributions</v>
      </c>
      <c r="E15" s="29" t="str">
        <f>B18</f>
        <v>Matching leverage</v>
      </c>
      <c r="F15" s="29" t="str">
        <f>B19</f>
        <v>Employee contributions</v>
      </c>
      <c r="G15" s="12" t="s">
        <v>32</v>
      </c>
      <c r="I15" s="44"/>
    </row>
    <row r="16" spans="2:9" ht="15.75" thickBot="1" x14ac:dyDescent="0.3">
      <c r="B16" s="23" t="str">
        <f>B6</f>
        <v>Employer contributions</v>
      </c>
      <c r="C16" s="24">
        <v>1</v>
      </c>
      <c r="D16" s="24">
        <f>IF($C$6=1,1/$E$6,$C$6)</f>
        <v>7</v>
      </c>
      <c r="E16" s="24">
        <f>IF($C$7=1,1/$E$7,$C$7)</f>
        <v>7</v>
      </c>
      <c r="F16" s="24">
        <f>IF($C$8=1,1/$E$8,$C$8)</f>
        <v>7</v>
      </c>
      <c r="G16" s="24">
        <f>ROUND(G31,2)</f>
        <v>0.7</v>
      </c>
    </row>
    <row r="17" spans="2:11" ht="17.25" customHeight="1" thickBot="1" x14ac:dyDescent="0.3">
      <c r="B17" s="23" t="str">
        <f>D6</f>
        <v>Roth contributions</v>
      </c>
      <c r="C17" s="24">
        <f>1/D16</f>
        <v>0.14285714285714285</v>
      </c>
      <c r="D17" s="24">
        <v>1</v>
      </c>
      <c r="E17" s="24">
        <f>IF($C$9=1,1/$E$9,$C$9)</f>
        <v>1</v>
      </c>
      <c r="F17" s="24">
        <f>IF($C$10=1,1/$E$10,$C$10)</f>
        <v>1</v>
      </c>
      <c r="G17" s="24">
        <f t="shared" ref="G17:G18" si="0">ROUND(G32,2)</f>
        <v>0.1</v>
      </c>
    </row>
    <row r="18" spans="2:11" ht="15.75" thickBot="1" x14ac:dyDescent="0.3">
      <c r="B18" s="23" t="str">
        <f>D7</f>
        <v>Matching leverage</v>
      </c>
      <c r="C18" s="24">
        <f>1/E16</f>
        <v>0.14285714285714285</v>
      </c>
      <c r="D18" s="24">
        <f>1/E17</f>
        <v>1</v>
      </c>
      <c r="E18" s="24">
        <v>1</v>
      </c>
      <c r="F18" s="24">
        <f>IF($C$11=1,1/$E$11,$C$11)</f>
        <v>1</v>
      </c>
      <c r="G18" s="24">
        <f t="shared" si="0"/>
        <v>0.1</v>
      </c>
    </row>
    <row r="19" spans="2:11" ht="15.75" thickBot="1" x14ac:dyDescent="0.3">
      <c r="B19" s="23" t="str">
        <f>D8</f>
        <v>Employee contributions</v>
      </c>
      <c r="C19" s="24">
        <f>1/F16</f>
        <v>0.14285714285714285</v>
      </c>
      <c r="D19" s="24">
        <f>1/E18</f>
        <v>1</v>
      </c>
      <c r="E19" s="24">
        <f>1/F18</f>
        <v>1</v>
      </c>
      <c r="F19" s="24">
        <v>1</v>
      </c>
      <c r="G19" s="24">
        <f>1-SUM(G16:G18)</f>
        <v>0.10000000000000009</v>
      </c>
    </row>
    <row r="20" spans="2:11" x14ac:dyDescent="0.25">
      <c r="G20" s="18"/>
      <c r="K20" s="30"/>
    </row>
    <row r="21" spans="2:11" x14ac:dyDescent="0.25">
      <c r="B21" s="22" t="s">
        <v>33</v>
      </c>
      <c r="D21" s="22"/>
    </row>
    <row r="22" spans="2:11" x14ac:dyDescent="0.25">
      <c r="K22" s="30"/>
    </row>
    <row r="23" spans="2:11" x14ac:dyDescent="0.25">
      <c r="B23" s="25" t="s">
        <v>35</v>
      </c>
      <c r="C23" s="18">
        <f>SUM(C16:C19)</f>
        <v>1.4285714285714284</v>
      </c>
      <c r="D23" s="25">
        <f>SUM(D16:D19)</f>
        <v>10</v>
      </c>
      <c r="E23" s="18">
        <f>SUM(E16:E19)</f>
        <v>10</v>
      </c>
      <c r="F23" s="18">
        <f>SUM(F16:F19)</f>
        <v>10</v>
      </c>
      <c r="K23" s="30"/>
    </row>
    <row r="24" spans="2:11" x14ac:dyDescent="0.25">
      <c r="G24" s="17" t="s">
        <v>36</v>
      </c>
    </row>
    <row r="25" spans="2:11" x14ac:dyDescent="0.25">
      <c r="B25" s="8" t="s">
        <v>37</v>
      </c>
      <c r="C25">
        <f t="shared" ref="C25:F28" si="1">C16/C$23</f>
        <v>0.70000000000000007</v>
      </c>
      <c r="D25" s="8">
        <f t="shared" si="1"/>
        <v>0.7</v>
      </c>
      <c r="E25">
        <f t="shared" si="1"/>
        <v>0.7</v>
      </c>
      <c r="F25">
        <f t="shared" si="1"/>
        <v>0.7</v>
      </c>
      <c r="G25">
        <f>SUM(C25:F25)</f>
        <v>2.8</v>
      </c>
    </row>
    <row r="26" spans="2:11" x14ac:dyDescent="0.25">
      <c r="C26">
        <f t="shared" si="1"/>
        <v>0.1</v>
      </c>
      <c r="D26">
        <f t="shared" si="1"/>
        <v>0.1</v>
      </c>
      <c r="E26">
        <f t="shared" si="1"/>
        <v>0.1</v>
      </c>
      <c r="F26">
        <f t="shared" si="1"/>
        <v>0.1</v>
      </c>
      <c r="G26">
        <f>SUM(C26:F26)</f>
        <v>0.4</v>
      </c>
    </row>
    <row r="27" spans="2:11" x14ac:dyDescent="0.25">
      <c r="C27">
        <f t="shared" si="1"/>
        <v>0.1</v>
      </c>
      <c r="D27">
        <f t="shared" si="1"/>
        <v>0.1</v>
      </c>
      <c r="E27">
        <f t="shared" si="1"/>
        <v>0.1</v>
      </c>
      <c r="F27">
        <f t="shared" si="1"/>
        <v>0.1</v>
      </c>
      <c r="G27">
        <f>SUM(C27:F27)</f>
        <v>0.4</v>
      </c>
    </row>
    <row r="28" spans="2:11" x14ac:dyDescent="0.25">
      <c r="C28">
        <f t="shared" si="1"/>
        <v>0.1</v>
      </c>
      <c r="D28">
        <f t="shared" si="1"/>
        <v>0.1</v>
      </c>
      <c r="E28">
        <f t="shared" si="1"/>
        <v>0.1</v>
      </c>
      <c r="F28">
        <f t="shared" si="1"/>
        <v>0.1</v>
      </c>
      <c r="G28">
        <f>SUM(C28:F28)</f>
        <v>0.4</v>
      </c>
    </row>
    <row r="30" spans="2:11" x14ac:dyDescent="0.25">
      <c r="G30" s="17" t="s">
        <v>38</v>
      </c>
    </row>
    <row r="31" spans="2:11" x14ac:dyDescent="0.25">
      <c r="C31" s="18"/>
      <c r="E31" s="18"/>
      <c r="F31" s="18"/>
      <c r="G31">
        <f>G25/$C$47</f>
        <v>0.7</v>
      </c>
    </row>
    <row r="32" spans="2:11" x14ac:dyDescent="0.25">
      <c r="C32" s="18"/>
      <c r="E32" s="18"/>
      <c r="G32">
        <f>G26/$C$47</f>
        <v>0.1</v>
      </c>
    </row>
    <row r="33" spans="2:13" x14ac:dyDescent="0.25">
      <c r="G33">
        <f>G27/$C$47</f>
        <v>0.1</v>
      </c>
    </row>
    <row r="34" spans="2:13" x14ac:dyDescent="0.25">
      <c r="G34">
        <f>G28/$C$47</f>
        <v>0.1</v>
      </c>
    </row>
    <row r="35" spans="2:13" x14ac:dyDescent="0.25">
      <c r="G35">
        <f>SUM(G31:G34)</f>
        <v>0.99999999999999989</v>
      </c>
    </row>
    <row r="37" spans="2:13" x14ac:dyDescent="0.25">
      <c r="B37" s="22" t="s">
        <v>39</v>
      </c>
      <c r="D37" s="22"/>
    </row>
    <row r="39" spans="2:13" x14ac:dyDescent="0.25">
      <c r="B39">
        <f>G31</f>
        <v>0.7</v>
      </c>
      <c r="C39">
        <f>G32</f>
        <v>0.1</v>
      </c>
      <c r="D39">
        <f>G33</f>
        <v>0.1</v>
      </c>
      <c r="E39">
        <f>G34</f>
        <v>0.1</v>
      </c>
      <c r="M39" s="17" t="s">
        <v>46</v>
      </c>
    </row>
    <row r="41" spans="2:13" x14ac:dyDescent="0.25">
      <c r="B41" s="18">
        <f t="shared" ref="B41:E44" si="2">C16</f>
        <v>1</v>
      </c>
      <c r="C41" s="18">
        <f t="shared" si="2"/>
        <v>7</v>
      </c>
      <c r="D41" s="18">
        <f t="shared" si="2"/>
        <v>7</v>
      </c>
      <c r="E41" s="18">
        <f t="shared" si="2"/>
        <v>7</v>
      </c>
      <c r="F41" s="18">
        <f t="shared" ref="F41:I44" si="3">B$39*B41</f>
        <v>0.7</v>
      </c>
      <c r="G41" s="18">
        <f t="shared" si="3"/>
        <v>0.70000000000000007</v>
      </c>
      <c r="H41" s="18">
        <f t="shared" si="3"/>
        <v>0.70000000000000007</v>
      </c>
      <c r="I41" s="18">
        <f t="shared" si="3"/>
        <v>0.70000000000000007</v>
      </c>
      <c r="K41" s="18">
        <f>SUM(F41:I41)</f>
        <v>2.8000000000000003</v>
      </c>
      <c r="L41">
        <f>G31</f>
        <v>0.7</v>
      </c>
      <c r="M41">
        <f>K41/L41</f>
        <v>4.0000000000000009</v>
      </c>
    </row>
    <row r="42" spans="2:13" x14ac:dyDescent="0.25">
      <c r="B42" s="18">
        <f t="shared" si="2"/>
        <v>0.14285714285714285</v>
      </c>
      <c r="C42" s="18">
        <f t="shared" si="2"/>
        <v>1</v>
      </c>
      <c r="D42" s="18">
        <f t="shared" si="2"/>
        <v>1</v>
      </c>
      <c r="E42" s="18">
        <f t="shared" si="2"/>
        <v>1</v>
      </c>
      <c r="F42" s="18">
        <f t="shared" si="3"/>
        <v>9.9999999999999992E-2</v>
      </c>
      <c r="G42" s="18">
        <f t="shared" si="3"/>
        <v>0.1</v>
      </c>
      <c r="H42" s="18">
        <f t="shared" si="3"/>
        <v>0.1</v>
      </c>
      <c r="I42" s="18">
        <f t="shared" si="3"/>
        <v>0.1</v>
      </c>
      <c r="K42" s="18">
        <f>SUM(F42:I42)</f>
        <v>0.4</v>
      </c>
      <c r="L42">
        <f>G32</f>
        <v>0.1</v>
      </c>
      <c r="M42">
        <f>K42/L42</f>
        <v>4</v>
      </c>
    </row>
    <row r="43" spans="2:13" x14ac:dyDescent="0.25">
      <c r="B43" s="18">
        <f t="shared" si="2"/>
        <v>0.14285714285714285</v>
      </c>
      <c r="C43" s="18">
        <f t="shared" si="2"/>
        <v>1</v>
      </c>
      <c r="D43" s="18">
        <f t="shared" si="2"/>
        <v>1</v>
      </c>
      <c r="E43" s="18">
        <f t="shared" si="2"/>
        <v>1</v>
      </c>
      <c r="F43" s="18">
        <f t="shared" si="3"/>
        <v>9.9999999999999992E-2</v>
      </c>
      <c r="G43" s="18">
        <f t="shared" si="3"/>
        <v>0.1</v>
      </c>
      <c r="H43" s="18">
        <f t="shared" si="3"/>
        <v>0.1</v>
      </c>
      <c r="I43" s="18">
        <f t="shared" si="3"/>
        <v>0.1</v>
      </c>
      <c r="K43" s="18">
        <f>SUM(F43:I43)</f>
        <v>0.4</v>
      </c>
      <c r="L43">
        <f>G33</f>
        <v>0.1</v>
      </c>
      <c r="M43">
        <f>K43/L43</f>
        <v>4</v>
      </c>
    </row>
    <row r="44" spans="2:13" x14ac:dyDescent="0.25">
      <c r="B44" s="18">
        <f t="shared" si="2"/>
        <v>0.14285714285714285</v>
      </c>
      <c r="C44" s="18">
        <f t="shared" si="2"/>
        <v>1</v>
      </c>
      <c r="D44" s="18">
        <f t="shared" si="2"/>
        <v>1</v>
      </c>
      <c r="E44" s="18">
        <f t="shared" si="2"/>
        <v>1</v>
      </c>
      <c r="F44" s="18">
        <f t="shared" si="3"/>
        <v>9.9999999999999992E-2</v>
      </c>
      <c r="G44" s="18">
        <f t="shared" si="3"/>
        <v>0.1</v>
      </c>
      <c r="H44" s="18">
        <f t="shared" si="3"/>
        <v>0.1</v>
      </c>
      <c r="I44" s="18">
        <f t="shared" si="3"/>
        <v>0.1</v>
      </c>
      <c r="K44" s="18">
        <f>SUM(F44:I44)</f>
        <v>0.4</v>
      </c>
      <c r="L44">
        <f>G34</f>
        <v>0.1</v>
      </c>
      <c r="M44">
        <f>K44/L44</f>
        <v>4</v>
      </c>
    </row>
    <row r="47" spans="2:13" x14ac:dyDescent="0.25">
      <c r="B47" t="s">
        <v>40</v>
      </c>
      <c r="C47">
        <v>4</v>
      </c>
    </row>
    <row r="49" spans="2:5" x14ac:dyDescent="0.25">
      <c r="B49" t="s">
        <v>41</v>
      </c>
      <c r="C49">
        <f>SUM(M41:M44)/C47</f>
        <v>4</v>
      </c>
    </row>
    <row r="51" spans="2:5" x14ac:dyDescent="0.25">
      <c r="B51" t="s">
        <v>42</v>
      </c>
      <c r="C51">
        <f>(C49-C47)/(C47-1)</f>
        <v>0</v>
      </c>
    </row>
    <row r="53" spans="2:5" x14ac:dyDescent="0.25">
      <c r="B53" t="s">
        <v>43</v>
      </c>
      <c r="C53">
        <f>C51/0.9</f>
        <v>0</v>
      </c>
    </row>
    <row r="55" spans="2:5" x14ac:dyDescent="0.25">
      <c r="B55" s="22" t="s">
        <v>25</v>
      </c>
      <c r="C55" s="26" t="str">
        <f>IF(C53&lt;0.1,"VERY CONSISTENT (&lt;10%)",IF(C53&lt;0.2,"CONSISTENT (10% to 20%)","NOT CONSISTENT (&gt;20%)"))</f>
        <v>VERY CONSISTENT (&lt;10%)</v>
      </c>
      <c r="D55" s="22"/>
      <c r="E55" s="26"/>
    </row>
  </sheetData>
  <pageMargins left="0.25" right="0.25" top="0.75" bottom="0.75" header="0.3" footer="0.3"/>
  <pageSetup scale="54" firstPageNumber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zoomScale="80" zoomScaleNormal="80" workbookViewId="0"/>
  </sheetViews>
  <sheetFormatPr defaultRowHeight="15" x14ac:dyDescent="0.25"/>
  <cols>
    <col min="2" max="2" width="27.85546875" customWidth="1"/>
    <col min="3" max="3" width="16.28515625" customWidth="1"/>
    <col min="4" max="4" width="26.28515625" customWidth="1"/>
    <col min="5" max="5" width="15" customWidth="1"/>
    <col min="6" max="6" width="37" customWidth="1"/>
  </cols>
  <sheetData>
    <row r="2" spans="2:9" x14ac:dyDescent="0.25">
      <c r="B2" s="9" t="s">
        <v>97</v>
      </c>
      <c r="D2" s="9"/>
    </row>
    <row r="3" spans="2:9" x14ac:dyDescent="0.25">
      <c r="B3" s="8"/>
      <c r="D3" s="8"/>
    </row>
    <row r="4" spans="2:9" x14ac:dyDescent="0.25">
      <c r="B4" s="10" t="s">
        <v>26</v>
      </c>
      <c r="D4" s="10"/>
    </row>
    <row r="5" spans="2:9" ht="15.75" thickBot="1" x14ac:dyDescent="0.3">
      <c r="B5" s="10"/>
      <c r="D5" s="10"/>
      <c r="F5" s="78" t="s">
        <v>101</v>
      </c>
    </row>
    <row r="6" spans="2:9" ht="31.5" customHeight="1" thickBot="1" x14ac:dyDescent="0.3">
      <c r="B6" s="77" t="s">
        <v>8</v>
      </c>
      <c r="C6" s="28">
        <v>7</v>
      </c>
      <c r="D6" s="77" t="s">
        <v>106</v>
      </c>
      <c r="E6" s="28">
        <v>1</v>
      </c>
      <c r="F6" s="16"/>
    </row>
    <row r="7" spans="2:9" ht="30.75" customHeight="1" thickBot="1" x14ac:dyDescent="0.3">
      <c r="B7" s="15" t="str">
        <f>B6</f>
        <v>Fees</v>
      </c>
      <c r="C7" s="28">
        <v>7</v>
      </c>
      <c r="D7" s="77" t="s">
        <v>107</v>
      </c>
      <c r="E7" s="28">
        <v>1</v>
      </c>
      <c r="F7" s="19"/>
    </row>
    <row r="8" spans="2:9" ht="34.5" customHeight="1" thickBot="1" x14ac:dyDescent="0.3">
      <c r="B8" s="15" t="str">
        <f>B7</f>
        <v>Fees</v>
      </c>
      <c r="C8" s="28">
        <v>1</v>
      </c>
      <c r="D8" s="77" t="s">
        <v>108</v>
      </c>
      <c r="E8" s="28">
        <v>1</v>
      </c>
      <c r="F8" s="19"/>
    </row>
    <row r="9" spans="2:9" ht="34.5" customHeight="1" thickBot="1" x14ac:dyDescent="0.3">
      <c r="B9" s="20" t="str">
        <f>D6</f>
        <v>Efficiency of options</v>
      </c>
      <c r="C9" s="28">
        <v>1</v>
      </c>
      <c r="D9" s="20" t="str">
        <f>D7</f>
        <v>Diversification of menu</v>
      </c>
      <c r="E9" s="28">
        <v>1</v>
      </c>
      <c r="F9" s="19"/>
    </row>
    <row r="10" spans="2:9" ht="34.5" customHeight="1" thickBot="1" x14ac:dyDescent="0.3">
      <c r="B10" s="20" t="str">
        <f>D6</f>
        <v>Efficiency of options</v>
      </c>
      <c r="C10" s="28">
        <v>1</v>
      </c>
      <c r="D10" s="20" t="str">
        <f>D8</f>
        <v>Retirement income solutions</v>
      </c>
      <c r="E10" s="28">
        <v>5</v>
      </c>
      <c r="F10" s="19"/>
    </row>
    <row r="11" spans="2:9" ht="34.5" customHeight="1" thickBot="1" x14ac:dyDescent="0.3">
      <c r="B11" s="20" t="str">
        <f>D7</f>
        <v>Diversification of menu</v>
      </c>
      <c r="C11" s="28">
        <v>1</v>
      </c>
      <c r="D11" s="20" t="str">
        <f>D8</f>
        <v>Retirement income solutions</v>
      </c>
      <c r="E11" s="28">
        <v>5</v>
      </c>
      <c r="F11" s="19"/>
    </row>
    <row r="12" spans="2:9" x14ac:dyDescent="0.25">
      <c r="B12" s="10"/>
      <c r="D12" s="10"/>
    </row>
    <row r="13" spans="2:9" x14ac:dyDescent="0.25">
      <c r="B13" s="22" t="s">
        <v>28</v>
      </c>
      <c r="D13" s="22"/>
    </row>
    <row r="14" spans="2:9" ht="15.75" thickBot="1" x14ac:dyDescent="0.3"/>
    <row r="15" spans="2:9" ht="35.25" customHeight="1" thickBot="1" x14ac:dyDescent="0.3">
      <c r="B15" s="27" t="s">
        <v>45</v>
      </c>
      <c r="C15" s="29" t="str">
        <f>B16</f>
        <v>Fees</v>
      </c>
      <c r="D15" s="27" t="str">
        <f>B17</f>
        <v>Efficiency of options</v>
      </c>
      <c r="E15" s="29" t="str">
        <f>B18</f>
        <v>Diversification of menu</v>
      </c>
      <c r="F15" s="29" t="str">
        <f>B19</f>
        <v>Retirement income solutions</v>
      </c>
      <c r="G15" s="12" t="s">
        <v>32</v>
      </c>
      <c r="I15" s="44"/>
    </row>
    <row r="16" spans="2:9" ht="15.75" thickBot="1" x14ac:dyDescent="0.3">
      <c r="B16" s="23" t="str">
        <f>B6</f>
        <v>Fees</v>
      </c>
      <c r="C16" s="24">
        <v>1</v>
      </c>
      <c r="D16" s="24">
        <f>IF($C$6=1,1/$E$6,$C$6)</f>
        <v>7</v>
      </c>
      <c r="E16" s="24">
        <f>IF($C$7=1,1/$E$7,$C$7)</f>
        <v>7</v>
      </c>
      <c r="F16" s="24">
        <f>IF($C$8=1,1/$E$8,$C$8)</f>
        <v>1</v>
      </c>
      <c r="G16" s="24">
        <f>ROUND(G31,2)</f>
        <v>0.51</v>
      </c>
    </row>
    <row r="17" spans="2:11" ht="17.25" customHeight="1" thickBot="1" x14ac:dyDescent="0.3">
      <c r="B17" s="23" t="str">
        <f>D6</f>
        <v>Efficiency of options</v>
      </c>
      <c r="C17" s="24">
        <f>1/D16</f>
        <v>0.14285714285714285</v>
      </c>
      <c r="D17" s="24">
        <v>1</v>
      </c>
      <c r="E17" s="24">
        <f>IF($C$9=1,1/$E$9,$C$9)</f>
        <v>1</v>
      </c>
      <c r="F17" s="24">
        <f>IF($C$10=1,1/$E$10,$C$10)</f>
        <v>0.2</v>
      </c>
      <c r="G17" s="24">
        <f t="shared" ref="G17:G18" si="0">ROUND(G32,2)</f>
        <v>0.08</v>
      </c>
    </row>
    <row r="18" spans="2:11" ht="15.75" thickBot="1" x14ac:dyDescent="0.3">
      <c r="B18" s="23" t="str">
        <f>D7</f>
        <v>Diversification of menu</v>
      </c>
      <c r="C18" s="24">
        <f>1/E16</f>
        <v>0.14285714285714285</v>
      </c>
      <c r="D18" s="24">
        <f>1/E17</f>
        <v>1</v>
      </c>
      <c r="E18" s="24">
        <v>1</v>
      </c>
      <c r="F18" s="24">
        <f>IF($C$11=1,1/$E$11,$C$11)</f>
        <v>0.2</v>
      </c>
      <c r="G18" s="24">
        <f t="shared" si="0"/>
        <v>0.08</v>
      </c>
    </row>
    <row r="19" spans="2:11" ht="15.75" thickBot="1" x14ac:dyDescent="0.3">
      <c r="B19" s="23" t="str">
        <f>D8</f>
        <v>Retirement income solutions</v>
      </c>
      <c r="C19" s="24">
        <f>1/F16</f>
        <v>1</v>
      </c>
      <c r="D19" s="24">
        <f>1/E18</f>
        <v>1</v>
      </c>
      <c r="E19" s="24">
        <f>1/F18</f>
        <v>5</v>
      </c>
      <c r="F19" s="24">
        <v>1</v>
      </c>
      <c r="G19" s="24">
        <f>1-SUM(G16:G18)</f>
        <v>0.33000000000000007</v>
      </c>
    </row>
    <row r="20" spans="2:11" x14ac:dyDescent="0.25">
      <c r="G20" s="18"/>
      <c r="K20" s="30"/>
    </row>
    <row r="21" spans="2:11" x14ac:dyDescent="0.25">
      <c r="B21" s="22" t="s">
        <v>33</v>
      </c>
      <c r="D21" s="22"/>
    </row>
    <row r="22" spans="2:11" x14ac:dyDescent="0.25">
      <c r="K22" s="30"/>
    </row>
    <row r="23" spans="2:11" x14ac:dyDescent="0.25">
      <c r="B23" s="25" t="s">
        <v>35</v>
      </c>
      <c r="C23" s="18">
        <f>SUM(C16:C19)</f>
        <v>2.2857142857142856</v>
      </c>
      <c r="D23" s="25">
        <f>SUM(D16:D19)</f>
        <v>10</v>
      </c>
      <c r="E23" s="18">
        <f>SUM(E16:E19)</f>
        <v>14</v>
      </c>
      <c r="F23" s="18">
        <f>SUM(F16:F19)</f>
        <v>2.4</v>
      </c>
      <c r="K23" s="30"/>
    </row>
    <row r="24" spans="2:11" x14ac:dyDescent="0.25">
      <c r="G24" s="17" t="s">
        <v>36</v>
      </c>
    </row>
    <row r="25" spans="2:11" x14ac:dyDescent="0.25">
      <c r="B25" s="8" t="s">
        <v>37</v>
      </c>
      <c r="C25">
        <f t="shared" ref="C25:F28" si="1">C16/C$23</f>
        <v>0.4375</v>
      </c>
      <c r="D25" s="8">
        <f t="shared" si="1"/>
        <v>0.7</v>
      </c>
      <c r="E25">
        <f t="shared" si="1"/>
        <v>0.5</v>
      </c>
      <c r="F25">
        <f t="shared" si="1"/>
        <v>0.41666666666666669</v>
      </c>
      <c r="G25">
        <f>SUM(C25:F25)</f>
        <v>2.0541666666666667</v>
      </c>
      <c r="J25" s="3"/>
    </row>
    <row r="26" spans="2:11" x14ac:dyDescent="0.25">
      <c r="C26">
        <f t="shared" si="1"/>
        <v>6.25E-2</v>
      </c>
      <c r="D26">
        <f t="shared" si="1"/>
        <v>0.1</v>
      </c>
      <c r="E26">
        <f t="shared" si="1"/>
        <v>7.1428571428571425E-2</v>
      </c>
      <c r="F26">
        <f t="shared" si="1"/>
        <v>8.3333333333333343E-2</v>
      </c>
      <c r="G26">
        <f>SUM(C26:F26)</f>
        <v>0.31726190476190474</v>
      </c>
    </row>
    <row r="27" spans="2:11" x14ac:dyDescent="0.25">
      <c r="C27">
        <f t="shared" si="1"/>
        <v>6.25E-2</v>
      </c>
      <c r="D27">
        <f t="shared" si="1"/>
        <v>0.1</v>
      </c>
      <c r="E27">
        <f t="shared" si="1"/>
        <v>7.1428571428571425E-2</v>
      </c>
      <c r="F27">
        <f t="shared" si="1"/>
        <v>8.3333333333333343E-2</v>
      </c>
      <c r="G27">
        <f>SUM(C27:F27)</f>
        <v>0.31726190476190474</v>
      </c>
      <c r="J27" s="3"/>
    </row>
    <row r="28" spans="2:11" x14ac:dyDescent="0.25">
      <c r="C28">
        <f t="shared" si="1"/>
        <v>0.4375</v>
      </c>
      <c r="D28">
        <f t="shared" si="1"/>
        <v>0.1</v>
      </c>
      <c r="E28">
        <f t="shared" si="1"/>
        <v>0.35714285714285715</v>
      </c>
      <c r="F28">
        <f t="shared" si="1"/>
        <v>0.41666666666666669</v>
      </c>
      <c r="G28">
        <f>SUM(C28:F28)</f>
        <v>1.3113095238095238</v>
      </c>
    </row>
    <row r="30" spans="2:11" x14ac:dyDescent="0.25">
      <c r="G30" s="17" t="s">
        <v>38</v>
      </c>
    </row>
    <row r="31" spans="2:11" x14ac:dyDescent="0.25">
      <c r="C31" s="18"/>
      <c r="E31" s="18"/>
      <c r="F31" s="18"/>
      <c r="G31">
        <f>G25/$C$47</f>
        <v>0.51354166666666667</v>
      </c>
    </row>
    <row r="32" spans="2:11" x14ac:dyDescent="0.25">
      <c r="C32" s="18"/>
      <c r="E32" s="18"/>
      <c r="G32">
        <f>G26/$C$47</f>
        <v>7.9315476190476186E-2</v>
      </c>
    </row>
    <row r="33" spans="2:13" x14ac:dyDescent="0.25">
      <c r="G33">
        <f>G27/$C$47</f>
        <v>7.9315476190476186E-2</v>
      </c>
    </row>
    <row r="34" spans="2:13" x14ac:dyDescent="0.25">
      <c r="G34">
        <f>G28/$C$47</f>
        <v>0.32782738095238095</v>
      </c>
    </row>
    <row r="35" spans="2:13" x14ac:dyDescent="0.25">
      <c r="G35">
        <f>SUM(G31:G34)</f>
        <v>1</v>
      </c>
    </row>
    <row r="37" spans="2:13" x14ac:dyDescent="0.25">
      <c r="B37" s="22" t="s">
        <v>39</v>
      </c>
      <c r="D37" s="22"/>
    </row>
    <row r="39" spans="2:13" x14ac:dyDescent="0.25">
      <c r="B39">
        <f>G31</f>
        <v>0.51354166666666667</v>
      </c>
      <c r="C39">
        <f>G32</f>
        <v>7.9315476190476186E-2</v>
      </c>
      <c r="D39">
        <f>G33</f>
        <v>7.9315476190476186E-2</v>
      </c>
      <c r="E39">
        <f>G34</f>
        <v>0.32782738095238095</v>
      </c>
      <c r="M39" s="17" t="s">
        <v>46</v>
      </c>
    </row>
    <row r="41" spans="2:13" x14ac:dyDescent="0.25">
      <c r="B41" s="18">
        <f t="shared" ref="B41:E44" si="2">C16</f>
        <v>1</v>
      </c>
      <c r="C41" s="18">
        <f t="shared" si="2"/>
        <v>7</v>
      </c>
      <c r="D41" s="18">
        <f t="shared" si="2"/>
        <v>7</v>
      </c>
      <c r="E41" s="18">
        <f t="shared" si="2"/>
        <v>1</v>
      </c>
      <c r="F41" s="18">
        <f t="shared" ref="F41:I44" si="3">B$39*B41</f>
        <v>0.51354166666666667</v>
      </c>
      <c r="G41" s="18">
        <f t="shared" si="3"/>
        <v>0.5552083333333333</v>
      </c>
      <c r="H41" s="18">
        <f t="shared" si="3"/>
        <v>0.5552083333333333</v>
      </c>
      <c r="I41" s="18">
        <f t="shared" si="3"/>
        <v>0.32782738095238095</v>
      </c>
      <c r="K41" s="18">
        <f>SUM(F41:I41)</f>
        <v>1.9517857142857142</v>
      </c>
      <c r="L41">
        <f>G31</f>
        <v>0.51354166666666667</v>
      </c>
      <c r="M41">
        <f>K41/L41</f>
        <v>3.8006374963778615</v>
      </c>
    </row>
    <row r="42" spans="2:13" x14ac:dyDescent="0.25">
      <c r="B42" s="18">
        <f t="shared" si="2"/>
        <v>0.14285714285714285</v>
      </c>
      <c r="C42" s="18">
        <f t="shared" si="2"/>
        <v>1</v>
      </c>
      <c r="D42" s="18">
        <f t="shared" si="2"/>
        <v>1</v>
      </c>
      <c r="E42" s="18">
        <f t="shared" si="2"/>
        <v>0.2</v>
      </c>
      <c r="F42" s="18">
        <f t="shared" si="3"/>
        <v>7.3363095238095241E-2</v>
      </c>
      <c r="G42" s="18">
        <f t="shared" si="3"/>
        <v>7.9315476190476186E-2</v>
      </c>
      <c r="H42" s="18">
        <f t="shared" si="3"/>
        <v>7.9315476190476186E-2</v>
      </c>
      <c r="I42" s="18">
        <f t="shared" si="3"/>
        <v>6.5565476190476188E-2</v>
      </c>
      <c r="K42" s="18">
        <f>SUM(F42:I42)</f>
        <v>0.29755952380952383</v>
      </c>
      <c r="L42">
        <f>G32</f>
        <v>7.9315476190476186E-2</v>
      </c>
      <c r="M42">
        <f>K42/L42</f>
        <v>3.7515947467166986</v>
      </c>
    </row>
    <row r="43" spans="2:13" x14ac:dyDescent="0.25">
      <c r="B43" s="18">
        <f t="shared" si="2"/>
        <v>0.14285714285714285</v>
      </c>
      <c r="C43" s="18">
        <f t="shared" si="2"/>
        <v>1</v>
      </c>
      <c r="D43" s="18">
        <f t="shared" si="2"/>
        <v>1</v>
      </c>
      <c r="E43" s="18">
        <f t="shared" si="2"/>
        <v>0.2</v>
      </c>
      <c r="F43" s="18">
        <f t="shared" si="3"/>
        <v>7.3363095238095241E-2</v>
      </c>
      <c r="G43" s="18">
        <f t="shared" si="3"/>
        <v>7.9315476190476186E-2</v>
      </c>
      <c r="H43" s="18">
        <f t="shared" si="3"/>
        <v>7.9315476190476186E-2</v>
      </c>
      <c r="I43" s="18">
        <f t="shared" si="3"/>
        <v>6.5565476190476188E-2</v>
      </c>
      <c r="K43" s="18">
        <f>SUM(F43:I43)</f>
        <v>0.29755952380952383</v>
      </c>
      <c r="L43">
        <f>G33</f>
        <v>7.9315476190476186E-2</v>
      </c>
      <c r="M43">
        <f>K43/L43</f>
        <v>3.7515947467166986</v>
      </c>
    </row>
    <row r="44" spans="2:13" x14ac:dyDescent="0.25">
      <c r="B44" s="18">
        <f t="shared" si="2"/>
        <v>1</v>
      </c>
      <c r="C44" s="18">
        <f t="shared" si="2"/>
        <v>1</v>
      </c>
      <c r="D44" s="18">
        <f t="shared" si="2"/>
        <v>5</v>
      </c>
      <c r="E44" s="18">
        <f t="shared" si="2"/>
        <v>1</v>
      </c>
      <c r="F44" s="18">
        <f t="shared" si="3"/>
        <v>0.51354166666666667</v>
      </c>
      <c r="G44" s="18">
        <f t="shared" si="3"/>
        <v>7.9315476190476186E-2</v>
      </c>
      <c r="H44" s="18">
        <f t="shared" si="3"/>
        <v>0.39657738095238093</v>
      </c>
      <c r="I44" s="18">
        <f t="shared" si="3"/>
        <v>0.32782738095238095</v>
      </c>
      <c r="K44" s="18">
        <f>SUM(F44:I44)</f>
        <v>1.3172619047619047</v>
      </c>
      <c r="L44">
        <f>G34</f>
        <v>0.32782738095238095</v>
      </c>
      <c r="M44">
        <f>K44/L44</f>
        <v>4.0181570585565138</v>
      </c>
    </row>
    <row r="47" spans="2:13" x14ac:dyDescent="0.25">
      <c r="B47" t="s">
        <v>40</v>
      </c>
      <c r="C47">
        <v>4</v>
      </c>
    </row>
    <row r="49" spans="2:5" x14ac:dyDescent="0.25">
      <c r="B49" t="s">
        <v>41</v>
      </c>
      <c r="C49">
        <f>SUM(M41:M44)/C47</f>
        <v>3.8304960120919427</v>
      </c>
    </row>
    <row r="51" spans="2:5" x14ac:dyDescent="0.25">
      <c r="B51" t="s">
        <v>42</v>
      </c>
      <c r="C51">
        <f>(C49-C47)/(C47-1)</f>
        <v>-5.6501329302685775E-2</v>
      </c>
    </row>
    <row r="53" spans="2:5" x14ac:dyDescent="0.25">
      <c r="B53" t="s">
        <v>43</v>
      </c>
      <c r="C53">
        <f>C51/0.9</f>
        <v>-6.2779254780761976E-2</v>
      </c>
    </row>
    <row r="55" spans="2:5" x14ac:dyDescent="0.25">
      <c r="B55" s="22" t="s">
        <v>25</v>
      </c>
      <c r="C55" s="26" t="str">
        <f>IF(C53&lt;0.1,"VERY CONSISTENT (&lt;10%)",IF(C53&lt;0.2,"CONSISTENT (10% to 20%)","NOT CONSISTENT (&gt;20%)"))</f>
        <v>VERY CONSISTENT (&lt;10%)</v>
      </c>
      <c r="D55" s="22"/>
      <c r="E55" s="26"/>
    </row>
  </sheetData>
  <pageMargins left="0.25" right="0.25" top="0.75" bottom="0.75" header="0.3" footer="0.3"/>
  <pageSetup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889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Introduction</vt:lpstr>
      <vt:lpstr>DC Framework</vt:lpstr>
      <vt:lpstr>Report</vt:lpstr>
      <vt:lpstr>DC Framework-Canada</vt:lpstr>
      <vt:lpstr>Report-Canada</vt:lpstr>
      <vt:lpstr>Overall weights</vt:lpstr>
      <vt:lpstr>Plan provisions weights</vt:lpstr>
      <vt:lpstr>Plan design weights</vt:lpstr>
      <vt:lpstr>Investment options weights</vt:lpstr>
      <vt:lpstr>Enrollment design weights</vt:lpstr>
      <vt:lpstr>Communications weights</vt:lpstr>
      <vt:lpstr>'DC Framework'!Print_Area</vt:lpstr>
      <vt:lpstr>'DC Framework-Canada'!Print_Area</vt:lpstr>
      <vt:lpstr>Introduction!Print_Area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</dc:creator>
  <cp:lastModifiedBy>Administrator</cp:lastModifiedBy>
  <cp:revision>1</cp:revision>
  <cp:lastPrinted>2016-05-26T19:48:24Z</cp:lastPrinted>
  <dcterms:created xsi:type="dcterms:W3CDTF">2006-09-16T00:00:00Z</dcterms:created>
  <dcterms:modified xsi:type="dcterms:W3CDTF">2016-09-27T14:36:04Z</dcterms:modified>
  <dc:language>en-US</dc:language>
</cp:coreProperties>
</file>