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AM\Workbook\Online\"/>
    </mc:Choice>
  </mc:AlternateContent>
  <bookViews>
    <workbookView xWindow="0" yWindow="0" windowWidth="23040" windowHeight="9410" activeTab="2"/>
  </bookViews>
  <sheets>
    <sheet name="Sec 30.3" sheetId="1" r:id="rId1"/>
    <sheet name="Sec 30.4" sheetId="2" r:id="rId2"/>
    <sheet name="Sec 30.5" sheetId="3" r:id="rId3"/>
    <sheet name="Sec 30.6" sheetId="4" r:id="rId4"/>
    <sheet name="Sec 30.7" sheetId="5" r:id="rId5"/>
    <sheet name="Sec 30.8" sheetId="6" r:id="rId6"/>
    <sheet name="Chp 31" sheetId="7" r:id="rId7"/>
  </sheets>
  <calcPr calcId="152511"/>
</workbook>
</file>

<file path=xl/calcChain.xml><?xml version="1.0" encoding="utf-8"?>
<calcChain xmlns="http://schemas.openxmlformats.org/spreadsheetml/2006/main">
  <c r="J17" i="3" l="1"/>
  <c r="I17" i="3"/>
  <c r="I16" i="3"/>
  <c r="J15" i="3"/>
  <c r="J16" i="3" s="1"/>
  <c r="I15" i="3"/>
  <c r="J9" i="3"/>
  <c r="J10" i="3"/>
  <c r="J11" i="3"/>
  <c r="J12" i="3"/>
  <c r="J13" i="3"/>
  <c r="J14" i="3"/>
  <c r="I10" i="3"/>
  <c r="I11" i="3"/>
  <c r="I12" i="3"/>
  <c r="I13" i="3"/>
  <c r="I14" i="3"/>
  <c r="I9" i="3"/>
  <c r="P8" i="3" l="1"/>
  <c r="O8" i="3"/>
  <c r="Q8" i="3" s="1"/>
  <c r="O7" i="3"/>
  <c r="O6" i="3"/>
  <c r="P6" i="3" s="1"/>
  <c r="P5" i="3"/>
  <c r="O5" i="3"/>
  <c r="E8" i="4"/>
  <c r="D8" i="4"/>
  <c r="F8" i="4" s="1"/>
  <c r="D7" i="4"/>
  <c r="E7" i="4" s="1"/>
  <c r="D6" i="4"/>
  <c r="E6" i="4" s="1"/>
  <c r="D5" i="4"/>
  <c r="E5" i="4" s="1"/>
  <c r="C14" i="2"/>
  <c r="B14" i="2"/>
  <c r="C13" i="2"/>
  <c r="B13" i="2"/>
  <c r="B11" i="2"/>
  <c r="C11" i="2"/>
  <c r="B12" i="2"/>
  <c r="C12" i="2"/>
  <c r="C10" i="2"/>
  <c r="B10" i="2"/>
  <c r="C9" i="2"/>
  <c r="B9" i="2"/>
  <c r="Q7" i="3" l="1"/>
  <c r="O9" i="3"/>
  <c r="I8" i="5" s="1"/>
  <c r="P7" i="3"/>
  <c r="P9" i="3"/>
  <c r="E9" i="4"/>
  <c r="F6" i="4"/>
  <c r="Q6" i="3"/>
  <c r="Q5" i="3"/>
  <c r="F5" i="4"/>
  <c r="F7" i="4"/>
  <c r="D9" i="4"/>
  <c r="Q9" i="3" l="1"/>
  <c r="Q10" i="3" s="1"/>
  <c r="F9" i="4"/>
  <c r="F11" i="4" s="1"/>
  <c r="F10" i="4"/>
  <c r="CB5" i="7" l="1"/>
  <c r="CA5" i="7"/>
  <c r="CA4" i="7" l="1"/>
  <c r="BT18" i="7"/>
  <c r="BV18" i="7" s="1"/>
  <c r="BW18" i="7" s="1"/>
  <c r="BT17" i="7"/>
  <c r="BV17" i="7" s="1"/>
  <c r="BW17" i="7" s="1"/>
  <c r="BT16" i="7"/>
  <c r="BV16" i="7" s="1"/>
  <c r="BW16" i="7" s="1"/>
  <c r="BT15" i="7"/>
  <c r="BV15" i="7" s="1"/>
  <c r="BW15" i="7" s="1"/>
  <c r="BQ15" i="7"/>
  <c r="BP15" i="7"/>
  <c r="BO15" i="7"/>
  <c r="BN15" i="7"/>
  <c r="BM15" i="7"/>
  <c r="BL15" i="7"/>
  <c r="BK15" i="7"/>
  <c r="BJ15" i="7"/>
  <c r="BI15" i="7"/>
  <c r="BH15" i="7"/>
  <c r="BG15" i="7"/>
  <c r="BF15" i="7"/>
  <c r="BE15" i="7"/>
  <c r="BT14" i="7"/>
  <c r="BV14" i="7" s="1"/>
  <c r="BW14" i="7" s="1"/>
  <c r="AY14" i="7"/>
  <c r="AX14" i="7"/>
  <c r="AW14" i="7"/>
  <c r="AV14" i="7"/>
  <c r="AU14" i="7"/>
  <c r="AT14" i="7"/>
  <c r="AS14" i="7"/>
  <c r="AR14" i="7"/>
  <c r="AQ14" i="7"/>
  <c r="AP14" i="7"/>
  <c r="AO14" i="7"/>
  <c r="AN14" i="7"/>
  <c r="AM14" i="7"/>
  <c r="AL14" i="7"/>
  <c r="AK14" i="7"/>
  <c r="AJ14" i="7"/>
  <c r="BB14" i="7" s="1"/>
  <c r="AF14" i="7"/>
  <c r="BT13" i="7"/>
  <c r="BV13" i="7" s="1"/>
  <c r="BW13" i="7" s="1"/>
  <c r="AY13" i="7"/>
  <c r="AX13" i="7"/>
  <c r="AW13" i="7"/>
  <c r="AV13" i="7"/>
  <c r="AU13" i="7"/>
  <c r="AT13" i="7"/>
  <c r="AS13" i="7"/>
  <c r="AR13" i="7"/>
  <c r="AQ13" i="7"/>
  <c r="AP13" i="7"/>
  <c r="AO13" i="7"/>
  <c r="AN13" i="7"/>
  <c r="AM13" i="7"/>
  <c r="AL13" i="7"/>
  <c r="AK13" i="7"/>
  <c r="AJ13" i="7"/>
  <c r="BB13" i="7" s="1"/>
  <c r="AF13" i="7"/>
  <c r="BT12" i="7"/>
  <c r="BV12" i="7" s="1"/>
  <c r="BW12" i="7" s="1"/>
  <c r="AY12" i="7"/>
  <c r="AX12" i="7"/>
  <c r="AW12" i="7"/>
  <c r="AV12" i="7"/>
  <c r="AU12" i="7"/>
  <c r="AT12" i="7"/>
  <c r="AS12" i="7"/>
  <c r="AR12" i="7"/>
  <c r="AQ12" i="7"/>
  <c r="AP12" i="7"/>
  <c r="AO12" i="7"/>
  <c r="AN12" i="7"/>
  <c r="AM12" i="7"/>
  <c r="AL12" i="7"/>
  <c r="AK12" i="7"/>
  <c r="AJ12" i="7"/>
  <c r="BB12" i="7" s="1"/>
  <c r="BT11" i="7"/>
  <c r="BV11" i="7" s="1"/>
  <c r="BW11" i="7" s="1"/>
  <c r="AY11" i="7"/>
  <c r="AX11" i="7"/>
  <c r="AW11" i="7"/>
  <c r="AV11" i="7"/>
  <c r="AU11" i="7"/>
  <c r="AT11" i="7"/>
  <c r="AS11" i="7"/>
  <c r="AR11" i="7"/>
  <c r="AQ11" i="7"/>
  <c r="AP11" i="7"/>
  <c r="AO11" i="7"/>
  <c r="AN11" i="7"/>
  <c r="AM11" i="7"/>
  <c r="AL11" i="7"/>
  <c r="AK11" i="7"/>
  <c r="AJ11" i="7"/>
  <c r="BB11" i="7" s="1"/>
  <c r="BT10" i="7"/>
  <c r="BV10" i="7" s="1"/>
  <c r="BW10" i="7" s="1"/>
  <c r="AY10" i="7"/>
  <c r="AX10" i="7"/>
  <c r="AW10" i="7"/>
  <c r="AV10" i="7"/>
  <c r="AU10" i="7"/>
  <c r="AT10" i="7"/>
  <c r="AS10" i="7"/>
  <c r="AR10" i="7"/>
  <c r="AQ10" i="7"/>
  <c r="AP10" i="7"/>
  <c r="AO10" i="7"/>
  <c r="AN10" i="7"/>
  <c r="AM10" i="7"/>
  <c r="AL10" i="7"/>
  <c r="AK10" i="7"/>
  <c r="AJ10" i="7"/>
  <c r="BB10" i="7" s="1"/>
  <c r="BT9" i="7"/>
  <c r="BV9" i="7" s="1"/>
  <c r="BW9" i="7" s="1"/>
  <c r="AY9" i="7"/>
  <c r="AX9" i="7"/>
  <c r="AW9" i="7"/>
  <c r="AV9" i="7"/>
  <c r="AU9" i="7"/>
  <c r="AT9" i="7"/>
  <c r="AS9" i="7"/>
  <c r="AR9" i="7"/>
  <c r="AQ9" i="7"/>
  <c r="AP9" i="7"/>
  <c r="AO9" i="7"/>
  <c r="AN9" i="7"/>
  <c r="AM9" i="7"/>
  <c r="AL9" i="7"/>
  <c r="AK9" i="7"/>
  <c r="AJ9" i="7"/>
  <c r="BB9" i="7" s="1"/>
  <c r="BT8" i="7"/>
  <c r="BV8" i="7" s="1"/>
  <c r="BW8" i="7" s="1"/>
  <c r="AY8" i="7"/>
  <c r="AX8" i="7"/>
  <c r="AW8" i="7"/>
  <c r="AV8" i="7"/>
  <c r="AU8" i="7"/>
  <c r="AT8" i="7"/>
  <c r="AS8" i="7"/>
  <c r="AR8" i="7"/>
  <c r="AQ8" i="7"/>
  <c r="AP8" i="7"/>
  <c r="AO8" i="7"/>
  <c r="AN8" i="7"/>
  <c r="AM8" i="7"/>
  <c r="AL8" i="7"/>
  <c r="AK8" i="7"/>
  <c r="AJ8" i="7"/>
  <c r="BB8" i="7" s="1"/>
  <c r="AE8" i="7"/>
  <c r="BT7" i="7"/>
  <c r="BV7" i="7" s="1"/>
  <c r="BW7" i="7" s="1"/>
  <c r="AY7" i="7"/>
  <c r="AX7" i="7"/>
  <c r="AW7" i="7"/>
  <c r="AV7" i="7"/>
  <c r="AU7" i="7"/>
  <c r="AT7" i="7"/>
  <c r="AS7" i="7"/>
  <c r="AR7" i="7"/>
  <c r="AQ7" i="7"/>
  <c r="AP7" i="7"/>
  <c r="AO7" i="7"/>
  <c r="AN7" i="7"/>
  <c r="AM7" i="7"/>
  <c r="AL7" i="7"/>
  <c r="AK7" i="7"/>
  <c r="AJ7" i="7"/>
  <c r="BB7" i="7" s="1"/>
  <c r="AE7" i="7"/>
  <c r="BT6" i="7"/>
  <c r="BV6" i="7" s="1"/>
  <c r="BW6" i="7" s="1"/>
  <c r="AY6" i="7"/>
  <c r="AX6" i="7"/>
  <c r="AW6" i="7"/>
  <c r="AV6" i="7"/>
  <c r="AU6" i="7"/>
  <c r="AT6" i="7"/>
  <c r="AS6" i="7"/>
  <c r="AR6" i="7"/>
  <c r="AQ6" i="7"/>
  <c r="AP6" i="7"/>
  <c r="AO6" i="7"/>
  <c r="AN6" i="7"/>
  <c r="AM6" i="7"/>
  <c r="AL6" i="7"/>
  <c r="AK6" i="7"/>
  <c r="AJ6" i="7"/>
  <c r="BB6" i="7" s="1"/>
  <c r="BT5" i="7"/>
  <c r="BV5" i="7" s="1"/>
  <c r="BW5" i="7" s="1"/>
  <c r="AY5" i="7"/>
  <c r="AX5" i="7"/>
  <c r="AW5" i="7"/>
  <c r="AV5" i="7"/>
  <c r="AU5" i="7"/>
  <c r="AT5" i="7"/>
  <c r="AS5" i="7"/>
  <c r="AR5" i="7"/>
  <c r="AQ5" i="7"/>
  <c r="AP5" i="7"/>
  <c r="AO5" i="7"/>
  <c r="AN5" i="7"/>
  <c r="AM5" i="7"/>
  <c r="AL5" i="7"/>
  <c r="AK5" i="7"/>
  <c r="AJ5" i="7"/>
  <c r="BB5" i="7" s="1"/>
  <c r="CB4" i="7"/>
  <c r="CB6" i="7" s="1"/>
  <c r="CA6" i="7"/>
  <c r="BT4" i="7"/>
  <c r="BT19" i="7" s="1"/>
  <c r="AY4" i="7"/>
  <c r="AX4" i="7"/>
  <c r="AW4" i="7"/>
  <c r="AV4" i="7"/>
  <c r="AU4" i="7"/>
  <c r="AT4" i="7"/>
  <c r="AS4" i="7"/>
  <c r="AR4" i="7"/>
  <c r="AQ4" i="7"/>
  <c r="AP4" i="7"/>
  <c r="AO4" i="7"/>
  <c r="AN4" i="7"/>
  <c r="AM4" i="7"/>
  <c r="AL4" i="7"/>
  <c r="AK4" i="7"/>
  <c r="AJ4" i="7"/>
  <c r="BB4" i="7" s="1"/>
  <c r="AG4" i="7"/>
  <c r="AF4" i="7"/>
  <c r="AE4" i="7"/>
  <c r="AY3" i="7"/>
  <c r="AX3" i="7"/>
  <c r="AW3" i="7"/>
  <c r="AV3" i="7"/>
  <c r="AU3" i="7"/>
  <c r="AT3" i="7"/>
  <c r="AS3" i="7"/>
  <c r="AR3" i="7"/>
  <c r="AQ3" i="7"/>
  <c r="AP3" i="7"/>
  <c r="AO3" i="7"/>
  <c r="AN3" i="7"/>
  <c r="AM3" i="7"/>
  <c r="AL3" i="7"/>
  <c r="AK3" i="7"/>
  <c r="AJ3" i="7"/>
  <c r="BB3" i="7" s="1"/>
  <c r="S8" i="6"/>
  <c r="T8" i="6" s="1"/>
  <c r="U8" i="6" s="1"/>
  <c r="S4" i="6"/>
  <c r="T4" i="6" s="1"/>
  <c r="U4" i="6" s="1"/>
  <c r="R9" i="6"/>
  <c r="R8" i="6"/>
  <c r="R7" i="6"/>
  <c r="R6" i="6"/>
  <c r="R5" i="6"/>
  <c r="R4" i="6"/>
  <c r="Q9" i="6"/>
  <c r="X9" i="6" s="1"/>
  <c r="Q8" i="6"/>
  <c r="X8" i="6" s="1"/>
  <c r="Y8" i="6" s="1"/>
  <c r="Z8" i="6" s="1"/>
  <c r="AA8" i="6" s="1"/>
  <c r="AB8" i="6" s="1"/>
  <c r="Q7" i="6"/>
  <c r="X7" i="6" s="1"/>
  <c r="Y7" i="6" s="1"/>
  <c r="Z7" i="6" s="1"/>
  <c r="AA7" i="6" s="1"/>
  <c r="AB7" i="6" s="1"/>
  <c r="Q6" i="6"/>
  <c r="X6" i="6" s="1"/>
  <c r="Y6" i="6" s="1"/>
  <c r="Z6" i="6" s="1"/>
  <c r="AA6" i="6" s="1"/>
  <c r="AB6" i="6" s="1"/>
  <c r="Q5" i="6"/>
  <c r="X5" i="6" s="1"/>
  <c r="Y5" i="6" s="1"/>
  <c r="Z5" i="6" s="1"/>
  <c r="AA5" i="6" s="1"/>
  <c r="AB5" i="6" s="1"/>
  <c r="Q4" i="6"/>
  <c r="X4" i="6" s="1"/>
  <c r="Y4" i="6" s="1"/>
  <c r="M8" i="6"/>
  <c r="M7" i="6"/>
  <c r="S7" i="6" s="1"/>
  <c r="T7" i="6" s="1"/>
  <c r="U7" i="6" s="1"/>
  <c r="M6" i="6"/>
  <c r="M5" i="6"/>
  <c r="M4" i="6"/>
  <c r="E8" i="6"/>
  <c r="F8" i="6" s="1"/>
  <c r="L9" i="6" s="1"/>
  <c r="D7" i="6"/>
  <c r="C8" i="6"/>
  <c r="D8" i="6" s="1"/>
  <c r="B8" i="6"/>
  <c r="D6" i="6"/>
  <c r="G6" i="6" s="1"/>
  <c r="D5" i="6"/>
  <c r="D4" i="6"/>
  <c r="G4" i="6" s="1"/>
  <c r="D3" i="6"/>
  <c r="G3" i="6" s="1"/>
  <c r="G7" i="6"/>
  <c r="G5" i="6"/>
  <c r="I11" i="5"/>
  <c r="F7" i="5"/>
  <c r="E7" i="5"/>
  <c r="I10" i="5" s="1"/>
  <c r="J6" i="3"/>
  <c r="I6" i="3"/>
  <c r="D10" i="3"/>
  <c r="F10" i="3" s="1"/>
  <c r="F9" i="3" s="1"/>
  <c r="F8" i="3" s="1"/>
  <c r="F7" i="3" s="1"/>
  <c r="D9" i="3"/>
  <c r="D8" i="3"/>
  <c r="D7" i="3"/>
  <c r="D6" i="3"/>
  <c r="E5" i="3"/>
  <c r="E6" i="3" s="1"/>
  <c r="E7" i="3" s="1"/>
  <c r="E8" i="3" s="1"/>
  <c r="E9" i="3" s="1"/>
  <c r="E10" i="3" s="1"/>
  <c r="D5" i="3"/>
  <c r="M30" i="2"/>
  <c r="O30" i="2" s="1"/>
  <c r="M31" i="2"/>
  <c r="M32" i="2"/>
  <c r="O32" i="2" s="1"/>
  <c r="M33" i="2"/>
  <c r="M34" i="2"/>
  <c r="O34" i="2" s="1"/>
  <c r="M35" i="2"/>
  <c r="M36" i="2"/>
  <c r="O36" i="2" s="1"/>
  <c r="M37" i="2"/>
  <c r="M38" i="2"/>
  <c r="O38" i="2" s="1"/>
  <c r="M39" i="2"/>
  <c r="M40" i="2"/>
  <c r="O40" i="2" s="1"/>
  <c r="M29" i="2"/>
  <c r="M18" i="2"/>
  <c r="O18" i="2" s="1"/>
  <c r="M19" i="2"/>
  <c r="M20" i="2"/>
  <c r="O20" i="2" s="1"/>
  <c r="M21" i="2"/>
  <c r="M22" i="2"/>
  <c r="O22" i="2" s="1"/>
  <c r="M23" i="2"/>
  <c r="M24" i="2"/>
  <c r="O24" i="2" s="1"/>
  <c r="M25" i="2"/>
  <c r="M26" i="2"/>
  <c r="O26" i="2" s="1"/>
  <c r="M27" i="2"/>
  <c r="M28" i="2"/>
  <c r="O28" i="2" s="1"/>
  <c r="M17" i="2"/>
  <c r="N41" i="2"/>
  <c r="O39" i="2"/>
  <c r="O37" i="2"/>
  <c r="O35" i="2"/>
  <c r="O33" i="2"/>
  <c r="O31" i="2"/>
  <c r="O29" i="2"/>
  <c r="O27" i="2"/>
  <c r="O25" i="2"/>
  <c r="O23" i="2"/>
  <c r="O21" i="2"/>
  <c r="O19" i="2"/>
  <c r="O17" i="2"/>
  <c r="M15" i="2"/>
  <c r="O15" i="2" s="1"/>
  <c r="M14" i="2"/>
  <c r="M13" i="2"/>
  <c r="O13" i="2" s="1"/>
  <c r="M11" i="2"/>
  <c r="O11" i="2" s="1"/>
  <c r="M10" i="2"/>
  <c r="M9" i="2"/>
  <c r="O9" i="2" s="1"/>
  <c r="M7" i="2"/>
  <c r="O7" i="2" s="1"/>
  <c r="M6" i="2"/>
  <c r="M5" i="2"/>
  <c r="O5" i="2" s="1"/>
  <c r="H10" i="2"/>
  <c r="G10" i="2"/>
  <c r="I8" i="2"/>
  <c r="H5" i="2"/>
  <c r="I5" i="2" s="1"/>
  <c r="G5" i="2"/>
  <c r="I3" i="2"/>
  <c r="D14" i="2"/>
  <c r="D13" i="2"/>
  <c r="D12" i="2"/>
  <c r="D11" i="2"/>
  <c r="D10" i="2"/>
  <c r="D9" i="2"/>
  <c r="Z4" i="6" l="1"/>
  <c r="AA4" i="6" s="1"/>
  <c r="AB4" i="6" s="1"/>
  <c r="Y9" i="6"/>
  <c r="Z9" i="6" s="1"/>
  <c r="AA9" i="6" s="1"/>
  <c r="AB9" i="6" s="1"/>
  <c r="L7" i="6"/>
  <c r="L6" i="6"/>
  <c r="N6" i="6" s="1"/>
  <c r="L5" i="6"/>
  <c r="N5" i="6" s="1"/>
  <c r="L8" i="6"/>
  <c r="L4" i="6"/>
  <c r="I10" i="2"/>
  <c r="N4" i="6"/>
  <c r="N8" i="6"/>
  <c r="F6" i="3"/>
  <c r="S5" i="6"/>
  <c r="T5" i="6" s="1"/>
  <c r="U5" i="6" s="1"/>
  <c r="N7" i="6"/>
  <c r="S6" i="6"/>
  <c r="T6" i="6" s="1"/>
  <c r="U6" i="6" s="1"/>
  <c r="BC3" i="7"/>
  <c r="AF15" i="7"/>
  <c r="BC14" i="7"/>
  <c r="BC5" i="7"/>
  <c r="AE9" i="7"/>
  <c r="AF10" i="7" s="1"/>
  <c r="BC8" i="7"/>
  <c r="BC9" i="7"/>
  <c r="BD3" i="7"/>
  <c r="AG16" i="7"/>
  <c r="BC4" i="7"/>
  <c r="CB8" i="7"/>
  <c r="BD5" i="7"/>
  <c r="BC6" i="7"/>
  <c r="BC7" i="7"/>
  <c r="BD8" i="7"/>
  <c r="BD9" i="7"/>
  <c r="BC10" i="7"/>
  <c r="BC11" i="7"/>
  <c r="BC12" i="7"/>
  <c r="BC13" i="7"/>
  <c r="BD14" i="7"/>
  <c r="BD4" i="7"/>
  <c r="BD6" i="7"/>
  <c r="BD7" i="7"/>
  <c r="BD10" i="7"/>
  <c r="BD11" i="7"/>
  <c r="BD12" i="7"/>
  <c r="BD13" i="7"/>
  <c r="BV4" i="7"/>
  <c r="G8" i="6"/>
  <c r="M9" i="6"/>
  <c r="O6" i="2"/>
  <c r="M8" i="2"/>
  <c r="O10" i="2"/>
  <c r="M12" i="2"/>
  <c r="P12" i="2" s="1"/>
  <c r="O14" i="2"/>
  <c r="M16" i="2"/>
  <c r="AE7" i="1"/>
  <c r="AF7" i="1" s="1"/>
  <c r="AE6" i="1"/>
  <c r="AE5" i="1"/>
  <c r="AE8" i="1" s="1"/>
  <c r="AE4" i="1"/>
  <c r="AD7" i="1"/>
  <c r="AD6" i="1"/>
  <c r="AF6" i="1" s="1"/>
  <c r="AD5" i="1"/>
  <c r="AD4" i="1"/>
  <c r="M8" i="1"/>
  <c r="L8" i="1"/>
  <c r="O8" i="1" s="1"/>
  <c r="R6" i="1" s="1"/>
  <c r="G22" i="1"/>
  <c r="R3" i="1" s="1"/>
  <c r="F22" i="1"/>
  <c r="N5" i="1"/>
  <c r="N6" i="1"/>
  <c r="N7" i="1"/>
  <c r="N4" i="1"/>
  <c r="H5" i="1"/>
  <c r="X5" i="1" s="1"/>
  <c r="H6" i="1"/>
  <c r="X6" i="1" s="1"/>
  <c r="H7" i="1"/>
  <c r="X7" i="1" s="1"/>
  <c r="H8" i="1"/>
  <c r="X8" i="1" s="1"/>
  <c r="H9" i="1"/>
  <c r="X9" i="1" s="1"/>
  <c r="H10" i="1"/>
  <c r="X10" i="1" s="1"/>
  <c r="H11" i="1"/>
  <c r="X11" i="1" s="1"/>
  <c r="H12" i="1"/>
  <c r="X12" i="1" s="1"/>
  <c r="H13" i="1"/>
  <c r="X17" i="1" s="1"/>
  <c r="H14" i="1"/>
  <c r="X18" i="1" s="1"/>
  <c r="H15" i="1"/>
  <c r="X19" i="1" s="1"/>
  <c r="H16" i="1"/>
  <c r="X20" i="1" s="1"/>
  <c r="H17" i="1"/>
  <c r="X21" i="1" s="1"/>
  <c r="H18" i="1"/>
  <c r="X22" i="1" s="1"/>
  <c r="H19" i="1"/>
  <c r="X23" i="1" s="1"/>
  <c r="H20" i="1"/>
  <c r="X24" i="1" s="1"/>
  <c r="H21" i="1"/>
  <c r="X25" i="1" s="1"/>
  <c r="H4" i="1"/>
  <c r="X4" i="1" s="1"/>
  <c r="P16" i="2" l="1"/>
  <c r="M41" i="2"/>
  <c r="O41" i="2" s="1"/>
  <c r="P8" i="2"/>
  <c r="N9" i="6"/>
  <c r="S9" i="6"/>
  <c r="T9" i="6" s="1"/>
  <c r="U9" i="6" s="1"/>
  <c r="P9" i="2"/>
  <c r="P21" i="2" s="1"/>
  <c r="P33" i="2" s="1"/>
  <c r="Q33" i="2" s="1"/>
  <c r="P15" i="2"/>
  <c r="P27" i="2" s="1"/>
  <c r="P39" i="2" s="1"/>
  <c r="Q39" i="2" s="1"/>
  <c r="P6" i="2"/>
  <c r="H22" i="1"/>
  <c r="R4" i="1" s="1"/>
  <c r="P13" i="2"/>
  <c r="P25" i="2" s="1"/>
  <c r="P37" i="2" s="1"/>
  <c r="Q37" i="2" s="1"/>
  <c r="AG18" i="7"/>
  <c r="P5" i="2"/>
  <c r="P17" i="2" s="1"/>
  <c r="P29" i="2" s="1"/>
  <c r="Q29" i="2" s="1"/>
  <c r="F5" i="3"/>
  <c r="F4" i="3" s="1"/>
  <c r="P7" i="2"/>
  <c r="P19" i="2" s="1"/>
  <c r="P31" i="2" s="1"/>
  <c r="Q31" i="2" s="1"/>
  <c r="P10" i="2"/>
  <c r="P22" i="2" s="1"/>
  <c r="O16" i="2"/>
  <c r="Q10" i="2"/>
  <c r="P11" i="2"/>
  <c r="P23" i="2" s="1"/>
  <c r="P35" i="2" s="1"/>
  <c r="Q35" i="2" s="1"/>
  <c r="P14" i="2"/>
  <c r="P26" i="2" s="1"/>
  <c r="P38" i="2" s="1"/>
  <c r="Q38" i="2" s="1"/>
  <c r="I22" i="1"/>
  <c r="R5" i="1" s="1"/>
  <c r="BC15" i="7"/>
  <c r="BW4" i="7"/>
  <c r="BW19" i="7" s="1"/>
  <c r="BV19" i="7"/>
  <c r="BD15" i="7"/>
  <c r="Q26" i="2"/>
  <c r="Q14" i="2"/>
  <c r="Q15" i="2"/>
  <c r="Q7" i="2"/>
  <c r="M4" i="2"/>
  <c r="O4" i="2" s="1"/>
  <c r="P24" i="2"/>
  <c r="O12" i="2"/>
  <c r="P20" i="2"/>
  <c r="O8" i="2"/>
  <c r="Q16" i="2"/>
  <c r="Q17" i="2"/>
  <c r="Q11" i="2"/>
  <c r="Q27" i="2"/>
  <c r="Q23" i="2"/>
  <c r="Q19" i="2"/>
  <c r="Q5" i="2"/>
  <c r="AD8" i="1"/>
  <c r="AF8" i="1" s="1"/>
  <c r="AG6" i="1" s="1"/>
  <c r="AF5" i="1"/>
  <c r="X26" i="1"/>
  <c r="Y26" i="1" s="1"/>
  <c r="X13" i="1"/>
  <c r="Y21" i="1"/>
  <c r="Y7" i="1"/>
  <c r="Y10" i="1"/>
  <c r="Y6" i="1"/>
  <c r="AF4" i="1"/>
  <c r="R7" i="1"/>
  <c r="N8" i="1"/>
  <c r="Q9" i="2" l="1"/>
  <c r="Q25" i="2"/>
  <c r="P34" i="2"/>
  <c r="Q34" i="2" s="1"/>
  <c r="Q22" i="2"/>
  <c r="P18" i="2"/>
  <c r="Q6" i="2"/>
  <c r="Y22" i="1"/>
  <c r="Q13" i="2"/>
  <c r="Q21" i="2"/>
  <c r="J2" i="3"/>
  <c r="I2" i="3"/>
  <c r="Q12" i="2"/>
  <c r="Q8" i="2"/>
  <c r="P32" i="2"/>
  <c r="Q32" i="2" s="1"/>
  <c r="Q20" i="2"/>
  <c r="P36" i="2"/>
  <c r="Q36" i="2" s="1"/>
  <c r="Q24" i="2"/>
  <c r="P28" i="2"/>
  <c r="P4" i="2"/>
  <c r="Q4" i="2" s="1"/>
  <c r="AG4" i="1"/>
  <c r="AG5" i="1"/>
  <c r="AG7" i="1"/>
  <c r="Y18" i="1"/>
  <c r="X27" i="1"/>
  <c r="Y13" i="1"/>
  <c r="Y11" i="1"/>
  <c r="Y23" i="1"/>
  <c r="Y8" i="1"/>
  <c r="Y12" i="1"/>
  <c r="Y20" i="1"/>
  <c r="Y24" i="1"/>
  <c r="Y9" i="1"/>
  <c r="Y25" i="1"/>
  <c r="Y4" i="1"/>
  <c r="Y17" i="1"/>
  <c r="Y5" i="1"/>
  <c r="Y19" i="1"/>
  <c r="I13" i="5" l="1"/>
  <c r="R31" i="2"/>
  <c r="R24" i="2"/>
  <c r="P30" i="2"/>
  <c r="Q30" i="2" s="1"/>
  <c r="Q18" i="2"/>
  <c r="R9" i="2" s="1"/>
  <c r="P40" i="2"/>
  <c r="Q40" i="2" s="1"/>
  <c r="R20" i="2" s="1"/>
  <c r="Q28" i="2"/>
  <c r="R36" i="2" s="1"/>
  <c r="AG8" i="1"/>
  <c r="Z11" i="1"/>
  <c r="Z9" i="1"/>
  <c r="Z7" i="1"/>
  <c r="Z5" i="1"/>
  <c r="Z12" i="1"/>
  <c r="Z10" i="1"/>
  <c r="Z8" i="1"/>
  <c r="Z6" i="1"/>
  <c r="Z4" i="1"/>
  <c r="Z24" i="1"/>
  <c r="Z22" i="1"/>
  <c r="Z20" i="1"/>
  <c r="Z18" i="1"/>
  <c r="Z25" i="1"/>
  <c r="Z23" i="1"/>
  <c r="Z21" i="1"/>
  <c r="Z19" i="1"/>
  <c r="Z17" i="1"/>
  <c r="R15" i="2" l="1"/>
  <c r="R10" i="2"/>
  <c r="R29" i="2"/>
  <c r="R39" i="2"/>
  <c r="R23" i="2"/>
  <c r="R7" i="2"/>
  <c r="R34" i="2"/>
  <c r="R18" i="2"/>
  <c r="R40" i="2"/>
  <c r="R37" i="2"/>
  <c r="R21" i="2"/>
  <c r="R5" i="2"/>
  <c r="R26" i="2"/>
  <c r="R16" i="2"/>
  <c r="R13" i="2"/>
  <c r="R35" i="2"/>
  <c r="R19" i="2"/>
  <c r="R32" i="2"/>
  <c r="R30" i="2"/>
  <c r="R14" i="2"/>
  <c r="R28" i="2"/>
  <c r="R33" i="2"/>
  <c r="R17" i="2"/>
  <c r="R8" i="2"/>
  <c r="R12" i="2"/>
  <c r="R27" i="2"/>
  <c r="R11" i="2"/>
  <c r="R38" i="2"/>
  <c r="R22" i="2"/>
  <c r="R6" i="2"/>
  <c r="R4" i="2"/>
  <c r="R25" i="2"/>
  <c r="Z26" i="1"/>
  <c r="AA20" i="1" s="1"/>
  <c r="Z13" i="1"/>
  <c r="AA4" i="1" s="1"/>
  <c r="R44" i="2" l="1"/>
  <c r="R47" i="2" s="1"/>
  <c r="I9" i="5" s="1"/>
  <c r="I12" i="5" s="1"/>
  <c r="I14" i="5" s="1"/>
  <c r="I16" i="5" s="1"/>
  <c r="AA5" i="1"/>
  <c r="AA24" i="1"/>
  <c r="AA17" i="1"/>
  <c r="AA7" i="1"/>
  <c r="AA8" i="1"/>
  <c r="AA22" i="1"/>
  <c r="AA23" i="1"/>
  <c r="AA6" i="1"/>
  <c r="AA21" i="1"/>
  <c r="AA9" i="1"/>
  <c r="AA10" i="1"/>
  <c r="AA25" i="1"/>
  <c r="AA11" i="1"/>
  <c r="AA12" i="1"/>
  <c r="AA18" i="1"/>
  <c r="AA19" i="1"/>
  <c r="AA13" i="1" l="1"/>
  <c r="AA26" i="1"/>
  <c r="AA27" i="1" l="1"/>
</calcChain>
</file>

<file path=xl/sharedStrings.xml><?xml version="1.0" encoding="utf-8"?>
<sst xmlns="http://schemas.openxmlformats.org/spreadsheetml/2006/main" count="570" uniqueCount="249">
  <si>
    <t>Allowed</t>
  </si>
  <si>
    <t>Average</t>
  </si>
  <si>
    <t>Cumulative</t>
  </si>
  <si>
    <t>Claims</t>
  </si>
  <si>
    <t>Rating</t>
  </si>
  <si>
    <t>Annual</t>
  </si>
  <si>
    <t>Incurred and</t>
  </si>
  <si>
    <t>Gender</t>
  </si>
  <si>
    <t>Age</t>
  </si>
  <si>
    <t>Members</t>
  </si>
  <si>
    <t>PMPM</t>
  </si>
  <si>
    <t>Area</t>
  </si>
  <si>
    <t>Area Factor</t>
  </si>
  <si>
    <t>Total Allowed Claims</t>
  </si>
  <si>
    <t>Year</t>
  </si>
  <si>
    <t>Range</t>
  </si>
  <si>
    <t>Frequency</t>
  </si>
  <si>
    <t>Cost</t>
  </si>
  <si>
    <t>Plan</t>
  </si>
  <si>
    <t>High</t>
  </si>
  <si>
    <t>Low</t>
  </si>
  <si>
    <t>Yr/Mo</t>
  </si>
  <si>
    <t>2009/01</t>
  </si>
  <si>
    <t>2009/02</t>
  </si>
  <si>
    <t>2009/03</t>
  </si>
  <si>
    <t>2009/04</t>
  </si>
  <si>
    <t>2009/05</t>
  </si>
  <si>
    <t>2009/06</t>
  </si>
  <si>
    <t>2009/07</t>
  </si>
  <si>
    <t>2009/08</t>
  </si>
  <si>
    <t>2009/09</t>
  </si>
  <si>
    <t>2009/10</t>
  </si>
  <si>
    <t>2009/11</t>
  </si>
  <si>
    <t>2009/12</t>
  </si>
  <si>
    <t>2010/01</t>
  </si>
  <si>
    <t>2010/02</t>
  </si>
  <si>
    <t>2010/03</t>
  </si>
  <si>
    <t>2010/04</t>
  </si>
  <si>
    <t>2010/05</t>
  </si>
  <si>
    <t>2010/06</t>
  </si>
  <si>
    <t>2010/07</t>
  </si>
  <si>
    <t>2010/08</t>
  </si>
  <si>
    <t>2010/09</t>
  </si>
  <si>
    <t>2010/10</t>
  </si>
  <si>
    <t>2010/11</t>
  </si>
  <si>
    <t>2010/12</t>
  </si>
  <si>
    <t>2011/01</t>
  </si>
  <si>
    <t>2011/02</t>
  </si>
  <si>
    <t>2011/03</t>
  </si>
  <si>
    <t>IncurredYrMo</t>
  </si>
  <si>
    <t>Paid to Date</t>
  </si>
  <si>
    <t>Lag0</t>
  </si>
  <si>
    <t>Lag1</t>
  </si>
  <si>
    <t>Lag2</t>
  </si>
  <si>
    <t>Lag3</t>
  </si>
  <si>
    <t>Lag4</t>
  </si>
  <si>
    <t>Lag5</t>
  </si>
  <si>
    <t>Lag6</t>
  </si>
  <si>
    <t>Lag7</t>
  </si>
  <si>
    <t>Lag8</t>
  </si>
  <si>
    <t>Lag9</t>
  </si>
  <si>
    <t>Lag10</t>
  </si>
  <si>
    <t>Lag11</t>
  </si>
  <si>
    <t>Lag12</t>
  </si>
  <si>
    <t>Lag13</t>
  </si>
  <si>
    <t>Lag14</t>
  </si>
  <si>
    <t>F</t>
  </si>
  <si>
    <t>0-24</t>
  </si>
  <si>
    <t>Alpha</t>
  </si>
  <si>
    <t>Allowed Claims PMPM</t>
  </si>
  <si>
    <t>Mbr Mos</t>
  </si>
  <si>
    <t>0.00</t>
  </si>
  <si>
    <t>Allowed Claims per Member</t>
  </si>
  <si>
    <t>Utilization</t>
  </si>
  <si>
    <t>Value of</t>
  </si>
  <si>
    <t>Paid</t>
  </si>
  <si>
    <t>Member Months</t>
  </si>
  <si>
    <t>Total Premium</t>
  </si>
  <si>
    <t>25-29</t>
  </si>
  <si>
    <t>Bravo</t>
  </si>
  <si>
    <t>Total AGF</t>
  </si>
  <si>
    <t>Utilizations</t>
  </si>
  <si>
    <t>0.01 - 500.00</t>
  </si>
  <si>
    <t>Member Deductible</t>
  </si>
  <si>
    <t>Type of</t>
  </si>
  <si>
    <t>per 1000</t>
  </si>
  <si>
    <t>Cost per</t>
  </si>
  <si>
    <t>Cost-Sharing</t>
  </si>
  <si>
    <t>Premium PMPM</t>
  </si>
  <si>
    <t>Pricing Loss Ratio</t>
  </si>
  <si>
    <t>30-34</t>
  </si>
  <si>
    <t>Charlie</t>
  </si>
  <si>
    <t>Total Area</t>
  </si>
  <si>
    <t>Billed</t>
  </si>
  <si>
    <t>500.01 - 2,500.00</t>
  </si>
  <si>
    <t>Member Coinsurance</t>
  </si>
  <si>
    <t>Service</t>
  </si>
  <si>
    <t>Incurred Claims Estimate</t>
  </si>
  <si>
    <t>35-39</t>
  </si>
  <si>
    <t>Delta</t>
  </si>
  <si>
    <t>Normalized Allowed PMPM</t>
  </si>
  <si>
    <t>2,500.01 - 5,500.00</t>
  </si>
  <si>
    <t>Coinsurance Maximum</t>
  </si>
  <si>
    <t>Inpatient</t>
  </si>
  <si>
    <t>Incurred and Paid to Date</t>
  </si>
  <si>
    <t>40-44</t>
  </si>
  <si>
    <t>Total</t>
  </si>
  <si>
    <t>5,500.01 - 10,500.00</t>
  </si>
  <si>
    <t>Threshold</t>
  </si>
  <si>
    <t>Outpatient</t>
  </si>
  <si>
    <t>Incurred in CY 2009</t>
  </si>
  <si>
    <t>IBNR</t>
  </si>
  <si>
    <t>45-49</t>
  </si>
  <si>
    <t>10,500.01 - 100,000.00</t>
  </si>
  <si>
    <t>Professional</t>
  </si>
  <si>
    <t>Paid thru EOY</t>
  </si>
  <si>
    <t>50-54</t>
  </si>
  <si>
    <t>Trend</t>
  </si>
  <si>
    <t>Above 100,000.01</t>
  </si>
  <si>
    <t>Prescriptions</t>
  </si>
  <si>
    <t>Paid after EOY (Runout)</t>
  </si>
  <si>
    <t>Reserve at Valuation Date</t>
  </si>
  <si>
    <t>55-59</t>
  </si>
  <si>
    <t>Utilz PMPM</t>
  </si>
  <si>
    <t>Runout as % of Premium</t>
  </si>
  <si>
    <t>60-64</t>
  </si>
  <si>
    <t>Billed PMPM</t>
  </si>
  <si>
    <t>Reserve for CY 2010</t>
  </si>
  <si>
    <t>M</t>
  </si>
  <si>
    <t>Allowed PMPM</t>
  </si>
  <si>
    <t>Valuation Date = 03/31/2011</t>
  </si>
  <si>
    <t>Paid PMPM</t>
  </si>
  <si>
    <t>Paid to Allowed Ratio</t>
  </si>
  <si>
    <t>Incurred in 1Q 2010</t>
  </si>
  <si>
    <t>Paid thru 3/31</t>
  </si>
  <si>
    <t>Paid after 3/31 (Runout)</t>
  </si>
  <si>
    <t>Ultimate</t>
  </si>
  <si>
    <t>Incurred</t>
  </si>
  <si>
    <t>Estimated</t>
  </si>
  <si>
    <t>Lag Factor</t>
  </si>
  <si>
    <t>Estimate</t>
  </si>
  <si>
    <t>Plan applies 20% coinsurance for medical services, 10 copayment per prescription</t>
  </si>
  <si>
    <t>Allowed/Utilz</t>
  </si>
  <si>
    <t>Relativity</t>
  </si>
  <si>
    <t>Curve</t>
  </si>
  <si>
    <t>Final</t>
  </si>
  <si>
    <t>to Gender</t>
  </si>
  <si>
    <t>Fit</t>
  </si>
  <si>
    <t>Fitted</t>
  </si>
  <si>
    <t>Factor</t>
  </si>
  <si>
    <t>Subtotal</t>
  </si>
  <si>
    <t>to Overall</t>
  </si>
  <si>
    <t>Billed/Utilz</t>
  </si>
  <si>
    <t>Seasonality</t>
  </si>
  <si>
    <t>Month</t>
  </si>
  <si>
    <t>Monthly Trend</t>
  </si>
  <si>
    <t>Annualized Trend</t>
  </si>
  <si>
    <t>Loss Ratio</t>
  </si>
  <si>
    <t>Commissions</t>
  </si>
  <si>
    <t>Taxes</t>
  </si>
  <si>
    <t>Risk Charge and Profit</t>
  </si>
  <si>
    <t>Manual Base Rate PMPM - CY 2009</t>
  </si>
  <si>
    <t>Annualized Allowed Trend</t>
  </si>
  <si>
    <t>Trended CY 2011 Allowed PMPM</t>
  </si>
  <si>
    <t>Benefit Factor for Selected Plan (Low)</t>
  </si>
  <si>
    <t>Trended CY 2011 Paid Claims PMPM</t>
  </si>
  <si>
    <t>Target Loss Ratio for Pricing</t>
  </si>
  <si>
    <t>Assumptions:</t>
  </si>
  <si>
    <t>Member</t>
  </si>
  <si>
    <t>A/G Factor</t>
  </si>
  <si>
    <t>Group Total Factors</t>
  </si>
  <si>
    <t>Group Age/Gender Factor</t>
  </si>
  <si>
    <t>Group Area Factor</t>
  </si>
  <si>
    <t>Group Premium PMPM for CY 2011</t>
  </si>
  <si>
    <t>Administrative Expenses</t>
  </si>
  <si>
    <t>3-Year Total</t>
  </si>
  <si>
    <t>Seas Adj</t>
  </si>
  <si>
    <t>Premium Buildup:</t>
  </si>
  <si>
    <t>Rating AGF</t>
  </si>
  <si>
    <t>Amount Billed by Provider for Office Visit</t>
  </si>
  <si>
    <t>Prevailing Fee for Office Visit</t>
  </si>
  <si>
    <t>Negotiated Provider Discount</t>
  </si>
  <si>
    <t>Amount Allowed to Provider</t>
  </si>
  <si>
    <t>Member Copay per Benefit Plan – Paid by Member</t>
  </si>
  <si>
    <t>Amount Paid by Insurer</t>
  </si>
  <si>
    <t>Pct Increase</t>
  </si>
  <si>
    <t>Member #1</t>
  </si>
  <si>
    <t>Claims Incurred</t>
  </si>
  <si>
    <t>Claims Paid</t>
  </si>
  <si>
    <t>Member #2</t>
  </si>
  <si>
    <t>Premium</t>
  </si>
  <si>
    <t>Loss</t>
  </si>
  <si>
    <t>Group#</t>
  </si>
  <si>
    <t>Ratio</t>
  </si>
  <si>
    <t>Current</t>
  </si>
  <si>
    <t>Future</t>
  </si>
  <si>
    <t>Pooled</t>
  </si>
  <si>
    <t>Necessary</t>
  </si>
  <si>
    <t>Rate</t>
  </si>
  <si>
    <t>Increase</t>
  </si>
  <si>
    <t>Calculated</t>
  </si>
  <si>
    <t>Claim Duration</t>
  </si>
  <si>
    <t>Number of Claimants, Age At Claim x</t>
  </si>
  <si>
    <t>in months</t>
  </si>
  <si>
    <t>Reserve for YTD 2011</t>
  </si>
  <si>
    <t>Reserve at Valuation Date 3/31/2011</t>
  </si>
  <si>
    <t>Plan applies 25% coinsurance for medical services, 15 copayment per prescription</t>
  </si>
  <si>
    <t>Impact to Paid PMPM</t>
  </si>
  <si>
    <t>Table 30.1 - Amounts Determined in Claim Processing</t>
  </si>
  <si>
    <t>Table 30.2 - Manual Base Rate Calculation</t>
  </si>
  <si>
    <t>Table 30.3 - Claim Probability Distribution, Allowed Dollars per Member</t>
  </si>
  <si>
    <t>Table 30.4 - Premium and claims experience by group</t>
  </si>
  <si>
    <t>Table 30.5 – Applying constant rate increase</t>
  </si>
  <si>
    <t>Table 30.6 – Applying group-specific rate increase</t>
  </si>
  <si>
    <t>Table 30.7 – Rate increase with pooled catastrophic claims</t>
  </si>
  <si>
    <t>Table 31.1 - Reserve Using Factor Method</t>
  </si>
  <si>
    <t>Table 31.2 - Lag Method IBNR</t>
  </si>
  <si>
    <t>Table 31.3 - Reserve Using Loss Ratio Method</t>
  </si>
  <si>
    <t>Table 31.4 - Sample Continuance Table</t>
  </si>
  <si>
    <t>Example 30.2 - Claims Experience by Age and Gender</t>
  </si>
  <si>
    <t>Example 30.3 - Rating Factors by Area</t>
  </si>
  <si>
    <t>Example 30.4</t>
  </si>
  <si>
    <t>Example 30.5 - Rebalancing and Smoothing Age/Gender Factors</t>
  </si>
  <si>
    <t>Example 30.6 - Rebalancing Area Factors</t>
  </si>
  <si>
    <t>Example 30.7 - Types of Year-Over-Year Trend</t>
  </si>
  <si>
    <t>Example 30.8 - Allowed Trends on Three Years Data, with Seasonal Adjustments</t>
  </si>
  <si>
    <t>Example 30.7 - Illustration of Deductible Leveraging</t>
  </si>
  <si>
    <t>Example 30.9</t>
  </si>
  <si>
    <t>Example 30.10 - Value of Benefit Plans</t>
  </si>
  <si>
    <t>Example 30.11 - Using a Cost Model to Evaluate Paid Claims</t>
  </si>
  <si>
    <t>Example 30.12 - Using a Cost Model to Evaluate the Impact of a Benefit Change</t>
  </si>
  <si>
    <t>Example 30.13 - Census for Potential New Group</t>
  </si>
  <si>
    <t>Example 30.13 - Loss Ratio Method for Premium</t>
  </si>
  <si>
    <t>Example 30.14</t>
  </si>
  <si>
    <t>Example 30.15</t>
  </si>
  <si>
    <t>Example 31.1 - Incurred/Paid Claims Triangle; Row Headings = Incurred Year/Month, Column Headings = Paid Year/Month</t>
  </si>
  <si>
    <t>Example 31.2</t>
  </si>
  <si>
    <t>Example 31.3 - Claim Payment Runout, for Reserve Using Lag Method</t>
  </si>
  <si>
    <t>Example 31.3 - Claim Payment Ratios by Lag Month, for Reserve Using Lag Method</t>
  </si>
  <si>
    <t>Example 31.3</t>
  </si>
  <si>
    <t>Example 31.4</t>
  </si>
  <si>
    <t>Example 31.5</t>
  </si>
  <si>
    <t>infinity</t>
  </si>
  <si>
    <t>Expected Insurance Payment per Member</t>
  </si>
  <si>
    <t>Upper Limit (cols have expected savings)</t>
  </si>
  <si>
    <t>Total Expected Savings</t>
  </si>
  <si>
    <t>Rows 8-14 have the expected savings in each range due to the combination of coinsurance</t>
  </si>
  <si>
    <t>and threshold. This is more straightforward than the approach indicated in the text</t>
  </si>
  <si>
    <t>that accompanies Example 30.10.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</si>
</sst>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_(* #,##0.0000_);_(* \(#,##0.0000\);_(* &quot;-&quot;??_);_(@_)"/>
    <numFmt numFmtId="167" formatCode="0.000000"/>
    <numFmt numFmtId="168" formatCode="0.0%"/>
    <numFmt numFmtId="169" formatCode="0.000%"/>
    <numFmt numFmtId="170" formatCode="_(* #,##0.000000_);_(* \(#,##0.000000\);_(* &quot;-&quot;??_);_(@_)"/>
    <numFmt numFmtId="171" formatCode="[$-409]mmm\-yy;@"/>
    <numFmt numFmtId="172" formatCode="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auto="1"/>
      </left>
      <right style="thin">
        <color indexed="22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6" fillId="0" borderId="0"/>
  </cellStyleXfs>
  <cellXfs count="362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Font="1"/>
    <xf numFmtId="0" fontId="2" fillId="0" borderId="0" xfId="0" applyFont="1"/>
    <xf numFmtId="165" fontId="2" fillId="0" borderId="0" xfId="1" applyNumberFormat="1" applyFont="1"/>
    <xf numFmtId="0" fontId="3" fillId="0" borderId="0" xfId="0" applyFont="1"/>
    <xf numFmtId="3" fontId="1" fillId="0" borderId="0" xfId="1" applyNumberFormat="1" applyFont="1"/>
    <xf numFmtId="166" fontId="1" fillId="0" borderId="0" xfId="0" applyNumberFormat="1" applyFont="1"/>
    <xf numFmtId="164" fontId="0" fillId="0" borderId="0" xfId="1" applyNumberFormat="1" applyFont="1"/>
    <xf numFmtId="43" fontId="0" fillId="0" borderId="0" xfId="1" applyFont="1"/>
    <xf numFmtId="164" fontId="0" fillId="0" borderId="0" xfId="0" applyNumberFormat="1"/>
    <xf numFmtId="166" fontId="2" fillId="0" borderId="0" xfId="0" applyNumberFormat="1" applyFont="1"/>
    <xf numFmtId="169" fontId="0" fillId="0" borderId="0" xfId="2" applyNumberFormat="1" applyFont="1"/>
    <xf numFmtId="10" fontId="0" fillId="0" borderId="0" xfId="2" applyNumberFormat="1" applyFont="1"/>
    <xf numFmtId="0" fontId="7" fillId="0" borderId="0" xfId="4" applyFont="1" applyFill="1" applyBorder="1" applyAlignment="1">
      <alignment wrapText="1"/>
    </xf>
    <xf numFmtId="3" fontId="2" fillId="0" borderId="0" xfId="1" applyNumberFormat="1" applyFont="1"/>
    <xf numFmtId="170" fontId="0" fillId="0" borderId="0" xfId="0" applyNumberFormat="1"/>
    <xf numFmtId="0" fontId="0" fillId="0" borderId="1" xfId="0" applyBorder="1"/>
    <xf numFmtId="0" fontId="0" fillId="0" borderId="2" xfId="0" applyBorder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0" fillId="0" borderId="4" xfId="0" applyBorder="1"/>
    <xf numFmtId="0" fontId="0" fillId="0" borderId="0" xfId="0" applyBorder="1"/>
    <xf numFmtId="0" fontId="2" fillId="0" borderId="0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right"/>
    </xf>
    <xf numFmtId="3" fontId="1" fillId="0" borderId="0" xfId="1" applyNumberFormat="1" applyFont="1" applyBorder="1"/>
    <xf numFmtId="43" fontId="1" fillId="0" borderId="0" xfId="1" applyFont="1" applyBorder="1"/>
    <xf numFmtId="166" fontId="1" fillId="0" borderId="5" xfId="0" applyNumberFormat="1" applyFont="1" applyBorder="1"/>
    <xf numFmtId="0" fontId="2" fillId="0" borderId="0" xfId="0" applyFont="1" applyBorder="1"/>
    <xf numFmtId="3" fontId="2" fillId="0" borderId="0" xfId="1" applyNumberFormat="1" applyFont="1" applyBorder="1"/>
    <xf numFmtId="0" fontId="8" fillId="0" borderId="6" xfId="0" applyFont="1" applyBorder="1"/>
    <xf numFmtId="0" fontId="2" fillId="0" borderId="7" xfId="0" applyFont="1" applyBorder="1"/>
    <xf numFmtId="3" fontId="2" fillId="0" borderId="7" xfId="1" applyNumberFormat="1" applyFont="1" applyBorder="1"/>
    <xf numFmtId="0" fontId="0" fillId="0" borderId="3" xfId="0" applyBorder="1"/>
    <xf numFmtId="165" fontId="5" fillId="0" borderId="4" xfId="3" applyNumberFormat="1" applyFont="1" applyBorder="1" applyAlignment="1">
      <alignment horizontal="right"/>
    </xf>
    <xf numFmtId="164" fontId="1" fillId="0" borderId="0" xfId="0" applyNumberFormat="1" applyFont="1" applyBorder="1"/>
    <xf numFmtId="43" fontId="1" fillId="0" borderId="0" xfId="0" applyNumberFormat="1" applyFont="1" applyBorder="1"/>
    <xf numFmtId="164" fontId="2" fillId="0" borderId="0" xfId="0" applyNumberFormat="1" applyFont="1" applyBorder="1"/>
    <xf numFmtId="164" fontId="1" fillId="0" borderId="3" xfId="0" applyNumberFormat="1" applyFont="1" applyBorder="1"/>
    <xf numFmtId="43" fontId="1" fillId="0" borderId="5" xfId="1" applyFont="1" applyBorder="1"/>
    <xf numFmtId="0" fontId="2" fillId="0" borderId="4" xfId="0" applyFont="1" applyBorder="1"/>
    <xf numFmtId="0" fontId="2" fillId="0" borderId="1" xfId="0" applyFont="1" applyBorder="1"/>
    <xf numFmtId="0" fontId="2" fillId="0" borderId="2" xfId="0" applyFont="1" applyBorder="1"/>
    <xf numFmtId="164" fontId="0" fillId="0" borderId="0" xfId="1" applyNumberFormat="1" applyFont="1" applyBorder="1"/>
    <xf numFmtId="0" fontId="0" fillId="0" borderId="5" xfId="0" applyBorder="1"/>
    <xf numFmtId="43" fontId="0" fillId="0" borderId="0" xfId="1" applyFont="1" applyBorder="1"/>
    <xf numFmtId="10" fontId="0" fillId="0" borderId="5" xfId="2" applyNumberFormat="1" applyFont="1" applyBorder="1"/>
    <xf numFmtId="167" fontId="0" fillId="0" borderId="0" xfId="0" applyNumberFormat="1" applyBorder="1"/>
    <xf numFmtId="43" fontId="0" fillId="0" borderId="5" xfId="1" applyFont="1" applyBorder="1"/>
    <xf numFmtId="43" fontId="0" fillId="0" borderId="0" xfId="0" applyNumberFormat="1" applyBorder="1"/>
    <xf numFmtId="43" fontId="0" fillId="0" borderId="5" xfId="0" applyNumberFormat="1" applyBorder="1"/>
    <xf numFmtId="9" fontId="0" fillId="0" borderId="0" xfId="2" applyFont="1" applyBorder="1"/>
    <xf numFmtId="9" fontId="0" fillId="0" borderId="5" xfId="2" applyFont="1" applyBorder="1"/>
    <xf numFmtId="0" fontId="0" fillId="0" borderId="4" xfId="0" applyFont="1" applyBorder="1"/>
    <xf numFmtId="164" fontId="0" fillId="0" borderId="5" xfId="1" applyNumberFormat="1" applyFont="1" applyBorder="1"/>
    <xf numFmtId="0" fontId="2" fillId="0" borderId="1" xfId="1" applyNumberFormat="1" applyFont="1" applyBorder="1" applyAlignment="1">
      <alignment horizontal="left"/>
    </xf>
    <xf numFmtId="165" fontId="2" fillId="0" borderId="2" xfId="1" applyNumberFormat="1" applyFont="1" applyBorder="1"/>
    <xf numFmtId="165" fontId="2" fillId="0" borderId="3" xfId="1" applyNumberFormat="1" applyFont="1" applyBorder="1"/>
    <xf numFmtId="164" fontId="0" fillId="0" borderId="0" xfId="0" applyNumberFormat="1" applyBorder="1"/>
    <xf numFmtId="164" fontId="0" fillId="0" borderId="5" xfId="0" applyNumberFormat="1" applyBorder="1"/>
    <xf numFmtId="43" fontId="0" fillId="0" borderId="0" xfId="1" applyNumberFormat="1" applyFont="1" applyBorder="1"/>
    <xf numFmtId="43" fontId="0" fillId="0" borderId="5" xfId="1" applyNumberFormat="1" applyFont="1" applyBorder="1"/>
    <xf numFmtId="0" fontId="0" fillId="0" borderId="4" xfId="0" applyBorder="1" applyAlignment="1">
      <alignment horizontal="left" indent="1"/>
    </xf>
    <xf numFmtId="169" fontId="0" fillId="0" borderId="0" xfId="2" applyNumberFormat="1" applyFont="1" applyBorder="1"/>
    <xf numFmtId="164" fontId="2" fillId="0" borderId="0" xfId="1" applyNumberFormat="1" applyFont="1" applyBorder="1"/>
    <xf numFmtId="164" fontId="2" fillId="0" borderId="5" xfId="1" applyNumberFormat="1" applyFont="1" applyBorder="1"/>
    <xf numFmtId="164" fontId="2" fillId="0" borderId="5" xfId="0" applyNumberFormat="1" applyFont="1" applyBorder="1"/>
    <xf numFmtId="0" fontId="0" fillId="0" borderId="1" xfId="0" applyFont="1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7" fillId="0" borderId="9" xfId="4" applyFont="1" applyFill="1" applyBorder="1" applyAlignment="1">
      <alignment wrapText="1"/>
    </xf>
    <xf numFmtId="164" fontId="0" fillId="0" borderId="7" xfId="1" applyNumberFormat="1" applyFont="1" applyBorder="1"/>
    <xf numFmtId="164" fontId="0" fillId="0" borderId="8" xfId="1" applyNumberFormat="1" applyFont="1" applyBorder="1"/>
    <xf numFmtId="170" fontId="0" fillId="0" borderId="0" xfId="1" applyNumberFormat="1" applyFont="1" applyBorder="1"/>
    <xf numFmtId="170" fontId="0" fillId="0" borderId="5" xfId="1" applyNumberFormat="1" applyFont="1" applyBorder="1"/>
    <xf numFmtId="0" fontId="7" fillId="0" borderId="4" xfId="4" applyFont="1" applyFill="1" applyBorder="1" applyAlignment="1">
      <alignment wrapText="1"/>
    </xf>
    <xf numFmtId="170" fontId="0" fillId="0" borderId="0" xfId="0" applyNumberFormat="1" applyBorder="1"/>
    <xf numFmtId="170" fontId="0" fillId="0" borderId="5" xfId="0" applyNumberFormat="1" applyBorder="1"/>
    <xf numFmtId="0" fontId="9" fillId="0" borderId="10" xfId="4" applyFont="1" applyFill="1" applyBorder="1" applyAlignment="1">
      <alignment wrapText="1"/>
    </xf>
    <xf numFmtId="168" fontId="0" fillId="0" borderId="0" xfId="2" applyNumberFormat="1" applyFont="1" applyBorder="1"/>
    <xf numFmtId="168" fontId="0" fillId="0" borderId="5" xfId="2" applyNumberFormat="1" applyFont="1" applyBorder="1"/>
    <xf numFmtId="0" fontId="0" fillId="0" borderId="4" xfId="0" applyBorder="1" applyAlignment="1">
      <alignment horizontal="left"/>
    </xf>
    <xf numFmtId="169" fontId="0" fillId="0" borderId="5" xfId="2" applyNumberFormat="1" applyFont="1" applyBorder="1"/>
    <xf numFmtId="1" fontId="0" fillId="0" borderId="0" xfId="0" applyNumberFormat="1" applyFill="1" applyBorder="1"/>
    <xf numFmtId="1" fontId="0" fillId="0" borderId="0" xfId="1" applyNumberFormat="1" applyFont="1" applyFill="1" applyBorder="1"/>
    <xf numFmtId="1" fontId="0" fillId="0" borderId="0" xfId="0" applyNumberFormat="1"/>
    <xf numFmtId="37" fontId="0" fillId="0" borderId="0" xfId="1" applyNumberFormat="1" applyFont="1" applyFill="1" applyBorder="1"/>
    <xf numFmtId="164" fontId="1" fillId="0" borderId="0" xfId="0" applyNumberFormat="1" applyFont="1"/>
    <xf numFmtId="166" fontId="1" fillId="0" borderId="0" xfId="0" applyNumberFormat="1" applyFont="1" applyBorder="1"/>
    <xf numFmtId="0" fontId="8" fillId="0" borderId="0" xfId="0" applyFont="1" applyFill="1" applyBorder="1"/>
    <xf numFmtId="43" fontId="0" fillId="0" borderId="0" xfId="1" applyFont="1" applyFill="1" applyBorder="1"/>
    <xf numFmtId="172" fontId="0" fillId="0" borderId="0" xfId="0" applyNumberFormat="1"/>
    <xf numFmtId="43" fontId="0" fillId="0" borderId="20" xfId="0" applyNumberFormat="1" applyFill="1" applyBorder="1"/>
    <xf numFmtId="0" fontId="0" fillId="0" borderId="12" xfId="0" applyFill="1" applyBorder="1"/>
    <xf numFmtId="0" fontId="12" fillId="0" borderId="12" xfId="0" applyFont="1" applyFill="1" applyBorder="1" applyAlignment="1">
      <alignment horizontal="right"/>
    </xf>
    <xf numFmtId="0" fontId="11" fillId="0" borderId="12" xfId="0" applyFont="1" applyFill="1" applyBorder="1"/>
    <xf numFmtId="0" fontId="12" fillId="0" borderId="13" xfId="0" applyFont="1" applyFill="1" applyBorder="1" applyAlignment="1">
      <alignment horizontal="right"/>
    </xf>
    <xf numFmtId="164" fontId="11" fillId="0" borderId="16" xfId="1" applyNumberFormat="1" applyFont="1" applyFill="1" applyBorder="1"/>
    <xf numFmtId="43" fontId="11" fillId="0" borderId="16" xfId="1" applyFont="1" applyFill="1" applyBorder="1"/>
    <xf numFmtId="172" fontId="11" fillId="0" borderId="16" xfId="0" applyNumberFormat="1" applyFont="1" applyFill="1" applyBorder="1" applyAlignment="1">
      <alignment horizontal="right"/>
    </xf>
    <xf numFmtId="43" fontId="11" fillId="0" borderId="16" xfId="0" applyNumberFormat="1" applyFont="1" applyFill="1" applyBorder="1"/>
    <xf numFmtId="172" fontId="11" fillId="0" borderId="16" xfId="0" applyNumberFormat="1" applyFont="1" applyFill="1" applyBorder="1"/>
    <xf numFmtId="0" fontId="11" fillId="0" borderId="0" xfId="0" applyFont="1" applyFill="1"/>
    <xf numFmtId="164" fontId="11" fillId="0" borderId="0" xfId="1" applyNumberFormat="1" applyFont="1" applyFill="1"/>
    <xf numFmtId="164" fontId="11" fillId="0" borderId="0" xfId="0" applyNumberFormat="1" applyFont="1" applyFill="1"/>
    <xf numFmtId="172" fontId="11" fillId="0" borderId="0" xfId="0" applyNumberFormat="1" applyFont="1" applyFill="1"/>
    <xf numFmtId="168" fontId="0" fillId="0" borderId="19" xfId="2" applyNumberFormat="1" applyFont="1" applyFill="1" applyBorder="1"/>
    <xf numFmtId="168" fontId="0" fillId="0" borderId="20" xfId="2" applyNumberFormat="1" applyFont="1" applyFill="1" applyBorder="1"/>
    <xf numFmtId="168" fontId="0" fillId="0" borderId="21" xfId="2" applyNumberFormat="1" applyFont="1" applyFill="1" applyBorder="1"/>
    <xf numFmtId="10" fontId="0" fillId="0" borderId="20" xfId="0" applyNumberFormat="1" applyFill="1" applyBorder="1"/>
    <xf numFmtId="166" fontId="0" fillId="0" borderId="20" xfId="0" applyNumberFormat="1" applyFont="1" applyFill="1" applyBorder="1" applyAlignment="1">
      <alignment horizontal="center"/>
    </xf>
    <xf numFmtId="43" fontId="0" fillId="0" borderId="20" xfId="0" applyNumberFormat="1" applyFont="1" applyFill="1" applyBorder="1" applyAlignment="1">
      <alignment horizontal="center"/>
    </xf>
    <xf numFmtId="43" fontId="0" fillId="0" borderId="20" xfId="1" applyFont="1" applyFill="1" applyBorder="1"/>
    <xf numFmtId="43" fontId="2" fillId="0" borderId="21" xfId="0" applyNumberFormat="1" applyFont="1" applyFill="1" applyBorder="1" applyAlignment="1">
      <alignment horizontal="center"/>
    </xf>
    <xf numFmtId="0" fontId="8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6" xfId="0" applyFont="1" applyFill="1" applyBorder="1"/>
    <xf numFmtId="0" fontId="0" fillId="0" borderId="13" xfId="0" applyFill="1" applyBorder="1"/>
    <xf numFmtId="0" fontId="0" fillId="0" borderId="12" xfId="0" applyFill="1" applyBorder="1" applyAlignment="1">
      <alignment horizontal="left"/>
    </xf>
    <xf numFmtId="0" fontId="0" fillId="0" borderId="12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0" fillId="0" borderId="11" xfId="0" applyFill="1" applyBorder="1"/>
    <xf numFmtId="0" fontId="2" fillId="0" borderId="11" xfId="0" applyFont="1" applyFill="1" applyBorder="1" applyAlignment="1">
      <alignment horizontal="right"/>
    </xf>
    <xf numFmtId="0" fontId="0" fillId="0" borderId="0" xfId="0" applyFill="1"/>
    <xf numFmtId="0" fontId="2" fillId="0" borderId="12" xfId="0" applyFont="1" applyFill="1" applyBorder="1" applyAlignment="1">
      <alignment horizontal="right"/>
    </xf>
    <xf numFmtId="0" fontId="2" fillId="0" borderId="13" xfId="0" applyFont="1" applyFill="1" applyBorder="1" applyAlignment="1">
      <alignment horizontal="right"/>
    </xf>
    <xf numFmtId="0" fontId="0" fillId="0" borderId="12" xfId="0" applyFill="1" applyBorder="1" applyAlignment="1">
      <alignment horizontal="right"/>
    </xf>
    <xf numFmtId="43" fontId="1" fillId="0" borderId="12" xfId="1" applyFont="1" applyFill="1" applyBorder="1"/>
    <xf numFmtId="166" fontId="1" fillId="0" borderId="12" xfId="1" applyNumberFormat="1" applyFont="1" applyFill="1" applyBorder="1"/>
    <xf numFmtId="164" fontId="1" fillId="0" borderId="11" xfId="0" applyNumberFormat="1" applyFont="1" applyFill="1" applyBorder="1"/>
    <xf numFmtId="43" fontId="1" fillId="0" borderId="11" xfId="0" applyNumberFormat="1" applyFont="1" applyFill="1" applyBorder="1"/>
    <xf numFmtId="164" fontId="1" fillId="0" borderId="12" xfId="0" applyNumberFormat="1" applyFont="1" applyFill="1" applyBorder="1"/>
    <xf numFmtId="43" fontId="1" fillId="0" borderId="12" xfId="0" applyNumberFormat="1" applyFont="1" applyFill="1" applyBorder="1"/>
    <xf numFmtId="164" fontId="1" fillId="0" borderId="13" xfId="0" applyNumberFormat="1" applyFont="1" applyFill="1" applyBorder="1"/>
    <xf numFmtId="43" fontId="1" fillId="0" borderId="13" xfId="0" applyNumberFormat="1" applyFont="1" applyFill="1" applyBorder="1"/>
    <xf numFmtId="0" fontId="0" fillId="0" borderId="0" xfId="0" applyFill="1" applyBorder="1"/>
    <xf numFmtId="0" fontId="0" fillId="0" borderId="13" xfId="0" applyFill="1" applyBorder="1" applyAlignment="1">
      <alignment horizontal="right"/>
    </xf>
    <xf numFmtId="166" fontId="1" fillId="0" borderId="13" xfId="1" applyNumberFormat="1" applyFont="1" applyFill="1" applyBorder="1"/>
    <xf numFmtId="0" fontId="2" fillId="0" borderId="15" xfId="0" applyFont="1" applyFill="1" applyBorder="1" applyAlignment="1">
      <alignment horizontal="right"/>
    </xf>
    <xf numFmtId="43" fontId="2" fillId="0" borderId="16" xfId="1" applyFont="1" applyFill="1" applyBorder="1"/>
    <xf numFmtId="166" fontId="2" fillId="0" borderId="16" xfId="1" applyNumberFormat="1" applyFont="1" applyFill="1" applyBorder="1"/>
    <xf numFmtId="43" fontId="1" fillId="0" borderId="13" xfId="1" applyFont="1" applyFill="1" applyBorder="1"/>
    <xf numFmtId="0" fontId="13" fillId="0" borderId="1" xfId="0" applyFont="1" applyBorder="1"/>
    <xf numFmtId="43" fontId="13" fillId="0" borderId="3" xfId="1" applyFont="1" applyBorder="1" applyAlignment="1">
      <alignment horizontal="right"/>
    </xf>
    <xf numFmtId="0" fontId="13" fillId="0" borderId="4" xfId="0" applyFont="1" applyBorder="1"/>
    <xf numFmtId="43" fontId="13" fillId="0" borderId="5" xfId="1" applyFont="1" applyBorder="1" applyAlignment="1">
      <alignment horizontal="right"/>
    </xf>
    <xf numFmtId="9" fontId="13" fillId="0" borderId="5" xfId="0" applyNumberFormat="1" applyFont="1" applyBorder="1" applyAlignment="1">
      <alignment horizontal="right"/>
    </xf>
    <xf numFmtId="0" fontId="13" fillId="0" borderId="6" xfId="0" applyFont="1" applyBorder="1"/>
    <xf numFmtId="43" fontId="13" fillId="0" borderId="8" xfId="1" applyFont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0" fontId="0" fillId="0" borderId="0" xfId="0" applyAlignment="1">
      <alignment horizontal="centerContinuous"/>
    </xf>
    <xf numFmtId="0" fontId="2" fillId="0" borderId="6" xfId="0" applyFont="1" applyBorder="1" applyAlignment="1">
      <alignment horizontal="right"/>
    </xf>
    <xf numFmtId="43" fontId="2" fillId="0" borderId="7" xfId="1" applyFont="1" applyBorder="1"/>
    <xf numFmtId="166" fontId="2" fillId="0" borderId="8" xfId="0" applyNumberFormat="1" applyFont="1" applyBorder="1"/>
    <xf numFmtId="0" fontId="8" fillId="0" borderId="0" xfId="0" applyFont="1" applyBorder="1"/>
    <xf numFmtId="0" fontId="5" fillId="0" borderId="6" xfId="3" applyFont="1" applyFill="1" applyBorder="1" applyAlignment="1">
      <alignment horizontal="right"/>
    </xf>
    <xf numFmtId="164" fontId="2" fillId="0" borderId="7" xfId="0" applyNumberFormat="1" applyFont="1" applyBorder="1"/>
    <xf numFmtId="43" fontId="2" fillId="0" borderId="7" xfId="0" applyNumberFormat="1" applyFont="1" applyBorder="1"/>
    <xf numFmtId="0" fontId="8" fillId="0" borderId="2" xfId="0" applyFont="1" applyBorder="1"/>
    <xf numFmtId="3" fontId="1" fillId="0" borderId="2" xfId="1" applyNumberFormat="1" applyFont="1" applyBorder="1"/>
    <xf numFmtId="0" fontId="0" fillId="0" borderId="22" xfId="0" applyFill="1" applyBorder="1"/>
    <xf numFmtId="0" fontId="0" fillId="0" borderId="23" xfId="0" applyFill="1" applyBorder="1"/>
    <xf numFmtId="0" fontId="2" fillId="0" borderId="23" xfId="0" applyFont="1" applyFill="1" applyBorder="1" applyAlignment="1">
      <alignment horizontal="right"/>
    </xf>
    <xf numFmtId="0" fontId="2" fillId="0" borderId="24" xfId="0" applyFont="1" applyFill="1" applyBorder="1" applyAlignment="1">
      <alignment horizontal="right"/>
    </xf>
    <xf numFmtId="0" fontId="0" fillId="0" borderId="25" xfId="0" applyFill="1" applyBorder="1"/>
    <xf numFmtId="0" fontId="2" fillId="0" borderId="26" xfId="0" applyFont="1" applyFill="1" applyBorder="1" applyAlignment="1">
      <alignment horizontal="right"/>
    </xf>
    <xf numFmtId="0" fontId="2" fillId="0" borderId="27" xfId="0" applyFont="1" applyFill="1" applyBorder="1" applyAlignment="1">
      <alignment horizontal="right"/>
    </xf>
    <xf numFmtId="0" fontId="2" fillId="0" borderId="28" xfId="0" applyFont="1" applyFill="1" applyBorder="1" applyAlignment="1">
      <alignment horizontal="right"/>
    </xf>
    <xf numFmtId="0" fontId="0" fillId="0" borderId="25" xfId="0" applyFill="1" applyBorder="1" applyAlignment="1">
      <alignment horizontal="right"/>
    </xf>
    <xf numFmtId="166" fontId="1" fillId="0" borderId="26" xfId="1" applyNumberFormat="1" applyFont="1" applyFill="1" applyBorder="1"/>
    <xf numFmtId="0" fontId="0" fillId="0" borderId="27" xfId="0" applyFill="1" applyBorder="1" applyAlignment="1">
      <alignment horizontal="right"/>
    </xf>
    <xf numFmtId="0" fontId="0" fillId="0" borderId="29" xfId="0" applyFill="1" applyBorder="1" applyAlignment="1">
      <alignment horizontal="right"/>
    </xf>
    <xf numFmtId="166" fontId="2" fillId="0" borderId="30" xfId="1" applyNumberFormat="1" applyFont="1" applyFill="1" applyBorder="1"/>
    <xf numFmtId="0" fontId="0" fillId="0" borderId="31" xfId="0" applyFill="1" applyBorder="1"/>
    <xf numFmtId="0" fontId="2" fillId="0" borderId="32" xfId="0" applyFont="1" applyFill="1" applyBorder="1" applyAlignment="1">
      <alignment horizontal="right"/>
    </xf>
    <xf numFmtId="0" fontId="0" fillId="0" borderId="29" xfId="0" applyFill="1" applyBorder="1"/>
    <xf numFmtId="0" fontId="0" fillId="0" borderId="6" xfId="0" applyFill="1" applyBorder="1"/>
    <xf numFmtId="0" fontId="2" fillId="0" borderId="7" xfId="0" applyFont="1" applyFill="1" applyBorder="1" applyAlignment="1">
      <alignment horizontal="right"/>
    </xf>
    <xf numFmtId="43" fontId="2" fillId="0" borderId="33" xfId="1" applyFont="1" applyFill="1" applyBorder="1"/>
    <xf numFmtId="166" fontId="2" fillId="0" borderId="33" xfId="1" applyNumberFormat="1" applyFont="1" applyFill="1" applyBorder="1"/>
    <xf numFmtId="166" fontId="2" fillId="0" borderId="34" xfId="1" applyNumberFormat="1" applyFont="1" applyFill="1" applyBorder="1"/>
    <xf numFmtId="0" fontId="2" fillId="0" borderId="25" xfId="0" applyFont="1" applyFill="1" applyBorder="1" applyAlignment="1">
      <alignment horizontal="right"/>
    </xf>
    <xf numFmtId="165" fontId="10" fillId="0" borderId="31" xfId="3" applyNumberFormat="1" applyFont="1" applyFill="1" applyBorder="1" applyAlignment="1">
      <alignment horizontal="right"/>
    </xf>
    <xf numFmtId="166" fontId="1" fillId="0" borderId="32" xfId="0" applyNumberFormat="1" applyFont="1" applyFill="1" applyBorder="1"/>
    <xf numFmtId="165" fontId="10" fillId="0" borderId="25" xfId="3" applyNumberFormat="1" applyFont="1" applyFill="1" applyBorder="1" applyAlignment="1">
      <alignment horizontal="right"/>
    </xf>
    <xf numFmtId="166" fontId="1" fillId="0" borderId="26" xfId="0" applyNumberFormat="1" applyFont="1" applyFill="1" applyBorder="1"/>
    <xf numFmtId="165" fontId="10" fillId="0" borderId="27" xfId="3" applyNumberFormat="1" applyFont="1" applyFill="1" applyBorder="1" applyAlignment="1">
      <alignment horizontal="right"/>
    </xf>
    <xf numFmtId="166" fontId="1" fillId="0" borderId="28" xfId="0" applyNumberFormat="1" applyFont="1" applyFill="1" applyBorder="1"/>
    <xf numFmtId="0" fontId="5" fillId="0" borderId="35" xfId="3" applyFont="1" applyFill="1" applyBorder="1" applyAlignment="1">
      <alignment horizontal="right"/>
    </xf>
    <xf numFmtId="164" fontId="2" fillId="0" borderId="36" xfId="0" applyNumberFormat="1" applyFont="1" applyFill="1" applyBorder="1"/>
    <xf numFmtId="43" fontId="2" fillId="0" borderId="36" xfId="0" applyNumberFormat="1" applyFont="1" applyFill="1" applyBorder="1"/>
    <xf numFmtId="166" fontId="2" fillId="0" borderId="37" xfId="0" applyNumberFormat="1" applyFont="1" applyFill="1" applyBorder="1"/>
    <xf numFmtId="0" fontId="0" fillId="0" borderId="6" xfId="0" applyBorder="1"/>
    <xf numFmtId="43" fontId="0" fillId="0" borderId="7" xfId="1" applyFont="1" applyBorder="1"/>
    <xf numFmtId="168" fontId="0" fillId="0" borderId="5" xfId="0" applyNumberFormat="1" applyBorder="1"/>
    <xf numFmtId="0" fontId="0" fillId="0" borderId="4" xfId="0" applyFill="1" applyBorder="1"/>
    <xf numFmtId="164" fontId="0" fillId="0" borderId="0" xfId="1" applyNumberFormat="1" applyFont="1" applyFill="1" applyBorder="1"/>
    <xf numFmtId="168" fontId="0" fillId="0" borderId="8" xfId="2" applyNumberFormat="1" applyFont="1" applyBorder="1"/>
    <xf numFmtId="10" fontId="0" fillId="0" borderId="0" xfId="2" applyNumberFormat="1" applyFont="1" applyBorder="1"/>
    <xf numFmtId="0" fontId="11" fillId="0" borderId="22" xfId="0" applyFont="1" applyFill="1" applyBorder="1"/>
    <xf numFmtId="0" fontId="11" fillId="0" borderId="23" xfId="0" applyFont="1" applyFill="1" applyBorder="1"/>
    <xf numFmtId="0" fontId="12" fillId="0" borderId="23" xfId="0" applyFont="1" applyFill="1" applyBorder="1" applyAlignment="1">
      <alignment horizontal="right"/>
    </xf>
    <xf numFmtId="0" fontId="12" fillId="0" borderId="24" xfId="0" applyFont="1" applyFill="1" applyBorder="1" applyAlignment="1">
      <alignment horizontal="right"/>
    </xf>
    <xf numFmtId="0" fontId="12" fillId="0" borderId="25" xfId="0" applyFont="1" applyFill="1" applyBorder="1" applyAlignment="1">
      <alignment horizontal="right"/>
    </xf>
    <xf numFmtId="0" fontId="12" fillId="0" borderId="26" xfId="0" applyFont="1" applyFill="1" applyBorder="1" applyAlignment="1">
      <alignment horizontal="right"/>
    </xf>
    <xf numFmtId="0" fontId="12" fillId="0" borderId="27" xfId="0" applyFont="1" applyFill="1" applyBorder="1" applyAlignment="1">
      <alignment horizontal="right"/>
    </xf>
    <xf numFmtId="0" fontId="12" fillId="0" borderId="28" xfId="0" applyFont="1" applyFill="1" applyBorder="1" applyAlignment="1">
      <alignment horizontal="right"/>
    </xf>
    <xf numFmtId="171" fontId="11" fillId="0" borderId="38" xfId="0" applyNumberFormat="1" applyFont="1" applyFill="1" applyBorder="1"/>
    <xf numFmtId="43" fontId="11" fillId="0" borderId="30" xfId="0" applyNumberFormat="1" applyFont="1" applyFill="1" applyBorder="1"/>
    <xf numFmtId="171" fontId="12" fillId="0" borderId="39" xfId="0" applyNumberFormat="1" applyFont="1" applyFill="1" applyBorder="1" applyAlignment="1">
      <alignment horizontal="right"/>
    </xf>
    <xf numFmtId="164" fontId="12" fillId="0" borderId="33" xfId="1" applyNumberFormat="1" applyFont="1" applyFill="1" applyBorder="1"/>
    <xf numFmtId="43" fontId="12" fillId="0" borderId="33" xfId="1" applyFont="1" applyFill="1" applyBorder="1"/>
    <xf numFmtId="172" fontId="11" fillId="0" borderId="40" xfId="0" applyNumberFormat="1" applyFont="1" applyFill="1" applyBorder="1"/>
    <xf numFmtId="43" fontId="11" fillId="0" borderId="40" xfId="0" applyNumberFormat="1" applyFont="1" applyFill="1" applyBorder="1"/>
    <xf numFmtId="43" fontId="11" fillId="0" borderId="41" xfId="0" applyNumberFormat="1" applyFont="1" applyFill="1" applyBorder="1"/>
    <xf numFmtId="167" fontId="0" fillId="0" borderId="7" xfId="0" applyNumberFormat="1" applyBorder="1"/>
    <xf numFmtId="43" fontId="0" fillId="0" borderId="8" xfId="1" applyFont="1" applyBorder="1"/>
    <xf numFmtId="0" fontId="2" fillId="0" borderId="3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43" fontId="0" fillId="0" borderId="12" xfId="1" applyFont="1" applyBorder="1"/>
    <xf numFmtId="43" fontId="0" fillId="0" borderId="26" xfId="1" applyFont="1" applyBorder="1"/>
    <xf numFmtId="0" fontId="0" fillId="0" borderId="27" xfId="0" applyBorder="1" applyAlignment="1">
      <alignment horizontal="center"/>
    </xf>
    <xf numFmtId="43" fontId="0" fillId="0" borderId="13" xfId="1" applyFont="1" applyBorder="1"/>
    <xf numFmtId="43" fontId="0" fillId="0" borderId="28" xfId="1" applyFont="1" applyBorder="1"/>
    <xf numFmtId="0" fontId="2" fillId="0" borderId="42" xfId="0" applyFont="1" applyBorder="1" applyAlignment="1">
      <alignment horizontal="center"/>
    </xf>
    <xf numFmtId="0" fontId="0" fillId="0" borderId="18" xfId="0" applyBorder="1"/>
    <xf numFmtId="43" fontId="2" fillId="0" borderId="18" xfId="1" applyFont="1" applyBorder="1"/>
    <xf numFmtId="43" fontId="2" fillId="0" borderId="43" xfId="1" applyFont="1" applyBorder="1"/>
    <xf numFmtId="0" fontId="2" fillId="0" borderId="39" xfId="0" applyFont="1" applyFill="1" applyBorder="1" applyAlignment="1">
      <alignment horizontal="center"/>
    </xf>
    <xf numFmtId="0" fontId="2" fillId="0" borderId="40" xfId="0" applyFont="1" applyBorder="1"/>
    <xf numFmtId="0" fontId="2" fillId="0" borderId="40" xfId="0" applyFont="1" applyFill="1" applyBorder="1" applyAlignment="1">
      <alignment horizontal="right"/>
    </xf>
    <xf numFmtId="166" fontId="2" fillId="0" borderId="41" xfId="1" applyNumberFormat="1" applyFont="1" applyBorder="1"/>
    <xf numFmtId="0" fontId="2" fillId="0" borderId="44" xfId="0" applyFont="1" applyFill="1" applyBorder="1" applyAlignment="1">
      <alignment horizontal="right"/>
    </xf>
    <xf numFmtId="0" fontId="2" fillId="0" borderId="45" xfId="0" applyFont="1" applyFill="1" applyBorder="1" applyAlignment="1">
      <alignment horizontal="right"/>
    </xf>
    <xf numFmtId="0" fontId="2" fillId="0" borderId="46" xfId="0" applyFont="1" applyFill="1" applyBorder="1" applyAlignment="1">
      <alignment horizontal="right"/>
    </xf>
    <xf numFmtId="0" fontId="0" fillId="0" borderId="31" xfId="0" applyFont="1" applyFill="1" applyBorder="1" applyAlignment="1">
      <alignment horizontal="right"/>
    </xf>
    <xf numFmtId="43" fontId="1" fillId="0" borderId="11" xfId="1" applyFont="1" applyFill="1" applyBorder="1" applyAlignment="1">
      <alignment horizontal="right"/>
    </xf>
    <xf numFmtId="0" fontId="0" fillId="0" borderId="11" xfId="0" applyFont="1" applyFill="1" applyBorder="1" applyAlignment="1">
      <alignment horizontal="right"/>
    </xf>
    <xf numFmtId="172" fontId="0" fillId="0" borderId="11" xfId="0" applyNumberFormat="1" applyFont="1" applyFill="1" applyBorder="1" applyAlignment="1">
      <alignment horizontal="right"/>
    </xf>
    <xf numFmtId="172" fontId="0" fillId="0" borderId="32" xfId="0" applyNumberFormat="1" applyFont="1" applyFill="1" applyBorder="1" applyAlignment="1">
      <alignment horizontal="right"/>
    </xf>
    <xf numFmtId="0" fontId="0" fillId="0" borderId="25" xfId="0" applyFont="1" applyFill="1" applyBorder="1" applyAlignment="1">
      <alignment horizontal="right"/>
    </xf>
    <xf numFmtId="43" fontId="1" fillId="0" borderId="12" xfId="1" applyFont="1" applyFill="1" applyBorder="1" applyAlignment="1">
      <alignment horizontal="right"/>
    </xf>
    <xf numFmtId="0" fontId="0" fillId="0" borderId="12" xfId="0" applyFont="1" applyFill="1" applyBorder="1" applyAlignment="1">
      <alignment horizontal="right"/>
    </xf>
    <xf numFmtId="172" fontId="0" fillId="0" borderId="12" xfId="0" applyNumberFormat="1" applyFont="1" applyFill="1" applyBorder="1" applyAlignment="1">
      <alignment horizontal="right"/>
    </xf>
    <xf numFmtId="172" fontId="0" fillId="0" borderId="26" xfId="0" applyNumberFormat="1" applyFont="1" applyFill="1" applyBorder="1" applyAlignment="1">
      <alignment horizontal="right"/>
    </xf>
    <xf numFmtId="0" fontId="0" fillId="0" borderId="27" xfId="0" applyFont="1" applyFill="1" applyBorder="1" applyAlignment="1">
      <alignment horizontal="right"/>
    </xf>
    <xf numFmtId="43" fontId="1" fillId="0" borderId="13" xfId="1" applyFont="1" applyFill="1" applyBorder="1" applyAlignment="1">
      <alignment horizontal="right"/>
    </xf>
    <xf numFmtId="0" fontId="0" fillId="0" borderId="13" xfId="0" applyFont="1" applyFill="1" applyBorder="1" applyAlignment="1">
      <alignment horizontal="right"/>
    </xf>
    <xf numFmtId="172" fontId="0" fillId="0" borderId="13" xfId="0" applyNumberFormat="1" applyFont="1" applyFill="1" applyBorder="1" applyAlignment="1">
      <alignment horizontal="right"/>
    </xf>
    <xf numFmtId="172" fontId="0" fillId="0" borderId="28" xfId="0" applyNumberFormat="1" applyFont="1" applyFill="1" applyBorder="1" applyAlignment="1">
      <alignment horizontal="right"/>
    </xf>
    <xf numFmtId="43" fontId="2" fillId="0" borderId="39" xfId="1" applyFont="1" applyFill="1" applyBorder="1"/>
    <xf numFmtId="43" fontId="2" fillId="0" borderId="40" xfId="1" applyFont="1" applyFill="1" applyBorder="1"/>
    <xf numFmtId="172" fontId="2" fillId="0" borderId="33" xfId="0" applyNumberFormat="1" applyFont="1" applyFill="1" applyBorder="1" applyAlignment="1">
      <alignment horizontal="right"/>
    </xf>
    <xf numFmtId="172" fontId="2" fillId="0" borderId="34" xfId="0" applyNumberFormat="1" applyFont="1" applyFill="1" applyBorder="1" applyAlignment="1">
      <alignment horizontal="right"/>
    </xf>
    <xf numFmtId="0" fontId="15" fillId="0" borderId="22" xfId="0" applyFont="1" applyBorder="1" applyAlignment="1">
      <alignment horizontal="right"/>
    </xf>
    <xf numFmtId="0" fontId="15" fillId="0" borderId="23" xfId="0" applyFont="1" applyBorder="1" applyAlignment="1">
      <alignment horizontal="right"/>
    </xf>
    <xf numFmtId="0" fontId="15" fillId="0" borderId="2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25" xfId="0" applyFont="1" applyBorder="1" applyAlignment="1">
      <alignment horizontal="right"/>
    </xf>
    <xf numFmtId="0" fontId="15" fillId="0" borderId="12" xfId="0" applyFont="1" applyBorder="1" applyAlignment="1">
      <alignment horizontal="right"/>
    </xf>
    <xf numFmtId="0" fontId="15" fillId="0" borderId="12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3" fillId="0" borderId="31" xfId="0" applyFont="1" applyBorder="1" applyAlignment="1">
      <alignment horizontal="right"/>
    </xf>
    <xf numFmtId="0" fontId="13" fillId="0" borderId="11" xfId="0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43" fontId="13" fillId="0" borderId="11" xfId="1" applyFont="1" applyBorder="1" applyAlignment="1">
      <alignment horizontal="right"/>
    </xf>
    <xf numFmtId="10" fontId="13" fillId="0" borderId="32" xfId="0" applyNumberFormat="1" applyFont="1" applyBorder="1" applyAlignment="1">
      <alignment horizontal="right"/>
    </xf>
    <xf numFmtId="0" fontId="13" fillId="0" borderId="25" xfId="0" applyFont="1" applyBorder="1" applyAlignment="1">
      <alignment horizontal="right"/>
    </xf>
    <xf numFmtId="0" fontId="13" fillId="0" borderId="12" xfId="0" applyFont="1" applyBorder="1" applyAlignment="1">
      <alignment horizontal="right"/>
    </xf>
    <xf numFmtId="3" fontId="13" fillId="0" borderId="12" xfId="0" applyNumberFormat="1" applyFont="1" applyBorder="1" applyAlignment="1">
      <alignment horizontal="right"/>
    </xf>
    <xf numFmtId="43" fontId="13" fillId="0" borderId="12" xfId="1" applyFont="1" applyBorder="1" applyAlignment="1">
      <alignment horizontal="right"/>
    </xf>
    <xf numFmtId="10" fontId="13" fillId="0" borderId="26" xfId="0" applyNumberFormat="1" applyFont="1" applyBorder="1" applyAlignment="1">
      <alignment horizontal="right"/>
    </xf>
    <xf numFmtId="0" fontId="13" fillId="0" borderId="27" xfId="0" applyFont="1" applyBorder="1" applyAlignment="1">
      <alignment horizontal="right"/>
    </xf>
    <xf numFmtId="0" fontId="13" fillId="0" borderId="13" xfId="0" applyFont="1" applyBorder="1" applyAlignment="1">
      <alignment horizontal="right"/>
    </xf>
    <xf numFmtId="3" fontId="13" fillId="0" borderId="13" xfId="0" applyNumberFormat="1" applyFont="1" applyBorder="1" applyAlignment="1">
      <alignment horizontal="right"/>
    </xf>
    <xf numFmtId="43" fontId="13" fillId="0" borderId="13" xfId="1" applyFont="1" applyBorder="1" applyAlignment="1">
      <alignment horizontal="right"/>
    </xf>
    <xf numFmtId="10" fontId="13" fillId="0" borderId="28" xfId="0" applyNumberFormat="1" applyFont="1" applyBorder="1" applyAlignment="1">
      <alignment horizontal="right"/>
    </xf>
    <xf numFmtId="0" fontId="15" fillId="0" borderId="35" xfId="0" applyFont="1" applyBorder="1" applyAlignment="1">
      <alignment horizontal="right"/>
    </xf>
    <xf numFmtId="0" fontId="15" fillId="0" borderId="36" xfId="0" applyFont="1" applyBorder="1" applyAlignment="1">
      <alignment horizontal="right"/>
    </xf>
    <xf numFmtId="3" fontId="15" fillId="0" borderId="36" xfId="0" applyNumberFormat="1" applyFont="1" applyBorder="1" applyAlignment="1">
      <alignment horizontal="right"/>
    </xf>
    <xf numFmtId="43" fontId="15" fillId="0" borderId="36" xfId="1" applyFont="1" applyBorder="1" applyAlignment="1">
      <alignment horizontal="right"/>
    </xf>
    <xf numFmtId="10" fontId="15" fillId="0" borderId="37" xfId="0" applyNumberFormat="1" applyFont="1" applyBorder="1" applyAlignment="1">
      <alignment horizontal="right"/>
    </xf>
    <xf numFmtId="168" fontId="0" fillId="0" borderId="0" xfId="2" applyNumberFormat="1" applyFont="1" applyFill="1" applyBorder="1"/>
    <xf numFmtId="0" fontId="15" fillId="0" borderId="22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4" fillId="0" borderId="0" xfId="0" applyFont="1" applyAlignment="1">
      <alignment horizontal="left"/>
    </xf>
    <xf numFmtId="43" fontId="0" fillId="0" borderId="0" xfId="0" applyNumberFormat="1" applyFill="1" applyBorder="1"/>
    <xf numFmtId="2" fontId="13" fillId="0" borderId="11" xfId="1" applyNumberFormat="1" applyFont="1" applyBorder="1" applyAlignment="1"/>
    <xf numFmtId="2" fontId="13" fillId="0" borderId="12" xfId="1" applyNumberFormat="1" applyFont="1" applyBorder="1" applyAlignment="1"/>
    <xf numFmtId="2" fontId="13" fillId="0" borderId="13" xfId="1" applyNumberFormat="1" applyFont="1" applyBorder="1" applyAlignment="1"/>
    <xf numFmtId="164" fontId="13" fillId="0" borderId="11" xfId="1" applyNumberFormat="1" applyFont="1" applyBorder="1" applyAlignment="1">
      <alignment horizontal="right"/>
    </xf>
    <xf numFmtId="164" fontId="13" fillId="0" borderId="12" xfId="1" applyNumberFormat="1" applyFont="1" applyBorder="1" applyAlignment="1">
      <alignment horizontal="right"/>
    </xf>
    <xf numFmtId="164" fontId="13" fillId="0" borderId="13" xfId="1" applyNumberFormat="1" applyFont="1" applyBorder="1" applyAlignment="1">
      <alignment horizontal="right"/>
    </xf>
    <xf numFmtId="164" fontId="15" fillId="0" borderId="36" xfId="1" applyNumberFormat="1" applyFont="1" applyBorder="1" applyAlignment="1">
      <alignment horizontal="right"/>
    </xf>
    <xf numFmtId="0" fontId="15" fillId="0" borderId="1" xfId="0" applyFont="1" applyBorder="1" applyAlignment="1">
      <alignment horizontal="center" vertical="top"/>
    </xf>
    <xf numFmtId="0" fontId="15" fillId="0" borderId="29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5" fillId="0" borderId="48" xfId="0" applyFont="1" applyBorder="1" applyAlignment="1">
      <alignment horizontal="center" vertical="top"/>
    </xf>
    <xf numFmtId="0" fontId="15" fillId="0" borderId="31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5" fillId="0" borderId="25" xfId="0" applyFont="1" applyBorder="1" applyAlignment="1">
      <alignment horizontal="center" vertical="top"/>
    </xf>
    <xf numFmtId="0" fontId="2" fillId="0" borderId="6" xfId="0" applyFont="1" applyBorder="1"/>
    <xf numFmtId="0" fontId="8" fillId="0" borderId="0" xfId="0" applyFont="1" applyBorder="1" applyAlignment="1"/>
    <xf numFmtId="0" fontId="15" fillId="0" borderId="35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170" fontId="0" fillId="0" borderId="2" xfId="0" applyNumberFormat="1" applyBorder="1"/>
    <xf numFmtId="164" fontId="2" fillId="0" borderId="8" xfId="0" applyNumberFormat="1" applyFont="1" applyBorder="1"/>
    <xf numFmtId="3" fontId="2" fillId="0" borderId="2" xfId="1" applyNumberFormat="1" applyFont="1" applyBorder="1"/>
    <xf numFmtId="43" fontId="0" fillId="2" borderId="0" xfId="1" applyFont="1" applyFill="1" applyBorder="1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2" fillId="0" borderId="31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43" fontId="0" fillId="0" borderId="12" xfId="1" applyFont="1" applyFill="1" applyBorder="1"/>
    <xf numFmtId="43" fontId="0" fillId="0" borderId="26" xfId="1" applyFont="1" applyFill="1" applyBorder="1"/>
    <xf numFmtId="0" fontId="0" fillId="0" borderId="27" xfId="0" applyFill="1" applyBorder="1" applyAlignment="1">
      <alignment horizontal="center"/>
    </xf>
    <xf numFmtId="43" fontId="0" fillId="0" borderId="13" xfId="1" applyFont="1" applyFill="1" applyBorder="1"/>
    <xf numFmtId="43" fontId="0" fillId="0" borderId="28" xfId="1" applyFont="1" applyFill="1" applyBorder="1"/>
    <xf numFmtId="0" fontId="2" fillId="0" borderId="42" xfId="0" applyFont="1" applyFill="1" applyBorder="1" applyAlignment="1">
      <alignment horizontal="center"/>
    </xf>
    <xf numFmtId="0" fontId="0" fillId="0" borderId="18" xfId="0" applyFill="1" applyBorder="1"/>
    <xf numFmtId="43" fontId="2" fillId="0" borderId="18" xfId="1" applyFont="1" applyFill="1" applyBorder="1"/>
    <xf numFmtId="43" fontId="2" fillId="0" borderId="43" xfId="1" applyFont="1" applyFill="1" applyBorder="1"/>
    <xf numFmtId="0" fontId="2" fillId="0" borderId="0" xfId="0" applyFont="1" applyFill="1" applyBorder="1" applyAlignment="1">
      <alignment horizontal="right"/>
    </xf>
    <xf numFmtId="166" fontId="2" fillId="0" borderId="5" xfId="1" applyNumberFormat="1" applyFont="1" applyFill="1" applyBorder="1"/>
    <xf numFmtId="0" fontId="8" fillId="0" borderId="6" xfId="0" applyFont="1" applyFill="1" applyBorder="1"/>
    <xf numFmtId="0" fontId="0" fillId="0" borderId="7" xfId="0" applyFill="1" applyBorder="1"/>
    <xf numFmtId="10" fontId="2" fillId="0" borderId="8" xfId="2" applyNumberFormat="1" applyFont="1" applyFill="1" applyBorder="1"/>
    <xf numFmtId="0" fontId="8" fillId="0" borderId="2" xfId="0" applyFont="1" applyFill="1" applyBorder="1"/>
    <xf numFmtId="0" fontId="14" fillId="0" borderId="0" xfId="0" applyFont="1" applyFill="1" applyBorder="1"/>
    <xf numFmtId="0" fontId="8" fillId="0" borderId="0" xfId="0" applyFont="1" applyFill="1"/>
    <xf numFmtId="0" fontId="14" fillId="0" borderId="0" xfId="0" applyFont="1"/>
    <xf numFmtId="0" fontId="14" fillId="0" borderId="0" xfId="0" applyFont="1" applyBorder="1"/>
    <xf numFmtId="0" fontId="0" fillId="0" borderId="4" xfId="0" applyFont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10" fontId="0" fillId="0" borderId="7" xfId="0" applyNumberFormat="1" applyBorder="1"/>
    <xf numFmtId="10" fontId="0" fillId="0" borderId="8" xfId="0" applyNumberFormat="1" applyBorder="1"/>
    <xf numFmtId="0" fontId="15" fillId="0" borderId="47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/>
    </xf>
  </cellXfs>
  <cellStyles count="5">
    <cellStyle name="Comma" xfId="1" builtinId="3"/>
    <cellStyle name="Normal" xfId="0" builtinId="0"/>
    <cellStyle name="Normal_Clm_Tri" xfId="4"/>
    <cellStyle name="Normal_Demographics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"/>
  <sheetViews>
    <sheetView topLeftCell="Q6" workbookViewId="0">
      <selection activeCell="AC10" sqref="AC10"/>
    </sheetView>
  </sheetViews>
  <sheetFormatPr defaultRowHeight="14.5" x14ac:dyDescent="0.35"/>
  <cols>
    <col min="1" max="1" width="52.453125" customWidth="1"/>
    <col min="4" max="10" width="10.6328125" customWidth="1"/>
    <col min="11" max="15" width="12" customWidth="1"/>
    <col min="17" max="17" width="27" customWidth="1"/>
    <col min="18" max="19" width="14.6328125" customWidth="1"/>
    <col min="20" max="21" width="3" bestFit="1" customWidth="1"/>
    <col min="24" max="24" width="9.54296875" bestFit="1" customWidth="1"/>
    <col min="31" max="31" width="11.54296875" bestFit="1" customWidth="1"/>
    <col min="33" max="33" width="9.6328125" bestFit="1" customWidth="1"/>
  </cols>
  <sheetData>
    <row r="1" spans="1:33" ht="15" thickTop="1" x14ac:dyDescent="0.35">
      <c r="A1" s="145" t="s">
        <v>179</v>
      </c>
      <c r="B1" s="146">
        <v>200</v>
      </c>
      <c r="D1" s="17"/>
      <c r="E1" s="18"/>
      <c r="F1" s="18"/>
      <c r="G1" s="18"/>
      <c r="H1" s="19" t="s">
        <v>0</v>
      </c>
      <c r="I1" s="20"/>
      <c r="J1" s="1"/>
      <c r="K1" s="17"/>
      <c r="L1" s="18"/>
      <c r="M1" s="18"/>
      <c r="N1" s="19" t="s">
        <v>0</v>
      </c>
      <c r="O1" s="36"/>
      <c r="V1" s="163"/>
      <c r="W1" s="164"/>
      <c r="X1" s="165"/>
      <c r="Y1" s="165" t="s">
        <v>143</v>
      </c>
      <c r="Z1" s="165" t="s">
        <v>144</v>
      </c>
      <c r="AA1" s="166" t="s">
        <v>145</v>
      </c>
      <c r="AB1" s="126"/>
      <c r="AC1" s="163"/>
      <c r="AD1" s="164"/>
      <c r="AE1" s="165"/>
      <c r="AF1" s="165"/>
      <c r="AG1" s="166" t="s">
        <v>143</v>
      </c>
    </row>
    <row r="2" spans="1:33" ht="15" thickBot="1" x14ac:dyDescent="0.4">
      <c r="A2" s="147" t="s">
        <v>180</v>
      </c>
      <c r="B2" s="148">
        <v>165</v>
      </c>
      <c r="D2" s="21"/>
      <c r="E2" s="22"/>
      <c r="F2" s="22"/>
      <c r="G2" s="23" t="s">
        <v>0</v>
      </c>
      <c r="H2" s="23" t="s">
        <v>3</v>
      </c>
      <c r="I2" s="24"/>
      <c r="J2" s="1"/>
      <c r="K2" s="21"/>
      <c r="L2" s="22"/>
      <c r="M2" s="23" t="s">
        <v>0</v>
      </c>
      <c r="N2" s="23" t="s">
        <v>3</v>
      </c>
      <c r="O2" s="24" t="s">
        <v>4</v>
      </c>
      <c r="V2" s="167"/>
      <c r="W2" s="96"/>
      <c r="X2" s="127" t="s">
        <v>0</v>
      </c>
      <c r="Y2" s="127" t="s">
        <v>146</v>
      </c>
      <c r="Z2" s="127" t="s">
        <v>147</v>
      </c>
      <c r="AA2" s="168" t="s">
        <v>148</v>
      </c>
      <c r="AB2" s="126"/>
      <c r="AC2" s="167"/>
      <c r="AD2" s="96"/>
      <c r="AE2" s="127" t="s">
        <v>0</v>
      </c>
      <c r="AF2" s="127" t="s">
        <v>0</v>
      </c>
      <c r="AG2" s="168" t="s">
        <v>151</v>
      </c>
    </row>
    <row r="3" spans="1:33" ht="15" thickTop="1" x14ac:dyDescent="0.35">
      <c r="A3" s="147" t="s">
        <v>181</v>
      </c>
      <c r="B3" s="149">
        <v>-0.2</v>
      </c>
      <c r="D3" s="25" t="s">
        <v>7</v>
      </c>
      <c r="E3" s="23" t="s">
        <v>8</v>
      </c>
      <c r="F3" s="23" t="s">
        <v>9</v>
      </c>
      <c r="G3" s="23" t="s">
        <v>3</v>
      </c>
      <c r="H3" s="23" t="s">
        <v>10</v>
      </c>
      <c r="I3" s="24" t="s">
        <v>178</v>
      </c>
      <c r="J3" s="1"/>
      <c r="K3" s="25" t="s">
        <v>11</v>
      </c>
      <c r="L3" s="23" t="s">
        <v>9</v>
      </c>
      <c r="M3" s="23" t="s">
        <v>3</v>
      </c>
      <c r="N3" s="23" t="s">
        <v>10</v>
      </c>
      <c r="O3" s="24" t="s">
        <v>12</v>
      </c>
      <c r="Q3" s="17" t="s">
        <v>13</v>
      </c>
      <c r="R3" s="41">
        <f>G22</f>
        <v>38634068.112499997</v>
      </c>
      <c r="S3" s="38"/>
      <c r="U3" s="90"/>
      <c r="V3" s="169" t="s">
        <v>7</v>
      </c>
      <c r="W3" s="128" t="s">
        <v>8</v>
      </c>
      <c r="X3" s="128" t="s">
        <v>10</v>
      </c>
      <c r="Y3" s="128" t="s">
        <v>1</v>
      </c>
      <c r="Z3" s="128" t="s">
        <v>149</v>
      </c>
      <c r="AA3" s="170" t="s">
        <v>149</v>
      </c>
      <c r="AB3" s="126"/>
      <c r="AC3" s="184" t="s">
        <v>11</v>
      </c>
      <c r="AD3" s="127" t="s">
        <v>9</v>
      </c>
      <c r="AE3" s="127" t="s">
        <v>3</v>
      </c>
      <c r="AF3" s="127" t="s">
        <v>10</v>
      </c>
      <c r="AG3" s="170" t="s">
        <v>1</v>
      </c>
    </row>
    <row r="4" spans="1:33" x14ac:dyDescent="0.35">
      <c r="A4" s="147" t="s">
        <v>182</v>
      </c>
      <c r="B4" s="148">
        <v>132</v>
      </c>
      <c r="D4" s="26" t="s">
        <v>66</v>
      </c>
      <c r="E4" s="27" t="s">
        <v>67</v>
      </c>
      <c r="F4" s="28">
        <v>1235</v>
      </c>
      <c r="G4" s="28">
        <v>2607903.9375000019</v>
      </c>
      <c r="H4" s="29">
        <f>G4/F4/12</f>
        <v>175.9719256072876</v>
      </c>
      <c r="I4" s="30">
        <v>1.1000000000000001</v>
      </c>
      <c r="J4" s="7"/>
      <c r="K4" s="37" t="s">
        <v>68</v>
      </c>
      <c r="L4" s="38">
        <v>2374</v>
      </c>
      <c r="M4" s="38">
        <v>11838657.1</v>
      </c>
      <c r="N4" s="39">
        <f>M4/L4/12</f>
        <v>415.56645254142092</v>
      </c>
      <c r="O4" s="30">
        <v>0.9</v>
      </c>
      <c r="Q4" s="21" t="s">
        <v>69</v>
      </c>
      <c r="R4" s="42">
        <f>H22</f>
        <v>401.18450791796471</v>
      </c>
      <c r="S4" s="29"/>
      <c r="T4" s="5">
        <v>0</v>
      </c>
      <c r="U4" s="5">
        <v>12</v>
      </c>
      <c r="V4" s="171" t="s">
        <v>66</v>
      </c>
      <c r="W4" s="129" t="s">
        <v>67</v>
      </c>
      <c r="X4" s="130">
        <f>H4</f>
        <v>175.9719256072876</v>
      </c>
      <c r="Y4" s="131">
        <f>X4/$X$13</f>
        <v>0.37790952018315166</v>
      </c>
      <c r="Z4" s="131">
        <f>GROWTH($Y$4:$Y$12,$U$4:$U$12,U4)</f>
        <v>0.45502270844514386</v>
      </c>
      <c r="AA4" s="172">
        <f>ROUND(Z4/Z$13*($X$13/$X$27),4)</f>
        <v>0.52610000000000001</v>
      </c>
      <c r="AB4" s="126"/>
      <c r="AC4" s="185" t="s">
        <v>68</v>
      </c>
      <c r="AD4" s="132">
        <f>L4</f>
        <v>2374</v>
      </c>
      <c r="AE4" s="132">
        <f>M4</f>
        <v>11838657.1</v>
      </c>
      <c r="AF4" s="133">
        <f>AE4/(12*AD4)</f>
        <v>415.56645254142092</v>
      </c>
      <c r="AG4" s="186">
        <f>ROUND(AF4/$AF$8,4)</f>
        <v>1.0358000000000001</v>
      </c>
    </row>
    <row r="5" spans="1:33" x14ac:dyDescent="0.35">
      <c r="A5" s="147" t="s">
        <v>183</v>
      </c>
      <c r="B5" s="148">
        <v>25</v>
      </c>
      <c r="D5" s="26" t="s">
        <v>66</v>
      </c>
      <c r="E5" s="27" t="s">
        <v>78</v>
      </c>
      <c r="F5" s="28">
        <v>266</v>
      </c>
      <c r="G5" s="28">
        <v>1351638.9499999993</v>
      </c>
      <c r="H5" s="29">
        <f t="shared" ref="H5:H21" si="0">G5/F5/12</f>
        <v>423.44578634085195</v>
      </c>
      <c r="I5" s="30">
        <v>1.3</v>
      </c>
      <c r="J5" s="7"/>
      <c r="K5" s="37" t="s">
        <v>79</v>
      </c>
      <c r="L5" s="38">
        <v>2506</v>
      </c>
      <c r="M5" s="38">
        <v>12259696.262500001</v>
      </c>
      <c r="N5" s="39">
        <f t="shared" ref="N5:N7" si="1">M5/L5/12</f>
        <v>407.67811460827352</v>
      </c>
      <c r="O5" s="30">
        <v>1</v>
      </c>
      <c r="Q5" s="21" t="s">
        <v>80</v>
      </c>
      <c r="R5" s="30">
        <f>I22</f>
        <v>1.6519875389408099</v>
      </c>
      <c r="S5" s="91"/>
      <c r="T5" s="5">
        <v>25</v>
      </c>
      <c r="U5" s="5">
        <v>27</v>
      </c>
      <c r="V5" s="171" t="s">
        <v>66</v>
      </c>
      <c r="W5" s="129" t="s">
        <v>78</v>
      </c>
      <c r="X5" s="130">
        <f t="shared" ref="X5:X12" si="2">H5</f>
        <v>423.44578634085195</v>
      </c>
      <c r="Y5" s="131">
        <f t="shared" ref="Y5:Y12" si="3">X5/$X$13</f>
        <v>0.90937343208240462</v>
      </c>
      <c r="Z5" s="131">
        <f t="shared" ref="Z5:Z12" si="4">GROWTH($Y$4:$Y$12,$U$4:$U$12,U5)</f>
        <v>0.69471204885497806</v>
      </c>
      <c r="AA5" s="172">
        <f t="shared" ref="AA5:AA12" si="5">ROUND(Z5/Z$13*($X$13/$X$27),4)</f>
        <v>0.80330000000000001</v>
      </c>
      <c r="AB5" s="126"/>
      <c r="AC5" s="187" t="s">
        <v>79</v>
      </c>
      <c r="AD5" s="134">
        <f t="shared" ref="AD5:AE7" si="6">L5</f>
        <v>2506</v>
      </c>
      <c r="AE5" s="134">
        <f t="shared" si="6"/>
        <v>12259696.262500001</v>
      </c>
      <c r="AF5" s="135">
        <f t="shared" ref="AF5:AF8" si="7">AE5/(12*AD5)</f>
        <v>407.67811460827352</v>
      </c>
      <c r="AG5" s="188">
        <f t="shared" ref="AG5:AG7" si="8">ROUND(AF5/$AF$8,4)</f>
        <v>1.0162</v>
      </c>
    </row>
    <row r="6" spans="1:33" ht="15" thickBot="1" x14ac:dyDescent="0.4">
      <c r="A6" s="150" t="s">
        <v>184</v>
      </c>
      <c r="B6" s="151">
        <v>107</v>
      </c>
      <c r="D6" s="26" t="s">
        <v>66</v>
      </c>
      <c r="E6" s="27" t="s">
        <v>90</v>
      </c>
      <c r="F6" s="28">
        <v>324</v>
      </c>
      <c r="G6" s="28">
        <v>1753776.600000001</v>
      </c>
      <c r="H6" s="29">
        <f t="shared" si="0"/>
        <v>451.07422839506199</v>
      </c>
      <c r="I6" s="30">
        <v>1.25</v>
      </c>
      <c r="J6" s="7"/>
      <c r="K6" s="37" t="s">
        <v>91</v>
      </c>
      <c r="L6" s="38">
        <v>1665</v>
      </c>
      <c r="M6" s="38">
        <v>7962983.174999997</v>
      </c>
      <c r="N6" s="39">
        <f t="shared" si="1"/>
        <v>398.5477064564563</v>
      </c>
      <c r="O6" s="30">
        <v>1.1000000000000001</v>
      </c>
      <c r="Q6" s="21" t="s">
        <v>92</v>
      </c>
      <c r="R6" s="30">
        <f>O8</f>
        <v>0.95428037383177577</v>
      </c>
      <c r="S6" s="91"/>
      <c r="T6" s="5">
        <v>30</v>
      </c>
      <c r="U6" s="5">
        <v>32</v>
      </c>
      <c r="V6" s="171" t="s">
        <v>66</v>
      </c>
      <c r="W6" s="129" t="s">
        <v>90</v>
      </c>
      <c r="X6" s="130">
        <f t="shared" si="2"/>
        <v>451.07422839506199</v>
      </c>
      <c r="Y6" s="131">
        <f t="shared" si="3"/>
        <v>0.96870705160200665</v>
      </c>
      <c r="Z6" s="131">
        <f t="shared" si="4"/>
        <v>0.79994860343456597</v>
      </c>
      <c r="AA6" s="172">
        <f t="shared" si="5"/>
        <v>0.92490000000000006</v>
      </c>
      <c r="AB6" s="126"/>
      <c r="AC6" s="187" t="s">
        <v>91</v>
      </c>
      <c r="AD6" s="134">
        <f t="shared" si="6"/>
        <v>1665</v>
      </c>
      <c r="AE6" s="134">
        <f t="shared" si="6"/>
        <v>7962983.174999997</v>
      </c>
      <c r="AF6" s="135">
        <f t="shared" si="7"/>
        <v>398.5477064564563</v>
      </c>
      <c r="AG6" s="188">
        <f t="shared" si="8"/>
        <v>0.99339999999999995</v>
      </c>
    </row>
    <row r="7" spans="1:33" ht="16.5" thickTop="1" thickBot="1" x14ac:dyDescent="0.4">
      <c r="A7" s="152" t="s">
        <v>208</v>
      </c>
      <c r="B7" s="153"/>
      <c r="D7" s="26" t="s">
        <v>66</v>
      </c>
      <c r="E7" s="27" t="s">
        <v>98</v>
      </c>
      <c r="F7" s="28">
        <v>378</v>
      </c>
      <c r="G7" s="28">
        <v>1864076.0999999994</v>
      </c>
      <c r="H7" s="29">
        <f t="shared" si="0"/>
        <v>410.95152116402102</v>
      </c>
      <c r="I7" s="30">
        <v>1.2</v>
      </c>
      <c r="J7" s="7"/>
      <c r="K7" s="37" t="s">
        <v>99</v>
      </c>
      <c r="L7" s="38">
        <v>1480</v>
      </c>
      <c r="M7" s="38">
        <v>6572731.5749999993</v>
      </c>
      <c r="N7" s="39">
        <f t="shared" si="1"/>
        <v>370.08623733108107</v>
      </c>
      <c r="O7" s="30">
        <v>0.8</v>
      </c>
      <c r="Q7" s="21" t="s">
        <v>100</v>
      </c>
      <c r="R7" s="42">
        <f>R4/R5/R6</f>
        <v>254.48453469319978</v>
      </c>
      <c r="S7" s="29"/>
      <c r="T7" s="5">
        <v>35</v>
      </c>
      <c r="U7" s="5">
        <v>37</v>
      </c>
      <c r="V7" s="171" t="s">
        <v>66</v>
      </c>
      <c r="W7" s="129" t="s">
        <v>98</v>
      </c>
      <c r="X7" s="130">
        <f t="shared" si="2"/>
        <v>410.95152116402102</v>
      </c>
      <c r="Y7" s="131">
        <f t="shared" si="3"/>
        <v>0.88254130109490525</v>
      </c>
      <c r="Z7" s="131">
        <f t="shared" si="4"/>
        <v>0.92112662964694902</v>
      </c>
      <c r="AA7" s="172">
        <f t="shared" si="5"/>
        <v>1.0650999999999999</v>
      </c>
      <c r="AB7" s="126"/>
      <c r="AC7" s="189" t="s">
        <v>99</v>
      </c>
      <c r="AD7" s="136">
        <f t="shared" si="6"/>
        <v>1480</v>
      </c>
      <c r="AE7" s="136">
        <f t="shared" si="6"/>
        <v>6572731.5749999993</v>
      </c>
      <c r="AF7" s="137">
        <f t="shared" si="7"/>
        <v>370.08623733108107</v>
      </c>
      <c r="AG7" s="190">
        <f t="shared" si="8"/>
        <v>0.92249999999999999</v>
      </c>
    </row>
    <row r="8" spans="1:33" ht="16.5" thickTop="1" thickBot="1" x14ac:dyDescent="0.4">
      <c r="D8" s="26" t="s">
        <v>66</v>
      </c>
      <c r="E8" s="27" t="s">
        <v>105</v>
      </c>
      <c r="F8" s="28">
        <v>377</v>
      </c>
      <c r="G8" s="28">
        <v>1705236.0625000007</v>
      </c>
      <c r="H8" s="29">
        <f t="shared" si="0"/>
        <v>376.93104829796653</v>
      </c>
      <c r="I8" s="30">
        <v>1.5</v>
      </c>
      <c r="J8" s="7"/>
      <c r="K8" s="158" t="s">
        <v>106</v>
      </c>
      <c r="L8" s="159">
        <f>SUM(L4:L7)</f>
        <v>8025</v>
      </c>
      <c r="M8" s="159">
        <f>SUM(M4:M7)</f>
        <v>38634068.112499997</v>
      </c>
      <c r="N8" s="160">
        <f>M8/L8/12</f>
        <v>401.18450791796471</v>
      </c>
      <c r="O8" s="156">
        <f>SUMPRODUCT(L4:L7,O4:O7)/L8</f>
        <v>0.95428037383177577</v>
      </c>
      <c r="Q8" s="161" t="s">
        <v>209</v>
      </c>
      <c r="R8" s="162"/>
      <c r="S8" s="28"/>
      <c r="T8" s="5">
        <v>40</v>
      </c>
      <c r="U8" s="5">
        <v>42</v>
      </c>
      <c r="V8" s="171" t="s">
        <v>66</v>
      </c>
      <c r="W8" s="129" t="s">
        <v>105</v>
      </c>
      <c r="X8" s="130">
        <f t="shared" si="2"/>
        <v>376.93104829796653</v>
      </c>
      <c r="Y8" s="131">
        <f t="shared" si="3"/>
        <v>0.80948043906906997</v>
      </c>
      <c r="Z8" s="131">
        <f t="shared" si="4"/>
        <v>1.0606609777201157</v>
      </c>
      <c r="AA8" s="172">
        <f t="shared" si="5"/>
        <v>1.2263999999999999</v>
      </c>
      <c r="AB8" s="126"/>
      <c r="AC8" s="191" t="s">
        <v>106</v>
      </c>
      <c r="AD8" s="192">
        <f>SUM(AD4:AD7)</f>
        <v>8025</v>
      </c>
      <c r="AE8" s="192">
        <f>SUM(AE4:AE7)</f>
        <v>38634068.112499997</v>
      </c>
      <c r="AF8" s="193">
        <f t="shared" si="7"/>
        <v>401.18450791796465</v>
      </c>
      <c r="AG8" s="194">
        <f>SUMPRODUCT(AD4:AD7,AG4:AG7)/AD8</f>
        <v>0.99998721495327114</v>
      </c>
    </row>
    <row r="9" spans="1:33" ht="16" thickTop="1" x14ac:dyDescent="0.35">
      <c r="D9" s="26" t="s">
        <v>66</v>
      </c>
      <c r="E9" s="27" t="s">
        <v>112</v>
      </c>
      <c r="F9" s="28">
        <v>427</v>
      </c>
      <c r="G9" s="28">
        <v>2982828.7875000043</v>
      </c>
      <c r="H9" s="29">
        <f t="shared" si="0"/>
        <v>582.1289593091343</v>
      </c>
      <c r="I9" s="30">
        <v>1.8</v>
      </c>
      <c r="J9" s="7"/>
      <c r="K9" s="161" t="s">
        <v>220</v>
      </c>
      <c r="L9" s="18"/>
      <c r="M9" s="18"/>
      <c r="N9" s="18"/>
      <c r="O9" s="18"/>
      <c r="Q9" s="351" t="s">
        <v>221</v>
      </c>
      <c r="R9" s="6"/>
      <c r="S9" s="6"/>
      <c r="T9" s="5">
        <v>45</v>
      </c>
      <c r="U9" s="5">
        <v>47</v>
      </c>
      <c r="V9" s="171" t="s">
        <v>66</v>
      </c>
      <c r="W9" s="129" t="s">
        <v>112</v>
      </c>
      <c r="X9" s="130">
        <f t="shared" si="2"/>
        <v>582.1289593091343</v>
      </c>
      <c r="Y9" s="131">
        <f t="shared" si="3"/>
        <v>1.2501543921738032</v>
      </c>
      <c r="Z9" s="131">
        <f t="shared" si="4"/>
        <v>1.2213323048638642</v>
      </c>
      <c r="AA9" s="172">
        <f t="shared" si="5"/>
        <v>1.4121999999999999</v>
      </c>
      <c r="AB9" s="126"/>
      <c r="AC9" s="92" t="s">
        <v>223</v>
      </c>
      <c r="AD9" s="138"/>
      <c r="AE9" s="138"/>
      <c r="AF9" s="138"/>
      <c r="AG9" s="138"/>
    </row>
    <row r="10" spans="1:33" x14ac:dyDescent="0.35">
      <c r="D10" s="26" t="s">
        <v>66</v>
      </c>
      <c r="E10" s="27" t="s">
        <v>116</v>
      </c>
      <c r="F10" s="28">
        <v>488</v>
      </c>
      <c r="G10" s="28">
        <v>3493257.9499999983</v>
      </c>
      <c r="H10" s="29">
        <f t="shared" si="0"/>
        <v>596.52628927595595</v>
      </c>
      <c r="I10" s="30">
        <v>2.5</v>
      </c>
      <c r="J10" s="7"/>
      <c r="T10" s="5">
        <v>50</v>
      </c>
      <c r="U10" s="5">
        <v>52</v>
      </c>
      <c r="V10" s="171" t="s">
        <v>66</v>
      </c>
      <c r="W10" s="129" t="s">
        <v>116</v>
      </c>
      <c r="X10" s="130">
        <f t="shared" si="2"/>
        <v>596.52628927595595</v>
      </c>
      <c r="Y10" s="131">
        <f t="shared" si="3"/>
        <v>1.2810734608883343</v>
      </c>
      <c r="Z10" s="131">
        <f t="shared" si="4"/>
        <v>1.4063424885399081</v>
      </c>
      <c r="AA10" s="172">
        <f t="shared" si="5"/>
        <v>1.6261000000000001</v>
      </c>
      <c r="AB10" s="126"/>
      <c r="AC10" s="126"/>
      <c r="AD10" s="126"/>
      <c r="AE10" s="126"/>
      <c r="AF10" s="126"/>
      <c r="AG10" s="126"/>
    </row>
    <row r="11" spans="1:33" x14ac:dyDescent="0.35">
      <c r="D11" s="26" t="s">
        <v>66</v>
      </c>
      <c r="E11" s="27" t="s">
        <v>122</v>
      </c>
      <c r="F11" s="28">
        <v>453</v>
      </c>
      <c r="G11" s="28">
        <v>5186072.6749999924</v>
      </c>
      <c r="H11" s="29">
        <f t="shared" si="0"/>
        <v>954.02367089771758</v>
      </c>
      <c r="I11" s="30">
        <v>3</v>
      </c>
      <c r="J11" s="7"/>
      <c r="R11" s="6"/>
      <c r="S11" s="6"/>
      <c r="T11" s="5">
        <v>55</v>
      </c>
      <c r="U11" s="5">
        <v>57</v>
      </c>
      <c r="V11" s="171" t="s">
        <v>66</v>
      </c>
      <c r="W11" s="129" t="s">
        <v>122</v>
      </c>
      <c r="X11" s="130">
        <f t="shared" si="2"/>
        <v>954.02367089771758</v>
      </c>
      <c r="Y11" s="131">
        <f t="shared" si="3"/>
        <v>2.0488190173978209</v>
      </c>
      <c r="Z11" s="131">
        <f t="shared" si="4"/>
        <v>1.6193784338596333</v>
      </c>
      <c r="AA11" s="172">
        <f t="shared" si="5"/>
        <v>1.8724000000000001</v>
      </c>
      <c r="AB11" s="126"/>
      <c r="AC11" s="126"/>
      <c r="AD11" s="126"/>
      <c r="AE11" s="126"/>
      <c r="AF11" s="126"/>
      <c r="AG11" s="126"/>
    </row>
    <row r="12" spans="1:33" x14ac:dyDescent="0.35">
      <c r="D12" s="26" t="s">
        <v>66</v>
      </c>
      <c r="E12" s="27" t="s">
        <v>125</v>
      </c>
      <c r="F12" s="28">
        <v>311</v>
      </c>
      <c r="G12" s="28">
        <v>2853427.0124999983</v>
      </c>
      <c r="H12" s="29">
        <f t="shared" si="0"/>
        <v>764.58387258842401</v>
      </c>
      <c r="I12" s="30">
        <v>3.5</v>
      </c>
      <c r="J12" s="7"/>
      <c r="R12" s="6"/>
      <c r="S12" s="6"/>
      <c r="T12" s="5">
        <v>60</v>
      </c>
      <c r="U12" s="5">
        <v>62</v>
      </c>
      <c r="V12" s="173" t="s">
        <v>66</v>
      </c>
      <c r="W12" s="139" t="s">
        <v>125</v>
      </c>
      <c r="X12" s="130">
        <f t="shared" si="2"/>
        <v>764.58387258842401</v>
      </c>
      <c r="Y12" s="140">
        <f t="shared" si="3"/>
        <v>1.6419864897909666</v>
      </c>
      <c r="Z12" s="140">
        <f t="shared" si="4"/>
        <v>1.8646855466709906</v>
      </c>
      <c r="AA12" s="172">
        <f t="shared" si="5"/>
        <v>2.1560999999999999</v>
      </c>
      <c r="AB12" s="126"/>
      <c r="AC12" s="126"/>
      <c r="AD12" s="126"/>
      <c r="AE12" s="126"/>
      <c r="AF12" s="126"/>
      <c r="AG12" s="126"/>
    </row>
    <row r="13" spans="1:33" x14ac:dyDescent="0.35">
      <c r="D13" s="26" t="s">
        <v>128</v>
      </c>
      <c r="E13" s="27" t="s">
        <v>67</v>
      </c>
      <c r="F13" s="28">
        <v>1165</v>
      </c>
      <c r="G13" s="28">
        <v>1965907.424999997</v>
      </c>
      <c r="H13" s="29">
        <f t="shared" si="0"/>
        <v>140.62284871244614</v>
      </c>
      <c r="I13" s="30">
        <v>0.75</v>
      </c>
      <c r="J13" s="7"/>
      <c r="R13" s="6"/>
      <c r="S13" s="6"/>
      <c r="T13" s="6"/>
      <c r="U13" s="6"/>
      <c r="V13" s="174"/>
      <c r="W13" s="141" t="s">
        <v>150</v>
      </c>
      <c r="X13" s="142">
        <f>SUMPRODUCT(F4:F12,X4:X12)/SUM(F4:F12)</f>
        <v>465.64565381153625</v>
      </c>
      <c r="Y13" s="143">
        <f>X13/$X$13</f>
        <v>1</v>
      </c>
      <c r="Z13" s="143">
        <f>SUMPRODUCT($F4:$F12,Z4:Z12)/SUM($F4:$F12)</f>
        <v>1.0038235539287261</v>
      </c>
      <c r="AA13" s="175">
        <f>SUMPRODUCT($F4:$F12,AA4:AA12)/SUM($F4:$F12)</f>
        <v>1.1606785630429679</v>
      </c>
      <c r="AB13" s="126"/>
      <c r="AC13" s="126"/>
      <c r="AD13" s="126"/>
      <c r="AE13" s="126"/>
      <c r="AF13" s="126"/>
      <c r="AG13" s="126"/>
    </row>
    <row r="14" spans="1:33" x14ac:dyDescent="0.35">
      <c r="D14" s="26" t="s">
        <v>128</v>
      </c>
      <c r="E14" s="27" t="s">
        <v>78</v>
      </c>
      <c r="F14" s="28">
        <v>222</v>
      </c>
      <c r="G14" s="28">
        <v>348873.98750000005</v>
      </c>
      <c r="H14" s="29">
        <f t="shared" si="0"/>
        <v>130.95870401651652</v>
      </c>
      <c r="I14" s="30">
        <v>0.8</v>
      </c>
      <c r="J14" s="7"/>
      <c r="R14" s="6"/>
      <c r="S14" s="6"/>
      <c r="T14" s="6"/>
      <c r="U14" s="6"/>
      <c r="V14" s="176"/>
      <c r="W14" s="124"/>
      <c r="X14" s="125"/>
      <c r="Y14" s="125" t="s">
        <v>143</v>
      </c>
      <c r="Z14" s="125" t="s">
        <v>144</v>
      </c>
      <c r="AA14" s="177" t="s">
        <v>145</v>
      </c>
      <c r="AB14" s="126"/>
      <c r="AC14" s="126"/>
      <c r="AD14" s="126"/>
      <c r="AE14" s="126"/>
      <c r="AF14" s="126"/>
      <c r="AG14" s="126"/>
    </row>
    <row r="15" spans="1:33" x14ac:dyDescent="0.35">
      <c r="D15" s="26" t="s">
        <v>128</v>
      </c>
      <c r="E15" s="27" t="s">
        <v>90</v>
      </c>
      <c r="F15" s="28">
        <v>253</v>
      </c>
      <c r="G15" s="28">
        <v>733365.36250000051</v>
      </c>
      <c r="H15" s="29">
        <f t="shared" si="0"/>
        <v>241.55644351119909</v>
      </c>
      <c r="I15" s="30">
        <v>0.85</v>
      </c>
      <c r="J15" s="7"/>
      <c r="R15" s="6"/>
      <c r="S15" s="6"/>
      <c r="T15" s="6"/>
      <c r="U15" s="6"/>
      <c r="V15" s="167"/>
      <c r="W15" s="96"/>
      <c r="X15" s="127" t="s">
        <v>0</v>
      </c>
      <c r="Y15" s="127" t="s">
        <v>146</v>
      </c>
      <c r="Z15" s="127" t="s">
        <v>147</v>
      </c>
      <c r="AA15" s="168" t="s">
        <v>148</v>
      </c>
      <c r="AB15" s="126"/>
      <c r="AC15" s="126"/>
      <c r="AD15" s="126"/>
      <c r="AE15" s="126"/>
      <c r="AF15" s="126"/>
      <c r="AG15" s="126"/>
    </row>
    <row r="16" spans="1:33" x14ac:dyDescent="0.35">
      <c r="D16" s="26" t="s">
        <v>128</v>
      </c>
      <c r="E16" s="27" t="s">
        <v>98</v>
      </c>
      <c r="F16" s="28">
        <v>352</v>
      </c>
      <c r="G16" s="28">
        <v>999932.26250000054</v>
      </c>
      <c r="H16" s="29">
        <f t="shared" si="0"/>
        <v>236.72638790246222</v>
      </c>
      <c r="I16" s="30">
        <v>0.9</v>
      </c>
      <c r="J16" s="7"/>
      <c r="R16" s="6"/>
      <c r="S16" s="6"/>
      <c r="V16" s="169" t="s">
        <v>7</v>
      </c>
      <c r="W16" s="128" t="s">
        <v>8</v>
      </c>
      <c r="X16" s="128" t="s">
        <v>10</v>
      </c>
      <c r="Y16" s="128" t="s">
        <v>1</v>
      </c>
      <c r="Z16" s="128" t="s">
        <v>149</v>
      </c>
      <c r="AA16" s="170" t="s">
        <v>149</v>
      </c>
      <c r="AB16" s="126"/>
      <c r="AC16" s="126"/>
      <c r="AD16" s="126"/>
      <c r="AE16" s="126"/>
      <c r="AF16" s="126"/>
      <c r="AG16" s="126"/>
    </row>
    <row r="17" spans="4:33" x14ac:dyDescent="0.35">
      <c r="D17" s="26" t="s">
        <v>128</v>
      </c>
      <c r="E17" s="27" t="s">
        <v>105</v>
      </c>
      <c r="F17" s="28">
        <v>371</v>
      </c>
      <c r="G17" s="28">
        <v>1008155.9374999993</v>
      </c>
      <c r="H17" s="29">
        <f t="shared" si="0"/>
        <v>226.45012073225499</v>
      </c>
      <c r="I17" s="30">
        <v>1</v>
      </c>
      <c r="J17" s="7"/>
      <c r="R17" s="6"/>
      <c r="S17" s="6"/>
      <c r="T17" s="5">
        <v>0</v>
      </c>
      <c r="U17" s="5">
        <v>12</v>
      </c>
      <c r="V17" s="171" t="s">
        <v>128</v>
      </c>
      <c r="W17" s="129" t="s">
        <v>67</v>
      </c>
      <c r="X17" s="130">
        <f>H13</f>
        <v>140.62284871244614</v>
      </c>
      <c r="Y17" s="131">
        <f>X17/$X$26</f>
        <v>0.42835616179386488</v>
      </c>
      <c r="Z17" s="131">
        <f>GROWTH($Y$17:$Y$25,$U$17:$U$25,U17)</f>
        <v>0.29575900328629567</v>
      </c>
      <c r="AA17" s="172">
        <f>ROUND(Z17/Z$26*($X$26/$X$27),4)</f>
        <v>0.26090000000000002</v>
      </c>
      <c r="AB17" s="126"/>
      <c r="AC17" s="126"/>
      <c r="AD17" s="126"/>
      <c r="AE17" s="126"/>
      <c r="AF17" s="126"/>
      <c r="AG17" s="126"/>
    </row>
    <row r="18" spans="4:33" x14ac:dyDescent="0.35">
      <c r="D18" s="26" t="s">
        <v>128</v>
      </c>
      <c r="E18" s="27" t="s">
        <v>112</v>
      </c>
      <c r="F18" s="28">
        <v>333</v>
      </c>
      <c r="G18" s="28">
        <v>1249000.8750000005</v>
      </c>
      <c r="H18" s="29">
        <f t="shared" si="0"/>
        <v>312.56278153153164</v>
      </c>
      <c r="I18" s="30">
        <v>1.2</v>
      </c>
      <c r="J18" s="7"/>
      <c r="R18" s="15"/>
      <c r="S18" s="15"/>
      <c r="T18" s="5">
        <v>25</v>
      </c>
      <c r="U18" s="5">
        <v>27</v>
      </c>
      <c r="V18" s="171" t="s">
        <v>128</v>
      </c>
      <c r="W18" s="129" t="s">
        <v>78</v>
      </c>
      <c r="X18" s="130">
        <f t="shared" ref="X18:X25" si="9">H14</f>
        <v>130.95870401651652</v>
      </c>
      <c r="Y18" s="131">
        <f t="shared" ref="Y18:Y26" si="10">X18/$X$26</f>
        <v>0.3989178737285019</v>
      </c>
      <c r="Z18" s="131">
        <f t="shared" ref="Z18:Z25" si="11">GROWTH($Y$17:$Y$25,$U$17:$U$25,U18)</f>
        <v>0.53326183861818344</v>
      </c>
      <c r="AA18" s="172">
        <f t="shared" ref="AA18:AA25" si="12">ROUND(Z18/Z$26*($X$26/$X$27),4)</f>
        <v>0.47039999999999998</v>
      </c>
      <c r="AB18" s="126"/>
      <c r="AC18" s="126"/>
      <c r="AD18" s="126"/>
      <c r="AE18" s="126"/>
      <c r="AF18" s="126"/>
      <c r="AG18" s="126"/>
    </row>
    <row r="19" spans="4:33" x14ac:dyDescent="0.35">
      <c r="D19" s="26" t="s">
        <v>128</v>
      </c>
      <c r="E19" s="27" t="s">
        <v>116</v>
      </c>
      <c r="F19" s="28">
        <v>379</v>
      </c>
      <c r="G19" s="28">
        <v>2259676.225000002</v>
      </c>
      <c r="H19" s="29">
        <f t="shared" si="0"/>
        <v>496.85053320140764</v>
      </c>
      <c r="I19" s="30">
        <v>2.5</v>
      </c>
      <c r="J19" s="7"/>
      <c r="R19" s="15"/>
      <c r="S19" s="15"/>
      <c r="T19" s="5">
        <v>30</v>
      </c>
      <c r="U19" s="5">
        <v>32</v>
      </c>
      <c r="V19" s="171" t="s">
        <v>128</v>
      </c>
      <c r="W19" s="129" t="s">
        <v>90</v>
      </c>
      <c r="X19" s="130">
        <f t="shared" si="9"/>
        <v>241.55644351119909</v>
      </c>
      <c r="Y19" s="131">
        <f t="shared" si="10"/>
        <v>0.7358135036122031</v>
      </c>
      <c r="Z19" s="131">
        <f t="shared" si="11"/>
        <v>0.64904481222915644</v>
      </c>
      <c r="AA19" s="172">
        <f t="shared" si="12"/>
        <v>0.57250000000000001</v>
      </c>
      <c r="AB19" s="126"/>
      <c r="AC19" s="126"/>
      <c r="AD19" s="126"/>
      <c r="AE19" s="126"/>
      <c r="AF19" s="126"/>
      <c r="AG19" s="126"/>
    </row>
    <row r="20" spans="4:33" x14ac:dyDescent="0.35">
      <c r="D20" s="26" t="s">
        <v>128</v>
      </c>
      <c r="E20" s="27" t="s">
        <v>122</v>
      </c>
      <c r="F20" s="28">
        <v>414</v>
      </c>
      <c r="G20" s="28">
        <v>2449877.8999999985</v>
      </c>
      <c r="H20" s="29">
        <f t="shared" si="0"/>
        <v>493.13162238325253</v>
      </c>
      <c r="I20" s="30">
        <v>3.1</v>
      </c>
      <c r="J20" s="7"/>
      <c r="T20" s="5">
        <v>35</v>
      </c>
      <c r="U20" s="5">
        <v>37</v>
      </c>
      <c r="V20" s="171" t="s">
        <v>128</v>
      </c>
      <c r="W20" s="129" t="s">
        <v>98</v>
      </c>
      <c r="X20" s="130">
        <f t="shared" si="9"/>
        <v>236.72638790246222</v>
      </c>
      <c r="Y20" s="131">
        <f t="shared" si="10"/>
        <v>0.72110050283919047</v>
      </c>
      <c r="Z20" s="131">
        <f t="shared" si="11"/>
        <v>0.78996683762927844</v>
      </c>
      <c r="AA20" s="172">
        <f t="shared" si="12"/>
        <v>0.69679999999999997</v>
      </c>
      <c r="AB20" s="126"/>
      <c r="AC20" s="126"/>
      <c r="AD20" s="126"/>
      <c r="AE20" s="126"/>
      <c r="AF20" s="126"/>
      <c r="AG20" s="126"/>
    </row>
    <row r="21" spans="4:33" x14ac:dyDescent="0.35">
      <c r="D21" s="26" t="s">
        <v>128</v>
      </c>
      <c r="E21" s="27" t="s">
        <v>125</v>
      </c>
      <c r="F21" s="28">
        <v>277</v>
      </c>
      <c r="G21" s="28">
        <v>3821060.0625000005</v>
      </c>
      <c r="H21" s="29">
        <f t="shared" si="0"/>
        <v>1149.5367215703973</v>
      </c>
      <c r="I21" s="30">
        <v>4</v>
      </c>
      <c r="J21" s="7"/>
      <c r="T21" s="5">
        <v>40</v>
      </c>
      <c r="U21" s="5">
        <v>42</v>
      </c>
      <c r="V21" s="171" t="s">
        <v>128</v>
      </c>
      <c r="W21" s="129" t="s">
        <v>105</v>
      </c>
      <c r="X21" s="130">
        <f t="shared" si="9"/>
        <v>226.45012073225499</v>
      </c>
      <c r="Y21" s="131">
        <f t="shared" si="10"/>
        <v>0.6897976071653904</v>
      </c>
      <c r="Z21" s="131">
        <f t="shared" si="11"/>
        <v>0.96148616057911229</v>
      </c>
      <c r="AA21" s="172">
        <f t="shared" si="12"/>
        <v>0.84809999999999997</v>
      </c>
      <c r="AB21" s="126"/>
      <c r="AC21" s="126"/>
      <c r="AD21" s="126"/>
      <c r="AE21" s="126"/>
      <c r="AF21" s="126"/>
      <c r="AG21" s="126"/>
    </row>
    <row r="22" spans="4:33" ht="15" thickBot="1" x14ac:dyDescent="0.4">
      <c r="D22" s="154" t="s">
        <v>106</v>
      </c>
      <c r="E22" s="34"/>
      <c r="F22" s="35">
        <f>SUM(F4:F21)</f>
        <v>8025</v>
      </c>
      <c r="G22" s="35">
        <f>SUM(G4:G21)</f>
        <v>38634068.112499997</v>
      </c>
      <c r="H22" s="155">
        <f>G22/F22/12</f>
        <v>401.18450791796471</v>
      </c>
      <c r="I22" s="156">
        <f>SUMPRODUCT(F4:F21,I4:I21)/F22</f>
        <v>1.6519875389408099</v>
      </c>
      <c r="J22" s="11"/>
      <c r="T22" s="5">
        <v>45</v>
      </c>
      <c r="U22" s="5">
        <v>47</v>
      </c>
      <c r="V22" s="171" t="s">
        <v>128</v>
      </c>
      <c r="W22" s="129" t="s">
        <v>112</v>
      </c>
      <c r="X22" s="130">
        <f t="shared" si="9"/>
        <v>312.56278153153164</v>
      </c>
      <c r="Y22" s="131">
        <f t="shared" si="10"/>
        <v>0.95210838524714891</v>
      </c>
      <c r="Z22" s="131">
        <f t="shared" si="11"/>
        <v>1.1702461330648899</v>
      </c>
      <c r="AA22" s="172">
        <f t="shared" si="12"/>
        <v>1.0323</v>
      </c>
      <c r="AB22" s="126"/>
      <c r="AC22" s="126"/>
      <c r="AD22" s="126"/>
      <c r="AE22" s="126"/>
      <c r="AF22" s="126"/>
      <c r="AG22" s="126"/>
    </row>
    <row r="23" spans="4:33" ht="16" thickTop="1" x14ac:dyDescent="0.35">
      <c r="D23" s="157" t="s">
        <v>219</v>
      </c>
      <c r="E23" s="31"/>
      <c r="F23" s="32"/>
      <c r="G23" s="32"/>
      <c r="H23" s="32"/>
      <c r="I23" s="321"/>
      <c r="J23" s="15"/>
      <c r="T23" s="5">
        <v>50</v>
      </c>
      <c r="U23" s="5">
        <v>52</v>
      </c>
      <c r="V23" s="171" t="s">
        <v>128</v>
      </c>
      <c r="W23" s="129" t="s">
        <v>116</v>
      </c>
      <c r="X23" s="130">
        <f t="shared" si="9"/>
        <v>496.85053320140764</v>
      </c>
      <c r="Y23" s="131">
        <f t="shared" si="10"/>
        <v>1.5134737301659662</v>
      </c>
      <c r="Z23" s="131">
        <f t="shared" si="11"/>
        <v>1.4243325261473125</v>
      </c>
      <c r="AA23" s="172">
        <f t="shared" si="12"/>
        <v>1.2564</v>
      </c>
      <c r="AB23" s="126"/>
      <c r="AC23" s="126"/>
      <c r="AD23" s="126"/>
      <c r="AE23" s="126"/>
      <c r="AF23" s="126"/>
      <c r="AG23" s="126"/>
    </row>
    <row r="24" spans="4:33" x14ac:dyDescent="0.35">
      <c r="E24" s="22"/>
      <c r="F24" s="22"/>
      <c r="G24" s="22"/>
      <c r="H24" s="22"/>
      <c r="I24" s="22"/>
      <c r="T24" s="5">
        <v>55</v>
      </c>
      <c r="U24" s="5">
        <v>57</v>
      </c>
      <c r="V24" s="171" t="s">
        <v>128</v>
      </c>
      <c r="W24" s="129" t="s">
        <v>122</v>
      </c>
      <c r="X24" s="130">
        <f t="shared" si="9"/>
        <v>493.13162238325253</v>
      </c>
      <c r="Y24" s="131">
        <f t="shared" si="10"/>
        <v>1.5021454262757776</v>
      </c>
      <c r="Z24" s="131">
        <f t="shared" si="11"/>
        <v>1.7335867111373682</v>
      </c>
      <c r="AA24" s="172">
        <f t="shared" si="12"/>
        <v>1.5291999999999999</v>
      </c>
      <c r="AB24" s="126"/>
      <c r="AC24" s="126"/>
      <c r="AD24" s="126"/>
      <c r="AE24" s="126"/>
      <c r="AF24" s="126"/>
      <c r="AG24" s="126"/>
    </row>
    <row r="25" spans="4:33" x14ac:dyDescent="0.35">
      <c r="T25" s="5">
        <v>60</v>
      </c>
      <c r="U25" s="5">
        <v>62</v>
      </c>
      <c r="V25" s="173" t="s">
        <v>128</v>
      </c>
      <c r="W25" s="139" t="s">
        <v>125</v>
      </c>
      <c r="X25" s="144">
        <f t="shared" si="9"/>
        <v>1149.5367215703973</v>
      </c>
      <c r="Y25" s="140">
        <f t="shared" si="10"/>
        <v>3.501643882210844</v>
      </c>
      <c r="Z25" s="140">
        <f t="shared" si="11"/>
        <v>2.1099868393521817</v>
      </c>
      <c r="AA25" s="172">
        <f t="shared" si="12"/>
        <v>1.8612</v>
      </c>
      <c r="AB25" s="126"/>
      <c r="AC25" s="126"/>
      <c r="AD25" s="126"/>
      <c r="AE25" s="126"/>
      <c r="AF25" s="126"/>
      <c r="AG25" s="126"/>
    </row>
    <row r="26" spans="4:33" x14ac:dyDescent="0.35">
      <c r="U26" s="6"/>
      <c r="V26" s="178"/>
      <c r="W26" s="141" t="s">
        <v>150</v>
      </c>
      <c r="X26" s="142">
        <f>SUMPRODUCT(F13:F21,X17:X25)/SUM(F13:F21)</f>
        <v>328.28487425871833</v>
      </c>
      <c r="Y26" s="143">
        <f t="shared" si="10"/>
        <v>1</v>
      </c>
      <c r="Z26" s="143">
        <f>SUMPRODUCT($F13:$F21,Z17:Z25)/SUM($F13:$F21)</f>
        <v>0.92767303227508457</v>
      </c>
      <c r="AA26" s="175">
        <f>SUMPRODUCT($F13:$F21,AA17:AA25)/SUM($F13:$F21)</f>
        <v>0.81829824747742963</v>
      </c>
      <c r="AB26" s="126"/>
      <c r="AC26" s="126"/>
      <c r="AD26" s="126"/>
      <c r="AE26" s="126"/>
      <c r="AF26" s="126"/>
      <c r="AG26" s="126"/>
    </row>
    <row r="27" spans="4:33" ht="15" thickBot="1" x14ac:dyDescent="0.4">
      <c r="V27" s="179"/>
      <c r="W27" s="180" t="s">
        <v>106</v>
      </c>
      <c r="X27" s="181">
        <f>(X13*SUM(F4:F12)+X26*SUM(F13:F21))/F22</f>
        <v>401.18450791796465</v>
      </c>
      <c r="Y27" s="182"/>
      <c r="Z27" s="182"/>
      <c r="AA27" s="183">
        <f>(AA13*SUM(F4:F12)+SUM(F13:F21)*AA26)/F22</f>
        <v>1.0000051339563862</v>
      </c>
      <c r="AB27" s="126"/>
      <c r="AC27" s="126"/>
      <c r="AD27" s="126"/>
      <c r="AE27" s="126"/>
      <c r="AF27" s="126"/>
      <c r="AG27" s="126"/>
    </row>
    <row r="28" spans="4:33" ht="16" thickTop="1" x14ac:dyDescent="0.35">
      <c r="V28" s="92" t="s">
        <v>222</v>
      </c>
      <c r="W28" s="138"/>
      <c r="X28" s="138"/>
      <c r="Y28" s="138"/>
      <c r="Z28" s="138"/>
      <c r="AA28" s="138"/>
      <c r="AB28" s="126"/>
      <c r="AC28" s="126"/>
      <c r="AD28" s="126"/>
      <c r="AE28" s="126"/>
      <c r="AF28" s="126"/>
      <c r="AG28" s="126"/>
    </row>
    <row r="29" spans="4:33" x14ac:dyDescent="0.35"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</row>
    <row r="30" spans="4:33" x14ac:dyDescent="0.35"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</row>
  </sheetData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opLeftCell="I27" workbookViewId="0">
      <selection activeCell="F12" sqref="F12"/>
    </sheetView>
  </sheetViews>
  <sheetFormatPr defaultRowHeight="14.5" x14ac:dyDescent="0.35"/>
  <cols>
    <col min="1" max="1" width="15" customWidth="1"/>
    <col min="2" max="2" width="13.36328125" customWidth="1"/>
    <col min="3" max="3" width="12.453125" customWidth="1"/>
    <col min="6" max="6" width="19.36328125" customWidth="1"/>
    <col min="9" max="9" width="12.453125" customWidth="1"/>
    <col min="11" max="11" width="3.54296875" customWidth="1"/>
    <col min="12" max="12" width="10.54296875" customWidth="1"/>
    <col min="14" max="14" width="12.36328125" customWidth="1"/>
  </cols>
  <sheetData>
    <row r="1" spans="1:18" ht="15" thickTop="1" x14ac:dyDescent="0.35">
      <c r="A1" s="44" t="s">
        <v>14</v>
      </c>
      <c r="B1" s="45">
        <v>2009</v>
      </c>
      <c r="C1" s="45">
        <v>2010</v>
      </c>
      <c r="D1" s="36"/>
      <c r="F1" s="44" t="s">
        <v>14</v>
      </c>
      <c r="G1" s="45">
        <v>2009</v>
      </c>
      <c r="H1" s="45">
        <v>2010</v>
      </c>
      <c r="I1" s="20" t="s">
        <v>185</v>
      </c>
      <c r="L1" s="202"/>
      <c r="M1" s="203"/>
      <c r="N1" s="203"/>
      <c r="O1" s="203"/>
      <c r="P1" s="203"/>
      <c r="Q1" s="204" t="s">
        <v>176</v>
      </c>
      <c r="R1" s="205" t="s">
        <v>148</v>
      </c>
    </row>
    <row r="2" spans="1:18" x14ac:dyDescent="0.35">
      <c r="A2" s="21" t="s">
        <v>70</v>
      </c>
      <c r="B2" s="46">
        <v>96300</v>
      </c>
      <c r="C2" s="46">
        <v>94524</v>
      </c>
      <c r="D2" s="47"/>
      <c r="F2" s="43" t="s">
        <v>186</v>
      </c>
      <c r="G2" s="31"/>
      <c r="H2" s="31"/>
      <c r="I2" s="24"/>
      <c r="L2" s="206" t="s">
        <v>137</v>
      </c>
      <c r="M2" s="98"/>
      <c r="N2" s="98"/>
      <c r="O2" s="97" t="s">
        <v>0</v>
      </c>
      <c r="P2" s="97" t="s">
        <v>153</v>
      </c>
      <c r="Q2" s="97" t="s">
        <v>0</v>
      </c>
      <c r="R2" s="207" t="s">
        <v>176</v>
      </c>
    </row>
    <row r="3" spans="1:18" x14ac:dyDescent="0.35">
      <c r="A3" s="21" t="s">
        <v>81</v>
      </c>
      <c r="B3" s="46">
        <v>73725</v>
      </c>
      <c r="C3" s="46">
        <v>76677.3</v>
      </c>
      <c r="D3" s="47"/>
      <c r="F3" s="21" t="s">
        <v>187</v>
      </c>
      <c r="G3" s="46">
        <v>6000</v>
      </c>
      <c r="H3" s="46">
        <v>6600</v>
      </c>
      <c r="I3" s="83">
        <f>H3/G3-1</f>
        <v>0.10000000000000009</v>
      </c>
      <c r="L3" s="208" t="s">
        <v>154</v>
      </c>
      <c r="M3" s="99" t="s">
        <v>9</v>
      </c>
      <c r="N3" s="99" t="s">
        <v>0</v>
      </c>
      <c r="O3" s="99" t="s">
        <v>10</v>
      </c>
      <c r="P3" s="99" t="s">
        <v>149</v>
      </c>
      <c r="Q3" s="99" t="s">
        <v>10</v>
      </c>
      <c r="R3" s="209" t="s">
        <v>10</v>
      </c>
    </row>
    <row r="4" spans="1:18" x14ac:dyDescent="0.35">
      <c r="A4" s="21" t="s">
        <v>93</v>
      </c>
      <c r="B4" s="46">
        <v>51399457.369999141</v>
      </c>
      <c r="C4" s="46">
        <v>55591792.848497704</v>
      </c>
      <c r="D4" s="47"/>
      <c r="F4" s="21" t="s">
        <v>83</v>
      </c>
      <c r="G4" s="46">
        <v>1000</v>
      </c>
      <c r="H4" s="46">
        <v>1000</v>
      </c>
      <c r="I4" s="197"/>
      <c r="K4" s="5">
        <v>0</v>
      </c>
      <c r="L4" s="210">
        <v>39417</v>
      </c>
      <c r="M4" s="100">
        <f>ROUND(M16*1.02,0)</f>
        <v>8350</v>
      </c>
      <c r="N4" s="100">
        <v>3500000</v>
      </c>
      <c r="O4" s="101">
        <f>N4/M4</f>
        <v>419.16167664670661</v>
      </c>
      <c r="P4" s="102">
        <f>P16</f>
        <v>1.0941300405151846</v>
      </c>
      <c r="Q4" s="103">
        <f t="shared" ref="Q4:Q40" si="0">O4/P4</f>
        <v>383.10041871196518</v>
      </c>
      <c r="R4" s="211">
        <f>GROWTH($Q$4:$Q$40,$K$4:$K$40,K4)</f>
        <v>359.83579856494629</v>
      </c>
    </row>
    <row r="5" spans="1:18" x14ac:dyDescent="0.35">
      <c r="A5" s="21" t="s">
        <v>0</v>
      </c>
      <c r="B5" s="46">
        <v>38634068.112499774</v>
      </c>
      <c r="C5" s="46">
        <v>40479809.987194501</v>
      </c>
      <c r="D5" s="47"/>
      <c r="F5" s="198" t="s">
        <v>188</v>
      </c>
      <c r="G5" s="46">
        <f>G3-G4</f>
        <v>5000</v>
      </c>
      <c r="H5" s="46">
        <f>H3-H4</f>
        <v>5600</v>
      </c>
      <c r="I5" s="83">
        <f>H5/G5-1</f>
        <v>0.12000000000000011</v>
      </c>
      <c r="K5" s="5">
        <v>1</v>
      </c>
      <c r="L5" s="210">
        <v>39448</v>
      </c>
      <c r="M5" s="100">
        <f>ROUND(M17*1.02,0)</f>
        <v>8186</v>
      </c>
      <c r="N5" s="100">
        <v>2875432</v>
      </c>
      <c r="O5" s="101">
        <f>N5/M5</f>
        <v>351.26215489860738</v>
      </c>
      <c r="P5" s="104">
        <f>(SUM(N5,N17,N29)/SUM(M5,M17,M29))/(SUM($N$5:$N$40)/SUM($M$5:$M$40))</f>
        <v>0.9563489121615727</v>
      </c>
      <c r="Q5" s="103">
        <f t="shared" si="0"/>
        <v>367.29498034840924</v>
      </c>
      <c r="R5" s="211">
        <f t="shared" ref="R5:R40" si="1">GROWTH($Q$4:$Q$40,$K$4:$K$40,K5)</f>
        <v>361.81893514207843</v>
      </c>
    </row>
    <row r="6" spans="1:18" x14ac:dyDescent="0.35">
      <c r="A6" s="21" t="s">
        <v>75</v>
      </c>
      <c r="B6" s="46">
        <v>30907254.489999823</v>
      </c>
      <c r="C6" s="46">
        <v>33193444.189499486</v>
      </c>
      <c r="D6" s="47"/>
      <c r="F6" s="198"/>
      <c r="G6" s="46"/>
      <c r="H6" s="46"/>
      <c r="I6" s="83"/>
      <c r="K6" s="5">
        <v>2</v>
      </c>
      <c r="L6" s="210">
        <v>39479</v>
      </c>
      <c r="M6" s="100">
        <f t="shared" ref="M6:M16" si="2">ROUND(M18*1.02,0)</f>
        <v>8186</v>
      </c>
      <c r="N6" s="100">
        <v>2915235</v>
      </c>
      <c r="O6" s="101">
        <f t="shared" ref="O6:O41" si="3">N6/M6</f>
        <v>356.12448082091373</v>
      </c>
      <c r="P6" s="104">
        <f t="shared" ref="P6:P16" si="4">(SUM(N6,N18,N30)/SUM(M6,M18,M30))/(SUM($N$5:$N$40)/SUM($M$5:$M$40))</f>
        <v>0.9680354613715646</v>
      </c>
      <c r="Q6" s="103">
        <f t="shared" si="0"/>
        <v>367.88371400809785</v>
      </c>
      <c r="R6" s="211">
        <f t="shared" si="1"/>
        <v>363.81300123400388</v>
      </c>
    </row>
    <row r="7" spans="1:18" x14ac:dyDescent="0.35">
      <c r="A7" s="21"/>
      <c r="B7" s="22"/>
      <c r="C7" s="22"/>
      <c r="D7" s="47"/>
      <c r="F7" s="43" t="s">
        <v>189</v>
      </c>
      <c r="G7" s="46"/>
      <c r="H7" s="46"/>
      <c r="I7" s="47"/>
      <c r="K7" s="5">
        <v>3</v>
      </c>
      <c r="L7" s="210">
        <v>39508</v>
      </c>
      <c r="M7" s="100">
        <f t="shared" si="2"/>
        <v>8186</v>
      </c>
      <c r="N7" s="100">
        <v>3015240</v>
      </c>
      <c r="O7" s="101">
        <f t="shared" si="3"/>
        <v>368.34107011971656</v>
      </c>
      <c r="P7" s="104">
        <f t="shared" si="4"/>
        <v>0.97468793467282899</v>
      </c>
      <c r="Q7" s="103">
        <f t="shared" si="0"/>
        <v>377.90666839777458</v>
      </c>
      <c r="R7" s="211">
        <f t="shared" si="1"/>
        <v>365.8180570757537</v>
      </c>
    </row>
    <row r="8" spans="1:18" x14ac:dyDescent="0.35">
      <c r="A8" s="43" t="s">
        <v>14</v>
      </c>
      <c r="B8" s="31">
        <v>2009</v>
      </c>
      <c r="C8" s="31">
        <v>2010</v>
      </c>
      <c r="D8" s="24" t="s">
        <v>117</v>
      </c>
      <c r="F8" s="198" t="s">
        <v>187</v>
      </c>
      <c r="G8" s="199">
        <v>6000</v>
      </c>
      <c r="H8" s="199">
        <v>6600</v>
      </c>
      <c r="I8" s="83">
        <f>H8/G8-1</f>
        <v>0.10000000000000009</v>
      </c>
      <c r="K8" s="5">
        <v>4</v>
      </c>
      <c r="L8" s="210">
        <v>39539</v>
      </c>
      <c r="M8" s="100">
        <f t="shared" si="2"/>
        <v>8186</v>
      </c>
      <c r="N8" s="100">
        <v>2826569</v>
      </c>
      <c r="O8" s="101">
        <f t="shared" si="3"/>
        <v>345.29306132421209</v>
      </c>
      <c r="P8" s="104">
        <f t="shared" si="4"/>
        <v>0.93982416264353463</v>
      </c>
      <c r="Q8" s="103">
        <f t="shared" si="0"/>
        <v>367.40177051095685</v>
      </c>
      <c r="R8" s="211">
        <f t="shared" si="1"/>
        <v>367.83416323432812</v>
      </c>
    </row>
    <row r="9" spans="1:18" x14ac:dyDescent="0.35">
      <c r="A9" s="21" t="s">
        <v>123</v>
      </c>
      <c r="B9" s="322">
        <f>B3/B$2</f>
        <v>0.76557632398753894</v>
      </c>
      <c r="C9" s="322">
        <f>C3/C$2</f>
        <v>0.8111939824806399</v>
      </c>
      <c r="D9" s="49">
        <f>C9/B9-1</f>
        <v>5.9586036119167574E-2</v>
      </c>
      <c r="F9" s="21" t="s">
        <v>83</v>
      </c>
      <c r="G9" s="46">
        <v>5000</v>
      </c>
      <c r="H9" s="46">
        <v>5000</v>
      </c>
      <c r="I9" s="197"/>
      <c r="K9" s="5">
        <v>5</v>
      </c>
      <c r="L9" s="210">
        <v>39569</v>
      </c>
      <c r="M9" s="100">
        <f t="shared" si="2"/>
        <v>8186</v>
      </c>
      <c r="N9" s="100">
        <v>3165874</v>
      </c>
      <c r="O9" s="101">
        <f t="shared" si="3"/>
        <v>386.74248717322257</v>
      </c>
      <c r="P9" s="104">
        <f t="shared" si="4"/>
        <v>1.0281120404961077</v>
      </c>
      <c r="Q9" s="103">
        <f t="shared" si="0"/>
        <v>376.16764704613604</v>
      </c>
      <c r="R9" s="211">
        <f t="shared" si="1"/>
        <v>369.86138061052571</v>
      </c>
    </row>
    <row r="10" spans="1:18" ht="15" thickBot="1" x14ac:dyDescent="0.4">
      <c r="A10" s="21" t="s">
        <v>126</v>
      </c>
      <c r="B10" s="322">
        <f>B4/B$2</f>
        <v>533.74306718586854</v>
      </c>
      <c r="C10" s="322">
        <f>C4/C$2</f>
        <v>588.12357547816111</v>
      </c>
      <c r="D10" s="49">
        <f t="shared" ref="D10:D14" si="5">C10/B10-1</f>
        <v>0.10188517965958943</v>
      </c>
      <c r="F10" s="179" t="s">
        <v>188</v>
      </c>
      <c r="G10" s="74">
        <f>G8-G9</f>
        <v>1000</v>
      </c>
      <c r="H10" s="74">
        <f>H8-H9</f>
        <v>1600</v>
      </c>
      <c r="I10" s="200">
        <f>H10/G10-1</f>
        <v>0.60000000000000009</v>
      </c>
      <c r="K10" s="5">
        <v>6</v>
      </c>
      <c r="L10" s="210">
        <v>39600</v>
      </c>
      <c r="M10" s="100">
        <f t="shared" si="2"/>
        <v>8186</v>
      </c>
      <c r="N10" s="100">
        <v>3054785</v>
      </c>
      <c r="O10" s="101">
        <f t="shared" si="3"/>
        <v>373.17187881749328</v>
      </c>
      <c r="P10" s="104">
        <f t="shared" si="4"/>
        <v>0.98471762023341802</v>
      </c>
      <c r="Q10" s="103">
        <f t="shared" si="0"/>
        <v>378.96334050469858</v>
      </c>
      <c r="R10" s="211">
        <f t="shared" si="1"/>
        <v>371.89977044078307</v>
      </c>
    </row>
    <row r="11" spans="1:18" ht="16" thickTop="1" x14ac:dyDescent="0.35">
      <c r="A11" s="21" t="s">
        <v>129</v>
      </c>
      <c r="B11" s="322">
        <f t="shared" ref="B11:C11" si="6">B5/B$2</f>
        <v>401.18450791796232</v>
      </c>
      <c r="C11" s="322">
        <f t="shared" si="6"/>
        <v>428.24901598741593</v>
      </c>
      <c r="D11" s="49">
        <f t="shared" si="5"/>
        <v>6.7461498475878345E-2</v>
      </c>
      <c r="F11" s="161" t="s">
        <v>226</v>
      </c>
      <c r="G11" s="201"/>
      <c r="H11" s="201"/>
      <c r="I11" s="201"/>
      <c r="K11" s="5">
        <v>7</v>
      </c>
      <c r="L11" s="210">
        <v>39630</v>
      </c>
      <c r="M11" s="100">
        <f t="shared" si="2"/>
        <v>8186</v>
      </c>
      <c r="N11" s="100">
        <v>2701132</v>
      </c>
      <c r="O11" s="101">
        <f t="shared" si="3"/>
        <v>329.96970437332033</v>
      </c>
      <c r="P11" s="104">
        <f t="shared" si="4"/>
        <v>0.97920255974696646</v>
      </c>
      <c r="Q11" s="103">
        <f t="shared" si="0"/>
        <v>336.97798385922016</v>
      </c>
      <c r="R11" s="211">
        <f t="shared" si="1"/>
        <v>373.94939429902473</v>
      </c>
    </row>
    <row r="12" spans="1:18" x14ac:dyDescent="0.35">
      <c r="A12" s="21" t="s">
        <v>131</v>
      </c>
      <c r="B12" s="322">
        <f t="shared" ref="B12:C12" si="7">B6/B$2</f>
        <v>320.94760633436994</v>
      </c>
      <c r="C12" s="322">
        <f t="shared" si="7"/>
        <v>351.16419310968098</v>
      </c>
      <c r="D12" s="49">
        <f t="shared" si="5"/>
        <v>9.4148035937774655E-2</v>
      </c>
      <c r="K12" s="5">
        <v>8</v>
      </c>
      <c r="L12" s="210">
        <v>39661</v>
      </c>
      <c r="M12" s="100">
        <f t="shared" si="2"/>
        <v>8186</v>
      </c>
      <c r="N12" s="100">
        <v>2801546</v>
      </c>
      <c r="O12" s="101">
        <f t="shared" si="3"/>
        <v>342.23625702418764</v>
      </c>
      <c r="P12" s="104">
        <f t="shared" si="4"/>
        <v>0.96850998278417821</v>
      </c>
      <c r="Q12" s="103">
        <f t="shared" si="0"/>
        <v>353.36368556611069</v>
      </c>
      <c r="R12" s="211">
        <f t="shared" si="1"/>
        <v>376.01031409852305</v>
      </c>
    </row>
    <row r="13" spans="1:18" x14ac:dyDescent="0.35">
      <c r="A13" s="21" t="s">
        <v>152</v>
      </c>
      <c r="B13" s="322">
        <f>B4/B$3</f>
        <v>697.17812641572255</v>
      </c>
      <c r="C13" s="322">
        <f>C4/C$3</f>
        <v>725.00978579707032</v>
      </c>
      <c r="D13" s="49">
        <f t="shared" si="5"/>
        <v>3.9920442605441142E-2</v>
      </c>
      <c r="K13" s="5">
        <v>9</v>
      </c>
      <c r="L13" s="210">
        <v>39692</v>
      </c>
      <c r="M13" s="100">
        <f t="shared" si="2"/>
        <v>8186</v>
      </c>
      <c r="N13" s="100">
        <v>2987532</v>
      </c>
      <c r="O13" s="101">
        <f t="shared" si="3"/>
        <v>364.95626679697045</v>
      </c>
      <c r="P13" s="104">
        <f t="shared" si="4"/>
        <v>1.0087806094066261</v>
      </c>
      <c r="Q13" s="103">
        <f t="shared" si="0"/>
        <v>361.77962125148406</v>
      </c>
      <c r="R13" s="211">
        <f t="shared" si="1"/>
        <v>378.08259209376854</v>
      </c>
    </row>
    <row r="14" spans="1:18" ht="15" thickBot="1" x14ac:dyDescent="0.4">
      <c r="A14" s="195" t="s">
        <v>142</v>
      </c>
      <c r="B14" s="322">
        <f>B5/B$3</f>
        <v>524.02940810443909</v>
      </c>
      <c r="C14" s="322">
        <f>C5/C$3</f>
        <v>527.9243007669088</v>
      </c>
      <c r="D14" s="49">
        <f t="shared" si="5"/>
        <v>7.43258413026604E-3</v>
      </c>
      <c r="K14" s="5">
        <v>10</v>
      </c>
      <c r="L14" s="210">
        <v>39722</v>
      </c>
      <c r="M14" s="100">
        <f t="shared" si="2"/>
        <v>8186</v>
      </c>
      <c r="N14" s="100">
        <v>3032321</v>
      </c>
      <c r="O14" s="101">
        <f t="shared" si="3"/>
        <v>370.42768140728072</v>
      </c>
      <c r="P14" s="104">
        <f t="shared" si="4"/>
        <v>1.0256728211345638</v>
      </c>
      <c r="Q14" s="103">
        <f t="shared" si="0"/>
        <v>361.15579332357311</v>
      </c>
      <c r="R14" s="211">
        <f t="shared" si="1"/>
        <v>380.16629088235021</v>
      </c>
    </row>
    <row r="15" spans="1:18" ht="16" thickTop="1" x14ac:dyDescent="0.35">
      <c r="A15" s="157" t="s">
        <v>224</v>
      </c>
      <c r="B15" s="18"/>
      <c r="C15" s="18"/>
      <c r="D15" s="18"/>
      <c r="K15" s="5">
        <v>11</v>
      </c>
      <c r="L15" s="210">
        <v>39753</v>
      </c>
      <c r="M15" s="100">
        <f t="shared" si="2"/>
        <v>8186</v>
      </c>
      <c r="N15" s="100">
        <v>3267124</v>
      </c>
      <c r="O15" s="101">
        <f t="shared" si="3"/>
        <v>399.11116540434887</v>
      </c>
      <c r="P15" s="104">
        <f t="shared" si="4"/>
        <v>1.0719778548334546</v>
      </c>
      <c r="Q15" s="103">
        <f t="shared" si="0"/>
        <v>372.31288277532173</v>
      </c>
      <c r="R15" s="211">
        <f t="shared" si="1"/>
        <v>382.26147340684651</v>
      </c>
    </row>
    <row r="16" spans="1:18" x14ac:dyDescent="0.35">
      <c r="B16" s="22"/>
      <c r="C16" s="22"/>
      <c r="D16" s="22"/>
      <c r="K16" s="5">
        <v>12</v>
      </c>
      <c r="L16" s="210">
        <v>39783</v>
      </c>
      <c r="M16" s="100">
        <f t="shared" si="2"/>
        <v>8186</v>
      </c>
      <c r="N16" s="100">
        <v>3357210</v>
      </c>
      <c r="O16" s="101">
        <f t="shared" si="3"/>
        <v>410.11605179574883</v>
      </c>
      <c r="P16" s="104">
        <f t="shared" si="4"/>
        <v>1.0941300405151846</v>
      </c>
      <c r="Q16" s="103">
        <f t="shared" si="0"/>
        <v>374.83300577565774</v>
      </c>
      <c r="R16" s="211">
        <f t="shared" si="1"/>
        <v>384.3682029567268</v>
      </c>
    </row>
    <row r="17" spans="11:18" x14ac:dyDescent="0.35">
      <c r="K17" s="5">
        <v>13</v>
      </c>
      <c r="L17" s="210">
        <v>39814</v>
      </c>
      <c r="M17" s="100">
        <f>$B$2/12</f>
        <v>8025</v>
      </c>
      <c r="N17" s="100">
        <v>3000000</v>
      </c>
      <c r="O17" s="101">
        <f t="shared" si="3"/>
        <v>373.8317757009346</v>
      </c>
      <c r="P17" s="104">
        <f>P5</f>
        <v>0.9563489121615727</v>
      </c>
      <c r="Q17" s="103">
        <f t="shared" si="0"/>
        <v>390.89475707771464</v>
      </c>
      <c r="R17" s="211">
        <f t="shared" si="1"/>
        <v>386.48654317026296</v>
      </c>
    </row>
    <row r="18" spans="11:18" x14ac:dyDescent="0.35">
      <c r="K18" s="5">
        <v>14</v>
      </c>
      <c r="L18" s="210">
        <v>39845</v>
      </c>
      <c r="M18" s="100">
        <f t="shared" ref="M18:M28" si="8">$B$2/12</f>
        <v>8025</v>
      </c>
      <c r="N18" s="100">
        <v>3037625</v>
      </c>
      <c r="O18" s="101">
        <f t="shared" si="3"/>
        <v>378.5202492211838</v>
      </c>
      <c r="P18" s="104">
        <f t="shared" ref="P18:P40" si="9">P6</f>
        <v>0.9680354613715646</v>
      </c>
      <c r="Q18" s="103">
        <f t="shared" si="0"/>
        <v>391.01899085894644</v>
      </c>
      <c r="R18" s="211">
        <f t="shared" si="1"/>
        <v>388.61655803645192</v>
      </c>
    </row>
    <row r="19" spans="11:18" x14ac:dyDescent="0.35">
      <c r="K19" s="5">
        <v>15</v>
      </c>
      <c r="L19" s="210">
        <v>39873</v>
      </c>
      <c r="M19" s="100">
        <f t="shared" si="8"/>
        <v>8025</v>
      </c>
      <c r="N19" s="100">
        <v>3112547</v>
      </c>
      <c r="O19" s="101">
        <f t="shared" si="3"/>
        <v>387.85632398753893</v>
      </c>
      <c r="P19" s="104">
        <f t="shared" si="9"/>
        <v>0.97468793467282899</v>
      </c>
      <c r="Q19" s="103">
        <f t="shared" si="0"/>
        <v>397.92872178902024</v>
      </c>
      <c r="R19" s="211">
        <f t="shared" si="1"/>
        <v>390.75831189694833</v>
      </c>
    </row>
    <row r="20" spans="11:18" x14ac:dyDescent="0.35">
      <c r="K20" s="5">
        <v>16</v>
      </c>
      <c r="L20" s="210">
        <v>39904</v>
      </c>
      <c r="M20" s="100">
        <f t="shared" si="8"/>
        <v>8025</v>
      </c>
      <c r="N20" s="100">
        <v>3176542</v>
      </c>
      <c r="O20" s="101">
        <f t="shared" si="3"/>
        <v>395.83077881619937</v>
      </c>
      <c r="P20" s="104">
        <f t="shared" si="9"/>
        <v>0.93982416264353463</v>
      </c>
      <c r="Q20" s="103">
        <f t="shared" si="0"/>
        <v>421.17535869987393</v>
      </c>
      <c r="R20" s="211">
        <f t="shared" si="1"/>
        <v>392.91186944800836</v>
      </c>
    </row>
    <row r="21" spans="11:18" x14ac:dyDescent="0.35">
      <c r="K21" s="5">
        <v>17</v>
      </c>
      <c r="L21" s="210">
        <v>39934</v>
      </c>
      <c r="M21" s="100">
        <f t="shared" si="8"/>
        <v>8025</v>
      </c>
      <c r="N21" s="100">
        <v>3134589</v>
      </c>
      <c r="O21" s="101">
        <f t="shared" si="3"/>
        <v>390.6029906542056</v>
      </c>
      <c r="P21" s="104">
        <f t="shared" si="9"/>
        <v>1.0281120404961077</v>
      </c>
      <c r="Q21" s="103">
        <f t="shared" si="0"/>
        <v>379.92259137994637</v>
      </c>
      <c r="R21" s="211">
        <f t="shared" si="1"/>
        <v>395.07729574244371</v>
      </c>
    </row>
    <row r="22" spans="11:18" x14ac:dyDescent="0.35">
      <c r="K22" s="5">
        <v>18</v>
      </c>
      <c r="L22" s="210">
        <v>39965</v>
      </c>
      <c r="M22" s="100">
        <f t="shared" si="8"/>
        <v>8025</v>
      </c>
      <c r="N22" s="100">
        <v>3095450</v>
      </c>
      <c r="O22" s="101">
        <f t="shared" si="3"/>
        <v>385.72585669781932</v>
      </c>
      <c r="P22" s="104">
        <f t="shared" si="9"/>
        <v>0.98471762023341802</v>
      </c>
      <c r="Q22" s="103">
        <f t="shared" si="0"/>
        <v>391.71215054158029</v>
      </c>
      <c r="R22" s="211">
        <f t="shared" si="1"/>
        <v>397.25465619158729</v>
      </c>
    </row>
    <row r="23" spans="11:18" x14ac:dyDescent="0.35">
      <c r="K23" s="5">
        <v>19</v>
      </c>
      <c r="L23" s="210">
        <v>39995</v>
      </c>
      <c r="M23" s="100">
        <f t="shared" si="8"/>
        <v>8025</v>
      </c>
      <c r="N23" s="100">
        <v>3216653</v>
      </c>
      <c r="O23" s="101">
        <f t="shared" si="3"/>
        <v>400.82903426791279</v>
      </c>
      <c r="P23" s="104">
        <f t="shared" si="9"/>
        <v>0.97920255974696646</v>
      </c>
      <c r="Q23" s="103">
        <f t="shared" si="0"/>
        <v>409.34230642890691</v>
      </c>
      <c r="R23" s="211">
        <f t="shared" si="1"/>
        <v>399.44401656726819</v>
      </c>
    </row>
    <row r="24" spans="11:18" x14ac:dyDescent="0.35">
      <c r="K24" s="5">
        <v>20</v>
      </c>
      <c r="L24" s="210">
        <v>40026</v>
      </c>
      <c r="M24" s="100">
        <f t="shared" si="8"/>
        <v>8025</v>
      </c>
      <c r="N24" s="100">
        <v>3278951</v>
      </c>
      <c r="O24" s="101">
        <f t="shared" si="3"/>
        <v>408.59202492211836</v>
      </c>
      <c r="P24" s="104">
        <f t="shared" si="9"/>
        <v>0.96850998278417821</v>
      </c>
      <c r="Q24" s="103">
        <f t="shared" si="0"/>
        <v>421.87693692896977</v>
      </c>
      <c r="R24" s="211">
        <f t="shared" si="1"/>
        <v>401.64544300379919</v>
      </c>
    </row>
    <row r="25" spans="11:18" x14ac:dyDescent="0.35">
      <c r="K25" s="5">
        <v>21</v>
      </c>
      <c r="L25" s="210">
        <v>40057</v>
      </c>
      <c r="M25" s="100">
        <f t="shared" si="8"/>
        <v>8025</v>
      </c>
      <c r="N25" s="100">
        <v>3299870</v>
      </c>
      <c r="O25" s="101">
        <f t="shared" si="3"/>
        <v>411.19875389408099</v>
      </c>
      <c r="P25" s="104">
        <f t="shared" si="9"/>
        <v>1.0087806094066261</v>
      </c>
      <c r="Q25" s="103">
        <f t="shared" si="0"/>
        <v>407.61960535299329</v>
      </c>
      <c r="R25" s="211">
        <f t="shared" si="1"/>
        <v>403.85900199997428</v>
      </c>
    </row>
    <row r="26" spans="11:18" x14ac:dyDescent="0.35">
      <c r="K26" s="5">
        <v>22</v>
      </c>
      <c r="L26" s="210">
        <v>40087</v>
      </c>
      <c r="M26" s="100">
        <f t="shared" si="8"/>
        <v>8025</v>
      </c>
      <c r="N26" s="100">
        <v>3356321</v>
      </c>
      <c r="O26" s="101">
        <f t="shared" si="3"/>
        <v>418.23314641744548</v>
      </c>
      <c r="P26" s="104">
        <f t="shared" si="9"/>
        <v>1.0256728211345638</v>
      </c>
      <c r="Q26" s="103">
        <f t="shared" si="0"/>
        <v>407.76467680484154</v>
      </c>
      <c r="R26" s="211">
        <f t="shared" si="1"/>
        <v>406.08476042107719</v>
      </c>
    </row>
    <row r="27" spans="11:18" x14ac:dyDescent="0.35">
      <c r="K27" s="5">
        <v>23</v>
      </c>
      <c r="L27" s="210">
        <v>40118</v>
      </c>
      <c r="M27" s="100">
        <f t="shared" si="8"/>
        <v>8025</v>
      </c>
      <c r="N27" s="100">
        <v>3445675</v>
      </c>
      <c r="O27" s="101">
        <f t="shared" si="3"/>
        <v>429.36760124610589</v>
      </c>
      <c r="P27" s="104">
        <f t="shared" si="9"/>
        <v>1.0719778548334546</v>
      </c>
      <c r="Q27" s="103">
        <f t="shared" si="0"/>
        <v>400.53775300499427</v>
      </c>
      <c r="R27" s="211">
        <f t="shared" si="1"/>
        <v>408.32278550090155</v>
      </c>
    </row>
    <row r="28" spans="11:18" x14ac:dyDescent="0.35">
      <c r="K28" s="5">
        <v>24</v>
      </c>
      <c r="L28" s="210">
        <v>40148</v>
      </c>
      <c r="M28" s="100">
        <f t="shared" si="8"/>
        <v>8025</v>
      </c>
      <c r="N28" s="100">
        <v>3479845</v>
      </c>
      <c r="O28" s="101">
        <f t="shared" si="3"/>
        <v>433.62554517133958</v>
      </c>
      <c r="P28" s="104">
        <f t="shared" si="9"/>
        <v>1.0941300405151846</v>
      </c>
      <c r="Q28" s="103">
        <f t="shared" si="0"/>
        <v>396.31993375043578</v>
      </c>
      <c r="R28" s="211">
        <f t="shared" si="1"/>
        <v>410.57314484378162</v>
      </c>
    </row>
    <row r="29" spans="11:18" x14ac:dyDescent="0.35">
      <c r="K29" s="5">
        <v>25</v>
      </c>
      <c r="L29" s="210">
        <v>40179</v>
      </c>
      <c r="M29" s="100">
        <f>$C$2/12</f>
        <v>7877</v>
      </c>
      <c r="N29" s="100">
        <v>3298654</v>
      </c>
      <c r="O29" s="101">
        <f t="shared" si="3"/>
        <v>418.77034403960897</v>
      </c>
      <c r="P29" s="104">
        <f t="shared" si="9"/>
        <v>0.9563489121615727</v>
      </c>
      <c r="Q29" s="103">
        <f t="shared" si="0"/>
        <v>437.88447784510976</v>
      </c>
      <c r="R29" s="211">
        <f t="shared" si="1"/>
        <v>412.83590642663427</v>
      </c>
    </row>
    <row r="30" spans="11:18" x14ac:dyDescent="0.35">
      <c r="K30" s="5">
        <v>26</v>
      </c>
      <c r="L30" s="210">
        <v>40210</v>
      </c>
      <c r="M30" s="100">
        <f t="shared" ref="M30:M40" si="10">$C$2/12</f>
        <v>7877</v>
      </c>
      <c r="N30" s="100">
        <v>3333333</v>
      </c>
      <c r="O30" s="101">
        <f t="shared" si="3"/>
        <v>423.17290846769072</v>
      </c>
      <c r="P30" s="104">
        <f t="shared" si="9"/>
        <v>0.9680354613715646</v>
      </c>
      <c r="Q30" s="103">
        <f t="shared" si="0"/>
        <v>437.14608126867233</v>
      </c>
      <c r="R30" s="211">
        <f t="shared" si="1"/>
        <v>415.11113860101278</v>
      </c>
    </row>
    <row r="31" spans="11:18" x14ac:dyDescent="0.35">
      <c r="K31" s="5">
        <v>27</v>
      </c>
      <c r="L31" s="210">
        <v>40238</v>
      </c>
      <c r="M31" s="100">
        <f t="shared" si="10"/>
        <v>7877</v>
      </c>
      <c r="N31" s="100">
        <v>3222222</v>
      </c>
      <c r="O31" s="101">
        <f t="shared" si="3"/>
        <v>409.06715754728958</v>
      </c>
      <c r="P31" s="104">
        <f t="shared" si="9"/>
        <v>0.97468793467282899</v>
      </c>
      <c r="Q31" s="103">
        <f t="shared" si="0"/>
        <v>419.69038806723313</v>
      </c>
      <c r="R31" s="211">
        <f t="shared" si="1"/>
        <v>417.39891009517129</v>
      </c>
    </row>
    <row r="32" spans="11:18" x14ac:dyDescent="0.35">
      <c r="K32" s="5">
        <v>28</v>
      </c>
      <c r="L32" s="210">
        <v>40269</v>
      </c>
      <c r="M32" s="100">
        <f t="shared" si="10"/>
        <v>7877</v>
      </c>
      <c r="N32" s="100">
        <v>3012456</v>
      </c>
      <c r="O32" s="101">
        <f t="shared" si="3"/>
        <v>382.43696838898057</v>
      </c>
      <c r="P32" s="104">
        <f t="shared" si="9"/>
        <v>0.93982416264353463</v>
      </c>
      <c r="Q32" s="103">
        <f t="shared" si="0"/>
        <v>406.92395832137686</v>
      </c>
      <c r="R32" s="211">
        <f t="shared" si="1"/>
        <v>419.69929001614071</v>
      </c>
    </row>
    <row r="33" spans="11:18" x14ac:dyDescent="0.35">
      <c r="K33" s="5">
        <v>29</v>
      </c>
      <c r="L33" s="210">
        <v>40299</v>
      </c>
      <c r="M33" s="100">
        <f t="shared" si="10"/>
        <v>7877</v>
      </c>
      <c r="N33" s="100">
        <v>3562034</v>
      </c>
      <c r="O33" s="101">
        <f t="shared" si="3"/>
        <v>452.20693157293385</v>
      </c>
      <c r="P33" s="104">
        <f t="shared" si="9"/>
        <v>1.0281120404961077</v>
      </c>
      <c r="Q33" s="103">
        <f t="shared" si="0"/>
        <v>439.84207339379549</v>
      </c>
      <c r="R33" s="211">
        <f t="shared" si="1"/>
        <v>422.01234785181674</v>
      </c>
    </row>
    <row r="34" spans="11:18" x14ac:dyDescent="0.35">
      <c r="K34" s="5">
        <v>30</v>
      </c>
      <c r="L34" s="210">
        <v>40330</v>
      </c>
      <c r="M34" s="100">
        <f t="shared" si="10"/>
        <v>7877</v>
      </c>
      <c r="N34" s="100">
        <v>3295987</v>
      </c>
      <c r="O34" s="101">
        <f t="shared" si="3"/>
        <v>418.43176336168591</v>
      </c>
      <c r="P34" s="104">
        <f t="shared" si="9"/>
        <v>0.98471762023341802</v>
      </c>
      <c r="Q34" s="103">
        <f t="shared" si="0"/>
        <v>424.92563833934503</v>
      </c>
      <c r="R34" s="211">
        <f t="shared" si="1"/>
        <v>424.33815347305847</v>
      </c>
    </row>
    <row r="35" spans="11:18" x14ac:dyDescent="0.35">
      <c r="K35" s="5">
        <v>31</v>
      </c>
      <c r="L35" s="210">
        <v>40360</v>
      </c>
      <c r="M35" s="100">
        <f t="shared" si="10"/>
        <v>7877</v>
      </c>
      <c r="N35" s="100">
        <v>3475532</v>
      </c>
      <c r="O35" s="101">
        <f t="shared" si="3"/>
        <v>441.225339596293</v>
      </c>
      <c r="P35" s="104">
        <f t="shared" si="9"/>
        <v>0.97920255974696646</v>
      </c>
      <c r="Q35" s="103">
        <f t="shared" si="0"/>
        <v>450.59659536665123</v>
      </c>
      <c r="R35" s="211">
        <f t="shared" si="1"/>
        <v>426.67677713579906</v>
      </c>
    </row>
    <row r="36" spans="11:18" x14ac:dyDescent="0.35">
      <c r="K36" s="5">
        <v>32</v>
      </c>
      <c r="L36" s="210">
        <v>40391</v>
      </c>
      <c r="M36" s="100">
        <f t="shared" si="10"/>
        <v>7877</v>
      </c>
      <c r="N36" s="100">
        <v>3210248</v>
      </c>
      <c r="O36" s="101">
        <f t="shared" si="3"/>
        <v>407.54703567347974</v>
      </c>
      <c r="P36" s="104">
        <f t="shared" si="9"/>
        <v>0.96850998278417821</v>
      </c>
      <c r="Q36" s="103">
        <f t="shared" si="0"/>
        <v>420.79797102545416</v>
      </c>
      <c r="R36" s="211">
        <f t="shared" si="1"/>
        <v>429.02828948316807</v>
      </c>
    </row>
    <row r="37" spans="11:18" x14ac:dyDescent="0.35">
      <c r="K37" s="5">
        <v>33</v>
      </c>
      <c r="L37" s="210">
        <v>40422</v>
      </c>
      <c r="M37" s="100">
        <f t="shared" si="10"/>
        <v>7877</v>
      </c>
      <c r="N37" s="100">
        <v>3389652</v>
      </c>
      <c r="O37" s="101">
        <f t="shared" si="3"/>
        <v>430.32271169226863</v>
      </c>
      <c r="P37" s="104">
        <f t="shared" si="9"/>
        <v>1.0087806094066261</v>
      </c>
      <c r="Q37" s="103">
        <f t="shared" si="0"/>
        <v>426.57710475361768</v>
      </c>
      <c r="R37" s="211">
        <f t="shared" si="1"/>
        <v>431.39276154762541</v>
      </c>
    </row>
    <row r="38" spans="11:18" x14ac:dyDescent="0.35">
      <c r="K38" s="5">
        <v>34</v>
      </c>
      <c r="L38" s="210">
        <v>40452</v>
      </c>
      <c r="M38" s="100">
        <f t="shared" si="10"/>
        <v>7877</v>
      </c>
      <c r="N38" s="100">
        <v>3450456</v>
      </c>
      <c r="O38" s="101">
        <f t="shared" si="3"/>
        <v>438.0418941221277</v>
      </c>
      <c r="P38" s="104">
        <f t="shared" si="9"/>
        <v>1.0256728211345638</v>
      </c>
      <c r="Q38" s="103">
        <f t="shared" si="0"/>
        <v>427.07760710435997</v>
      </c>
      <c r="R38" s="211">
        <f t="shared" si="1"/>
        <v>433.7702647531068</v>
      </c>
    </row>
    <row r="39" spans="11:18" x14ac:dyDescent="0.35">
      <c r="K39" s="5">
        <v>35</v>
      </c>
      <c r="L39" s="210">
        <v>40483</v>
      </c>
      <c r="M39" s="100">
        <f t="shared" si="10"/>
        <v>7877</v>
      </c>
      <c r="N39" s="100">
        <v>3570495</v>
      </c>
      <c r="O39" s="101">
        <f t="shared" si="3"/>
        <v>453.28107147391137</v>
      </c>
      <c r="P39" s="104">
        <f t="shared" si="9"/>
        <v>1.0719778548334546</v>
      </c>
      <c r="Q39" s="103">
        <f t="shared" si="0"/>
        <v>422.84555546563445</v>
      </c>
      <c r="R39" s="211">
        <f t="shared" si="1"/>
        <v>436.16087091718174</v>
      </c>
    </row>
    <row r="40" spans="11:18" x14ac:dyDescent="0.35">
      <c r="K40" s="5">
        <v>36</v>
      </c>
      <c r="L40" s="210">
        <v>40513</v>
      </c>
      <c r="M40" s="100">
        <f t="shared" si="10"/>
        <v>7877</v>
      </c>
      <c r="N40" s="100">
        <v>3658741</v>
      </c>
      <c r="O40" s="101">
        <f t="shared" si="3"/>
        <v>464.48406753840294</v>
      </c>
      <c r="P40" s="104">
        <f t="shared" si="9"/>
        <v>1.0941300405151846</v>
      </c>
      <c r="Q40" s="103">
        <f t="shared" si="0"/>
        <v>424.52364009646868</v>
      </c>
      <c r="R40" s="211">
        <f t="shared" si="1"/>
        <v>438.56465225322228</v>
      </c>
    </row>
    <row r="41" spans="11:18" ht="15" thickBot="1" x14ac:dyDescent="0.4">
      <c r="L41" s="212" t="s">
        <v>175</v>
      </c>
      <c r="M41" s="213">
        <f>SUM(M5:M40)</f>
        <v>289056</v>
      </c>
      <c r="N41" s="213">
        <f>SUM(N5:N40)</f>
        <v>115113878</v>
      </c>
      <c r="O41" s="214">
        <f t="shared" si="3"/>
        <v>398.24074919738734</v>
      </c>
      <c r="P41" s="215"/>
      <c r="Q41" s="216"/>
      <c r="R41" s="217"/>
    </row>
    <row r="42" spans="11:18" ht="16" thickTop="1" x14ac:dyDescent="0.35">
      <c r="L42" s="352" t="s">
        <v>225</v>
      </c>
      <c r="M42" s="105"/>
      <c r="N42" s="106"/>
      <c r="O42" s="107"/>
      <c r="P42" s="108"/>
      <c r="Q42" s="105"/>
      <c r="R42" s="105"/>
    </row>
    <row r="43" spans="11:18" x14ac:dyDescent="0.35">
      <c r="P43" s="94"/>
      <c r="R43" t="s">
        <v>155</v>
      </c>
    </row>
    <row r="44" spans="11:18" x14ac:dyDescent="0.35">
      <c r="O44" s="9"/>
      <c r="P44" s="94"/>
      <c r="R44" s="13">
        <f>R6/R5-1</f>
        <v>5.5112264678531808E-3</v>
      </c>
    </row>
    <row r="45" spans="11:18" x14ac:dyDescent="0.35">
      <c r="P45" s="94"/>
      <c r="R45" s="13"/>
    </row>
    <row r="46" spans="11:18" x14ac:dyDescent="0.35">
      <c r="O46" s="9"/>
      <c r="P46" s="94"/>
      <c r="R46" s="13" t="s">
        <v>156</v>
      </c>
    </row>
    <row r="47" spans="11:18" x14ac:dyDescent="0.35">
      <c r="P47" s="94"/>
      <c r="R47" s="13">
        <f>(1+R44)^12-1</f>
        <v>6.8176664160761513E-2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topLeftCell="A4" zoomScaleNormal="100" workbookViewId="0">
      <selection activeCell="H23" sqref="H23"/>
    </sheetView>
  </sheetViews>
  <sheetFormatPr defaultRowHeight="14.5" x14ac:dyDescent="0.35"/>
  <cols>
    <col min="1" max="1" width="22.36328125" customWidth="1"/>
    <col min="2" max="2" width="14.08984375" customWidth="1"/>
    <col min="3" max="3" width="12.36328125" customWidth="1"/>
    <col min="4" max="4" width="12" customWidth="1"/>
    <col min="6" max="6" width="11.453125" customWidth="1"/>
    <col min="8" max="8" width="36.453125" customWidth="1"/>
    <col min="9" max="9" width="11.453125" customWidth="1"/>
    <col min="10" max="10" width="13" customWidth="1"/>
    <col min="12" max="12" width="12" customWidth="1"/>
    <col min="13" max="14" width="12.54296875" customWidth="1"/>
    <col min="15" max="15" width="10.90625" customWidth="1"/>
    <col min="16" max="16" width="12" customWidth="1"/>
    <col min="17" max="17" width="11.6328125" customWidth="1"/>
  </cols>
  <sheetData>
    <row r="1" spans="1:17" ht="15" thickTop="1" x14ac:dyDescent="0.35">
      <c r="A1" s="17"/>
      <c r="B1" s="18"/>
      <c r="C1" s="19" t="s">
        <v>1</v>
      </c>
      <c r="D1" s="18"/>
      <c r="E1" s="18"/>
      <c r="F1" s="20" t="s">
        <v>2</v>
      </c>
      <c r="H1" s="44" t="s">
        <v>18</v>
      </c>
      <c r="I1" s="19" t="s">
        <v>19</v>
      </c>
      <c r="J1" s="20" t="s">
        <v>20</v>
      </c>
      <c r="L1" s="17" t="s">
        <v>141</v>
      </c>
      <c r="M1" s="18"/>
      <c r="N1" s="18"/>
      <c r="O1" s="18"/>
      <c r="P1" s="18"/>
      <c r="Q1" s="36"/>
    </row>
    <row r="2" spans="1:17" x14ac:dyDescent="0.35">
      <c r="A2" s="21"/>
      <c r="B2" s="22"/>
      <c r="C2" s="23" t="s">
        <v>5</v>
      </c>
      <c r="D2" s="23" t="s">
        <v>5</v>
      </c>
      <c r="E2" s="23" t="s">
        <v>2</v>
      </c>
      <c r="F2" s="24" t="s">
        <v>5</v>
      </c>
      <c r="H2" s="21" t="s">
        <v>72</v>
      </c>
      <c r="I2" s="52">
        <f>F4</f>
        <v>4814.2140950155745</v>
      </c>
      <c r="J2" s="53">
        <f>F4</f>
        <v>4814.2140950155745</v>
      </c>
      <c r="L2" s="220"/>
      <c r="M2" s="221" t="s">
        <v>73</v>
      </c>
      <c r="N2" s="221" t="s">
        <v>0</v>
      </c>
      <c r="O2" s="221" t="s">
        <v>0</v>
      </c>
      <c r="P2" s="221" t="s">
        <v>74</v>
      </c>
      <c r="Q2" s="222" t="s">
        <v>75</v>
      </c>
    </row>
    <row r="3" spans="1:17" x14ac:dyDescent="0.35">
      <c r="A3" s="43" t="s">
        <v>15</v>
      </c>
      <c r="B3" s="23" t="s">
        <v>16</v>
      </c>
      <c r="C3" s="23" t="s">
        <v>3</v>
      </c>
      <c r="D3" s="23" t="s">
        <v>17</v>
      </c>
      <c r="E3" s="23" t="s">
        <v>16</v>
      </c>
      <c r="F3" s="24" t="s">
        <v>17</v>
      </c>
      <c r="H3" s="21" t="s">
        <v>83</v>
      </c>
      <c r="I3" s="48">
        <v>500</v>
      </c>
      <c r="J3" s="51">
        <v>2500</v>
      </c>
      <c r="L3" s="223" t="s">
        <v>84</v>
      </c>
      <c r="M3" s="224" t="s">
        <v>85</v>
      </c>
      <c r="N3" s="224" t="s">
        <v>86</v>
      </c>
      <c r="O3" s="224" t="s">
        <v>3</v>
      </c>
      <c r="P3" s="224" t="s">
        <v>87</v>
      </c>
      <c r="Q3" s="225" t="s">
        <v>3</v>
      </c>
    </row>
    <row r="4" spans="1:17" x14ac:dyDescent="0.35">
      <c r="A4" s="21" t="s">
        <v>71</v>
      </c>
      <c r="B4" s="50">
        <v>0.11489096573208722</v>
      </c>
      <c r="C4" s="48">
        <v>0</v>
      </c>
      <c r="D4" s="48">
        <v>0</v>
      </c>
      <c r="E4" s="50">
        <v>1</v>
      </c>
      <c r="F4" s="51">
        <f t="shared" ref="F4:F8" si="0">F5+D4</f>
        <v>4814.2140950155745</v>
      </c>
      <c r="H4" s="21" t="s">
        <v>95</v>
      </c>
      <c r="I4" s="54">
        <v>0.2</v>
      </c>
      <c r="J4" s="55">
        <v>0.5</v>
      </c>
      <c r="L4" s="226" t="s">
        <v>96</v>
      </c>
      <c r="M4" s="227" t="s">
        <v>9</v>
      </c>
      <c r="N4" s="227" t="s">
        <v>96</v>
      </c>
      <c r="O4" s="227" t="s">
        <v>10</v>
      </c>
      <c r="P4" s="227" t="s">
        <v>10</v>
      </c>
      <c r="Q4" s="228" t="s">
        <v>10</v>
      </c>
    </row>
    <row r="5" spans="1:17" x14ac:dyDescent="0.35">
      <c r="A5" s="21" t="s">
        <v>82</v>
      </c>
      <c r="B5" s="50">
        <v>0.24697819314641745</v>
      </c>
      <c r="C5" s="48">
        <v>234.38780272452126</v>
      </c>
      <c r="D5" s="48">
        <f>B5*C5</f>
        <v>57.888676012461204</v>
      </c>
      <c r="E5" s="50">
        <f>E4-B4</f>
        <v>0.88510903426791276</v>
      </c>
      <c r="F5" s="51">
        <f t="shared" si="0"/>
        <v>4814.2140950155745</v>
      </c>
      <c r="H5" s="56" t="s">
        <v>102</v>
      </c>
      <c r="I5" s="48">
        <v>1000</v>
      </c>
      <c r="J5" s="51">
        <v>4000</v>
      </c>
      <c r="L5" s="229" t="s">
        <v>103</v>
      </c>
      <c r="M5" s="230">
        <v>40.124610591900314</v>
      </c>
      <c r="N5" s="230">
        <v>24189.608889751547</v>
      </c>
      <c r="O5" s="230">
        <f>N5*M5/12000</f>
        <v>80.883219755970913</v>
      </c>
      <c r="P5" s="230">
        <f>0.2*O5</f>
        <v>16.176643951194183</v>
      </c>
      <c r="Q5" s="231">
        <f>O5-P5</f>
        <v>64.706575804776733</v>
      </c>
    </row>
    <row r="6" spans="1:17" x14ac:dyDescent="0.35">
      <c r="A6" s="21" t="s">
        <v>94</v>
      </c>
      <c r="B6" s="50">
        <v>0.3288473520249221</v>
      </c>
      <c r="C6" s="48">
        <v>1242.0597101174671</v>
      </c>
      <c r="D6" s="48">
        <f t="shared" ref="D6:D10" si="1">B6*C6</f>
        <v>408.44804672897141</v>
      </c>
      <c r="E6" s="50">
        <f t="shared" ref="E6:E10" si="2">E5-B5</f>
        <v>0.63813084112149532</v>
      </c>
      <c r="F6" s="51">
        <f t="shared" si="0"/>
        <v>4756.325419003113</v>
      </c>
      <c r="H6" s="56" t="s">
        <v>108</v>
      </c>
      <c r="I6" s="52">
        <f>I5/I4+I3</f>
        <v>5500</v>
      </c>
      <c r="J6" s="53">
        <f>J5/J4+J3</f>
        <v>10500</v>
      </c>
      <c r="L6" s="229" t="s">
        <v>109</v>
      </c>
      <c r="M6" s="230">
        <v>455.20249221183803</v>
      </c>
      <c r="N6" s="230">
        <v>2706.3102689570369</v>
      </c>
      <c r="O6" s="230">
        <f t="shared" ref="O6:O8" si="3">N6*M6/12000</f>
        <v>102.65993159397775</v>
      </c>
      <c r="P6" s="230">
        <f t="shared" ref="P6:P7" si="4">0.2*O6</f>
        <v>20.53198631879555</v>
      </c>
      <c r="Q6" s="231">
        <f t="shared" ref="Q6:Q7" si="5">O6-P6</f>
        <v>82.127945275182199</v>
      </c>
    </row>
    <row r="7" spans="1:17" x14ac:dyDescent="0.35">
      <c r="A7" s="21" t="s">
        <v>101</v>
      </c>
      <c r="B7" s="50">
        <v>0.13283489096573209</v>
      </c>
      <c r="C7" s="48">
        <v>3701.5478775797346</v>
      </c>
      <c r="D7" s="48">
        <f t="shared" si="1"/>
        <v>491.6947087227411</v>
      </c>
      <c r="E7" s="50">
        <f t="shared" si="2"/>
        <v>0.30928348909657322</v>
      </c>
      <c r="F7" s="51">
        <f t="shared" si="0"/>
        <v>4347.8773722741416</v>
      </c>
      <c r="H7" s="56" t="s">
        <v>244</v>
      </c>
      <c r="I7" s="48"/>
      <c r="J7" s="51"/>
      <c r="L7" s="229" t="s">
        <v>114</v>
      </c>
      <c r="M7" s="230">
        <v>4865.6697819314641</v>
      </c>
      <c r="N7" s="230">
        <v>391.76016595384834</v>
      </c>
      <c r="O7" s="230">
        <f t="shared" si="3"/>
        <v>158.84796677050795</v>
      </c>
      <c r="P7" s="230">
        <f t="shared" si="4"/>
        <v>31.769593354101591</v>
      </c>
      <c r="Q7" s="231">
        <f t="shared" si="5"/>
        <v>127.07837341640636</v>
      </c>
    </row>
    <row r="8" spans="1:17" x14ac:dyDescent="0.35">
      <c r="A8" s="21" t="s">
        <v>107</v>
      </c>
      <c r="B8" s="50">
        <v>7.9875389408099684E-2</v>
      </c>
      <c r="C8" s="48">
        <v>7609.5478354134157</v>
      </c>
      <c r="D8" s="48">
        <f t="shared" si="1"/>
        <v>607.81559657320861</v>
      </c>
      <c r="E8" s="50">
        <f t="shared" si="2"/>
        <v>0.17644859813084113</v>
      </c>
      <c r="F8" s="51">
        <f t="shared" si="0"/>
        <v>3856.1826635514003</v>
      </c>
      <c r="H8" s="355">
        <v>0</v>
      </c>
      <c r="I8" s="48">
        <v>0</v>
      </c>
      <c r="J8" s="51">
        <v>0</v>
      </c>
      <c r="L8" s="232" t="s">
        <v>119</v>
      </c>
      <c r="M8" s="233">
        <v>3825.9190031152648</v>
      </c>
      <c r="N8" s="233">
        <v>184.40554465361967</v>
      </c>
      <c r="O8" s="233">
        <f t="shared" si="3"/>
        <v>58.793389797508667</v>
      </c>
      <c r="P8" s="233">
        <f>10*M8/12000</f>
        <v>3.1882658359293874</v>
      </c>
      <c r="Q8" s="234">
        <f>O8-P8</f>
        <v>55.605123961579281</v>
      </c>
    </row>
    <row r="9" spans="1:17" x14ac:dyDescent="0.35">
      <c r="A9" s="21" t="s">
        <v>113</v>
      </c>
      <c r="B9" s="50">
        <v>9.1838006230529595E-2</v>
      </c>
      <c r="C9" s="48">
        <v>24799.739535278142</v>
      </c>
      <c r="D9" s="48">
        <f t="shared" si="1"/>
        <v>2277.5586339563852</v>
      </c>
      <c r="E9" s="50">
        <f t="shared" si="2"/>
        <v>9.6573208722741444E-2</v>
      </c>
      <c r="F9" s="51">
        <f>F10+D9</f>
        <v>3248.3670669781918</v>
      </c>
      <c r="H9" s="355">
        <v>500</v>
      </c>
      <c r="I9" s="52">
        <f>$B5*IF($H9&lt;=I$3,$C5,IF($H9&lt;=I$6,I$3+I$4*($C5-I$3),I$3+I$5))</f>
        <v>57.888676012461204</v>
      </c>
      <c r="J9" s="53">
        <f>$B5*IF($H9&lt;=J$3,$C5,IF($H9&lt;=J$6,J$3+J$4*($C5-J$3),J$3+J$5))</f>
        <v>57.888676012461204</v>
      </c>
      <c r="L9" s="235" t="s">
        <v>106</v>
      </c>
      <c r="M9" s="236"/>
      <c r="N9" s="236"/>
      <c r="O9" s="237">
        <f>SUM(O5:O8)</f>
        <v>401.18450791796528</v>
      </c>
      <c r="P9" s="237">
        <f>SUM(P5:P8)</f>
        <v>71.666489460020713</v>
      </c>
      <c r="Q9" s="238">
        <f>SUM(Q5:Q8)</f>
        <v>329.51801845794461</v>
      </c>
    </row>
    <row r="10" spans="1:17" ht="15" thickBot="1" x14ac:dyDescent="0.4">
      <c r="A10" s="195" t="s">
        <v>118</v>
      </c>
      <c r="B10" s="218">
        <v>4.7352024922118381E-3</v>
      </c>
      <c r="C10" s="196">
        <v>205019.41249999995</v>
      </c>
      <c r="D10" s="196">
        <f t="shared" si="1"/>
        <v>970.80843302180665</v>
      </c>
      <c r="E10" s="218">
        <f t="shared" si="2"/>
        <v>4.7352024922118485E-3</v>
      </c>
      <c r="F10" s="219">
        <f>D10</f>
        <v>970.80843302180665</v>
      </c>
      <c r="H10" s="355">
        <v>2500</v>
      </c>
      <c r="I10" s="52">
        <f t="shared" ref="I10:J14" si="6">$B6*IF($H10&lt;=I$3,$C6,IF($H10&lt;=I$6,I$3+I$4*($C6-I$3),I$3+I$5))</f>
        <v>213.22855015576314</v>
      </c>
      <c r="J10" s="53">
        <f t="shared" si="6"/>
        <v>408.44804672897141</v>
      </c>
      <c r="L10" s="239"/>
      <c r="M10" s="240"/>
      <c r="N10" s="240"/>
      <c r="O10" s="240"/>
      <c r="P10" s="241" t="s">
        <v>132</v>
      </c>
      <c r="Q10" s="242">
        <f>Q9/O9</f>
        <v>0.8213627693852148</v>
      </c>
    </row>
    <row r="11" spans="1:17" ht="16" thickTop="1" x14ac:dyDescent="0.35">
      <c r="A11" s="161" t="s">
        <v>210</v>
      </c>
      <c r="B11" s="18"/>
      <c r="C11" s="18"/>
      <c r="D11" s="18"/>
      <c r="E11" s="18"/>
      <c r="F11" s="18"/>
      <c r="H11" s="84">
        <v>5500</v>
      </c>
      <c r="I11" s="52">
        <f t="shared" si="6"/>
        <v>151.47289813084106</v>
      </c>
      <c r="J11" s="53">
        <f t="shared" si="6"/>
        <v>411.89096806853564</v>
      </c>
      <c r="L11" s="157" t="s">
        <v>229</v>
      </c>
      <c r="M11" s="22"/>
      <c r="N11" s="22"/>
      <c r="O11" s="22"/>
      <c r="P11" s="22"/>
      <c r="Q11" s="22"/>
    </row>
    <row r="12" spans="1:17" ht="15.5" x14ac:dyDescent="0.35">
      <c r="A12" s="351" t="s">
        <v>227</v>
      </c>
      <c r="H12" s="355">
        <v>10500</v>
      </c>
      <c r="I12" s="52">
        <f t="shared" si="6"/>
        <v>119.81308411214953</v>
      </c>
      <c r="J12" s="53">
        <f t="shared" si="6"/>
        <v>403.75203504672891</v>
      </c>
    </row>
    <row r="13" spans="1:17" x14ac:dyDescent="0.35">
      <c r="H13" s="356">
        <v>100000</v>
      </c>
      <c r="I13" s="52">
        <f t="shared" si="6"/>
        <v>137.75700934579439</v>
      </c>
      <c r="J13" s="53">
        <f t="shared" si="6"/>
        <v>596.94704049844233</v>
      </c>
    </row>
    <row r="14" spans="1:17" x14ac:dyDescent="0.35">
      <c r="H14" s="21" t="s">
        <v>242</v>
      </c>
      <c r="I14" s="52">
        <f t="shared" si="6"/>
        <v>7.1028037383177569</v>
      </c>
      <c r="J14" s="53">
        <f t="shared" si="6"/>
        <v>30.778816199376948</v>
      </c>
    </row>
    <row r="15" spans="1:17" x14ac:dyDescent="0.35">
      <c r="H15" s="21" t="s">
        <v>245</v>
      </c>
      <c r="I15" s="52">
        <f>SUM(I8:I14)</f>
        <v>687.26302149532717</v>
      </c>
      <c r="J15" s="53">
        <f>SUM(J8:J14)</f>
        <v>1909.7055825545165</v>
      </c>
    </row>
    <row r="16" spans="1:17" x14ac:dyDescent="0.35">
      <c r="H16" s="21" t="s">
        <v>243</v>
      </c>
      <c r="I16" s="52">
        <f>I2-I15</f>
        <v>4126.9510735202475</v>
      </c>
      <c r="J16" s="53">
        <f>J2-J15</f>
        <v>2904.5085124610578</v>
      </c>
    </row>
    <row r="17" spans="8:10" ht="15" thickBot="1" x14ac:dyDescent="0.4">
      <c r="H17" s="195" t="s">
        <v>132</v>
      </c>
      <c r="I17" s="357">
        <f>I16/I2</f>
        <v>0.85724294600713979</v>
      </c>
      <c r="J17" s="358">
        <f>J16/J2</f>
        <v>0.60331934873196813</v>
      </c>
    </row>
    <row r="18" spans="8:10" ht="16" thickTop="1" x14ac:dyDescent="0.35">
      <c r="H18" s="157" t="s">
        <v>228</v>
      </c>
    </row>
    <row r="20" spans="8:10" x14ac:dyDescent="0.35">
      <c r="H20" t="s">
        <v>246</v>
      </c>
    </row>
    <row r="21" spans="8:10" x14ac:dyDescent="0.35">
      <c r="H21" t="s">
        <v>247</v>
      </c>
    </row>
    <row r="22" spans="8:10" x14ac:dyDescent="0.35">
      <c r="H22" t="s">
        <v>248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A13" sqref="A13"/>
    </sheetView>
  </sheetViews>
  <sheetFormatPr defaultRowHeight="14.5" x14ac:dyDescent="0.35"/>
  <cols>
    <col min="1" max="1" width="16.08984375" customWidth="1"/>
    <col min="2" max="2" width="10.90625" customWidth="1"/>
    <col min="3" max="3" width="11.54296875" customWidth="1"/>
    <col min="5" max="5" width="14.08984375" customWidth="1"/>
    <col min="6" max="6" width="11.08984375" customWidth="1"/>
  </cols>
  <sheetData>
    <row r="1" spans="1:6" ht="15" thickTop="1" x14ac:dyDescent="0.35">
      <c r="A1" s="323" t="s">
        <v>206</v>
      </c>
      <c r="B1" s="324"/>
      <c r="C1" s="324"/>
      <c r="D1" s="324"/>
      <c r="E1" s="324"/>
      <c r="F1" s="325"/>
    </row>
    <row r="2" spans="1:6" x14ac:dyDescent="0.35">
      <c r="A2" s="326"/>
      <c r="B2" s="327" t="s">
        <v>73</v>
      </c>
      <c r="C2" s="327" t="s">
        <v>0</v>
      </c>
      <c r="D2" s="327" t="s">
        <v>0</v>
      </c>
      <c r="E2" s="327" t="s">
        <v>74</v>
      </c>
      <c r="F2" s="328" t="s">
        <v>75</v>
      </c>
    </row>
    <row r="3" spans="1:6" x14ac:dyDescent="0.35">
      <c r="A3" s="329" t="s">
        <v>84</v>
      </c>
      <c r="B3" s="330" t="s">
        <v>85</v>
      </c>
      <c r="C3" s="330" t="s">
        <v>86</v>
      </c>
      <c r="D3" s="330" t="s">
        <v>3</v>
      </c>
      <c r="E3" s="330" t="s">
        <v>87</v>
      </c>
      <c r="F3" s="331" t="s">
        <v>3</v>
      </c>
    </row>
    <row r="4" spans="1:6" x14ac:dyDescent="0.35">
      <c r="A4" s="332" t="s">
        <v>96</v>
      </c>
      <c r="B4" s="333" t="s">
        <v>9</v>
      </c>
      <c r="C4" s="333" t="s">
        <v>96</v>
      </c>
      <c r="D4" s="333" t="s">
        <v>10</v>
      </c>
      <c r="E4" s="333" t="s">
        <v>10</v>
      </c>
      <c r="F4" s="334" t="s">
        <v>10</v>
      </c>
    </row>
    <row r="5" spans="1:6" x14ac:dyDescent="0.35">
      <c r="A5" s="335" t="s">
        <v>103</v>
      </c>
      <c r="B5" s="336">
        <v>40.124610591900314</v>
      </c>
      <c r="C5" s="336">
        <v>24189.608889751547</v>
      </c>
      <c r="D5" s="336">
        <f>C5*B5/12000</f>
        <v>80.883219755970913</v>
      </c>
      <c r="E5" s="336">
        <f>0.25*D5</f>
        <v>20.220804938992728</v>
      </c>
      <c r="F5" s="337">
        <f>D5-E5</f>
        <v>60.662414816978185</v>
      </c>
    </row>
    <row r="6" spans="1:6" x14ac:dyDescent="0.35">
      <c r="A6" s="335" t="s">
        <v>109</v>
      </c>
      <c r="B6" s="336">
        <v>455.20249221183803</v>
      </c>
      <c r="C6" s="336">
        <v>2706.3102689570369</v>
      </c>
      <c r="D6" s="336">
        <f t="shared" ref="D6:D8" si="0">C6*B6/12000</f>
        <v>102.65993159397775</v>
      </c>
      <c r="E6" s="336">
        <f t="shared" ref="E6:E7" si="1">0.25*D6</f>
        <v>25.664982898494436</v>
      </c>
      <c r="F6" s="337">
        <f t="shared" ref="F6:F8" si="2">D6-E6</f>
        <v>76.994948695483316</v>
      </c>
    </row>
    <row r="7" spans="1:6" x14ac:dyDescent="0.35">
      <c r="A7" s="335" t="s">
        <v>114</v>
      </c>
      <c r="B7" s="336">
        <v>4865.6697819314641</v>
      </c>
      <c r="C7" s="336">
        <v>391.76016595384834</v>
      </c>
      <c r="D7" s="336">
        <f t="shared" si="0"/>
        <v>158.84796677050795</v>
      </c>
      <c r="E7" s="336">
        <f t="shared" si="1"/>
        <v>39.711991692626988</v>
      </c>
      <c r="F7" s="337">
        <f t="shared" si="2"/>
        <v>119.13597507788097</v>
      </c>
    </row>
    <row r="8" spans="1:6" x14ac:dyDescent="0.35">
      <c r="A8" s="338" t="s">
        <v>119</v>
      </c>
      <c r="B8" s="339">
        <v>3749.4006230529544</v>
      </c>
      <c r="C8" s="339">
        <v>184.40554465361967</v>
      </c>
      <c r="D8" s="339">
        <f t="shared" si="0"/>
        <v>57.61752200155842</v>
      </c>
      <c r="E8" s="339">
        <f>15*B8/12000</f>
        <v>4.6867507788161928</v>
      </c>
      <c r="F8" s="340">
        <f t="shared" si="2"/>
        <v>52.93077122274223</v>
      </c>
    </row>
    <row r="9" spans="1:6" x14ac:dyDescent="0.35">
      <c r="A9" s="341" t="s">
        <v>106</v>
      </c>
      <c r="B9" s="342"/>
      <c r="C9" s="342"/>
      <c r="D9" s="343">
        <f>SUM(D5:D8)</f>
        <v>400.00864012201504</v>
      </c>
      <c r="E9" s="343">
        <f>SUM(E5:E8)</f>
        <v>90.284530308930343</v>
      </c>
      <c r="F9" s="344">
        <f>SUM(F5:F8)</f>
        <v>309.72410981308474</v>
      </c>
    </row>
    <row r="10" spans="1:6" x14ac:dyDescent="0.35">
      <c r="A10" s="198"/>
      <c r="B10" s="138"/>
      <c r="C10" s="138"/>
      <c r="D10" s="138"/>
      <c r="E10" s="345" t="s">
        <v>132</v>
      </c>
      <c r="F10" s="346">
        <f>F9/D9</f>
        <v>0.77429354955585283</v>
      </c>
    </row>
    <row r="11" spans="1:6" ht="16" thickBot="1" x14ac:dyDescent="0.4">
      <c r="A11" s="347"/>
      <c r="B11" s="348"/>
      <c r="C11" s="348"/>
      <c r="D11" s="348"/>
      <c r="E11" s="180" t="s">
        <v>207</v>
      </c>
      <c r="F11" s="349">
        <f>F9/'Sec 30.5'!Q9-1</f>
        <v>-6.0069275536099753E-2</v>
      </c>
    </row>
    <row r="12" spans="1:6" ht="16" thickTop="1" x14ac:dyDescent="0.35">
      <c r="A12" s="350" t="s">
        <v>230</v>
      </c>
      <c r="B12" s="126"/>
      <c r="C12" s="126"/>
      <c r="D12" s="126"/>
      <c r="E12" s="126"/>
      <c r="F12" s="12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H18" sqref="H18"/>
    </sheetView>
  </sheetViews>
  <sheetFormatPr defaultRowHeight="14.5" x14ac:dyDescent="0.35"/>
  <cols>
    <col min="5" max="5" width="10.90625" customWidth="1"/>
    <col min="6" max="6" width="11.54296875" customWidth="1"/>
    <col min="8" max="8" width="36.453125" customWidth="1"/>
    <col min="9" max="9" width="9.6328125" customWidth="1"/>
  </cols>
  <sheetData>
    <row r="1" spans="1:9" ht="15" thickTop="1" x14ac:dyDescent="0.35">
      <c r="A1" s="243" t="s">
        <v>168</v>
      </c>
      <c r="B1" s="244" t="s">
        <v>7</v>
      </c>
      <c r="C1" s="244" t="s">
        <v>8</v>
      </c>
      <c r="D1" s="244" t="s">
        <v>11</v>
      </c>
      <c r="E1" s="244" t="s">
        <v>169</v>
      </c>
      <c r="F1" s="245" t="s">
        <v>12</v>
      </c>
      <c r="H1" s="119" t="s">
        <v>167</v>
      </c>
      <c r="I1" s="109"/>
    </row>
    <row r="2" spans="1:9" x14ac:dyDescent="0.35">
      <c r="A2" s="246">
        <v>1</v>
      </c>
      <c r="B2" s="247" t="s">
        <v>128</v>
      </c>
      <c r="C2" s="248">
        <v>28</v>
      </c>
      <c r="D2" s="248" t="s">
        <v>68</v>
      </c>
      <c r="E2" s="249">
        <v>0.47039999999999998</v>
      </c>
      <c r="F2" s="250">
        <v>1.0358000000000001</v>
      </c>
      <c r="H2" s="96" t="s">
        <v>157</v>
      </c>
      <c r="I2" s="110">
        <v>0.75</v>
      </c>
    </row>
    <row r="3" spans="1:9" x14ac:dyDescent="0.35">
      <c r="A3" s="251">
        <v>2</v>
      </c>
      <c r="B3" s="252" t="s">
        <v>66</v>
      </c>
      <c r="C3" s="253">
        <v>39</v>
      </c>
      <c r="D3" s="253" t="s">
        <v>68</v>
      </c>
      <c r="E3" s="254">
        <v>1.0650999999999999</v>
      </c>
      <c r="F3" s="255">
        <v>1.0358000000000001</v>
      </c>
      <c r="H3" s="96" t="s">
        <v>174</v>
      </c>
      <c r="I3" s="110">
        <v>0.15</v>
      </c>
    </row>
    <row r="4" spans="1:9" x14ac:dyDescent="0.35">
      <c r="A4" s="251">
        <v>3</v>
      </c>
      <c r="B4" s="252" t="s">
        <v>128</v>
      </c>
      <c r="C4" s="253">
        <v>51</v>
      </c>
      <c r="D4" s="253" t="s">
        <v>79</v>
      </c>
      <c r="E4" s="254">
        <v>1.2564</v>
      </c>
      <c r="F4" s="255">
        <v>1.0162</v>
      </c>
      <c r="H4" s="96" t="s">
        <v>158</v>
      </c>
      <c r="I4" s="110">
        <v>0.05</v>
      </c>
    </row>
    <row r="5" spans="1:9" x14ac:dyDescent="0.35">
      <c r="A5" s="251">
        <v>4</v>
      </c>
      <c r="B5" s="252" t="s">
        <v>128</v>
      </c>
      <c r="C5" s="253">
        <v>22</v>
      </c>
      <c r="D5" s="253" t="s">
        <v>79</v>
      </c>
      <c r="E5" s="254">
        <v>0.26090000000000002</v>
      </c>
      <c r="F5" s="255">
        <v>1.0162</v>
      </c>
      <c r="H5" s="96" t="s">
        <v>159</v>
      </c>
      <c r="I5" s="110">
        <v>0.03</v>
      </c>
    </row>
    <row r="6" spans="1:9" x14ac:dyDescent="0.35">
      <c r="A6" s="256">
        <v>5</v>
      </c>
      <c r="B6" s="257" t="s">
        <v>66</v>
      </c>
      <c r="C6" s="258">
        <v>62</v>
      </c>
      <c r="D6" s="258" t="s">
        <v>91</v>
      </c>
      <c r="E6" s="259">
        <v>2.1560999999999999</v>
      </c>
      <c r="F6" s="260">
        <v>0.99339999999999995</v>
      </c>
      <c r="H6" s="120" t="s">
        <v>160</v>
      </c>
      <c r="I6" s="111">
        <v>0.02</v>
      </c>
    </row>
    <row r="7" spans="1:9" ht="15" thickBot="1" x14ac:dyDescent="0.4">
      <c r="A7" s="261" t="s">
        <v>170</v>
      </c>
      <c r="B7" s="262"/>
      <c r="C7" s="262"/>
      <c r="D7" s="262"/>
      <c r="E7" s="263">
        <f>AVERAGE(E2:E6)</f>
        <v>1.0417799999999999</v>
      </c>
      <c r="F7" s="264">
        <f>AVERAGE(F2:F6)</f>
        <v>1.0194800000000002</v>
      </c>
      <c r="H7" s="119" t="s">
        <v>177</v>
      </c>
      <c r="I7" s="109"/>
    </row>
    <row r="8" spans="1:9" ht="16" thickTop="1" x14ac:dyDescent="0.35">
      <c r="A8" s="92" t="s">
        <v>231</v>
      </c>
      <c r="B8" s="93"/>
      <c r="C8" s="93"/>
      <c r="D8" s="93"/>
      <c r="E8" s="93"/>
      <c r="F8" s="93"/>
      <c r="H8" s="121" t="s">
        <v>161</v>
      </c>
      <c r="I8" s="95">
        <f>'Sec 30.5'!O9</f>
        <v>401.18450791796528</v>
      </c>
    </row>
    <row r="9" spans="1:9" x14ac:dyDescent="0.35">
      <c r="H9" s="121" t="s">
        <v>162</v>
      </c>
      <c r="I9" s="112">
        <f>'Sec 30.4'!R47</f>
        <v>6.8176664160761513E-2</v>
      </c>
    </row>
    <row r="10" spans="1:9" x14ac:dyDescent="0.35">
      <c r="H10" s="121" t="s">
        <v>171</v>
      </c>
      <c r="I10" s="113">
        <f>E7</f>
        <v>1.0417799999999999</v>
      </c>
    </row>
    <row r="11" spans="1:9" x14ac:dyDescent="0.35">
      <c r="H11" s="121" t="s">
        <v>172</v>
      </c>
      <c r="I11" s="113">
        <f>F7</f>
        <v>1.0194800000000002</v>
      </c>
    </row>
    <row r="12" spans="1:9" x14ac:dyDescent="0.35">
      <c r="H12" s="122" t="s">
        <v>163</v>
      </c>
      <c r="I12" s="114">
        <f>I8*(1+I9)^2*I10*I11</f>
        <v>486.16652460940401</v>
      </c>
    </row>
    <row r="13" spans="1:9" x14ac:dyDescent="0.35">
      <c r="H13" s="121" t="s">
        <v>164</v>
      </c>
      <c r="I13" s="113">
        <f>'Sec 30.5'!J12</f>
        <v>403.75203504672891</v>
      </c>
    </row>
    <row r="14" spans="1:9" x14ac:dyDescent="0.35">
      <c r="H14" s="121" t="s">
        <v>165</v>
      </c>
      <c r="I14" s="115">
        <f>I12*I13</f>
        <v>196290.72368264248</v>
      </c>
    </row>
    <row r="15" spans="1:9" x14ac:dyDescent="0.35">
      <c r="H15" s="121" t="s">
        <v>166</v>
      </c>
      <c r="I15" s="110">
        <v>0.75</v>
      </c>
    </row>
    <row r="16" spans="1:9" x14ac:dyDescent="0.35">
      <c r="H16" s="123" t="s">
        <v>173</v>
      </c>
      <c r="I16" s="116">
        <f>I14/I15</f>
        <v>261720.96491018997</v>
      </c>
    </row>
    <row r="17" spans="8:9" ht="15.5" x14ac:dyDescent="0.35">
      <c r="H17" s="117" t="s">
        <v>232</v>
      </c>
      <c r="I17" s="11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opLeftCell="T1" workbookViewId="0">
      <selection activeCell="W11" sqref="W11"/>
    </sheetView>
  </sheetViews>
  <sheetFormatPr defaultRowHeight="14.5" x14ac:dyDescent="0.35"/>
  <cols>
    <col min="4" max="4" width="9.54296875" bestFit="1" customWidth="1"/>
    <col min="6" max="6" width="9.54296875" bestFit="1" customWidth="1"/>
    <col min="26" max="26" width="9.54296875" bestFit="1" customWidth="1"/>
  </cols>
  <sheetData>
    <row r="1" spans="1:28" ht="15" thickTop="1" x14ac:dyDescent="0.35">
      <c r="A1" s="265"/>
      <c r="B1" s="266"/>
      <c r="C1" s="267" t="s">
        <v>106</v>
      </c>
      <c r="D1" s="267" t="s">
        <v>190</v>
      </c>
      <c r="E1" s="267" t="s">
        <v>106</v>
      </c>
      <c r="F1" s="267" t="s">
        <v>3</v>
      </c>
      <c r="G1" s="268" t="s">
        <v>191</v>
      </c>
      <c r="I1" s="294"/>
      <c r="J1" s="267"/>
      <c r="K1" s="267" t="s">
        <v>194</v>
      </c>
      <c r="L1" s="267" t="s">
        <v>195</v>
      </c>
      <c r="M1" s="267" t="s">
        <v>195</v>
      </c>
      <c r="N1" s="268" t="s">
        <v>195</v>
      </c>
      <c r="P1" s="294"/>
      <c r="Q1" s="267"/>
      <c r="R1" s="267" t="s">
        <v>194</v>
      </c>
      <c r="S1" s="267" t="s">
        <v>195</v>
      </c>
      <c r="T1" s="267" t="s">
        <v>195</v>
      </c>
      <c r="U1" s="268" t="s">
        <v>200</v>
      </c>
      <c r="W1" s="294"/>
      <c r="X1" s="267"/>
      <c r="Y1" s="267" t="s">
        <v>196</v>
      </c>
      <c r="Z1" s="267" t="s">
        <v>196</v>
      </c>
      <c r="AA1" s="267" t="s">
        <v>197</v>
      </c>
      <c r="AB1" s="268" t="s">
        <v>197</v>
      </c>
    </row>
    <row r="2" spans="1:28" x14ac:dyDescent="0.35">
      <c r="A2" s="269" t="s">
        <v>192</v>
      </c>
      <c r="B2" s="270" t="s">
        <v>9</v>
      </c>
      <c r="C2" s="271" t="s">
        <v>190</v>
      </c>
      <c r="D2" s="271" t="s">
        <v>10</v>
      </c>
      <c r="E2" s="271" t="s">
        <v>3</v>
      </c>
      <c r="F2" s="271" t="s">
        <v>10</v>
      </c>
      <c r="G2" s="272" t="s">
        <v>193</v>
      </c>
      <c r="I2" s="295"/>
      <c r="J2" s="271"/>
      <c r="K2" s="271" t="s">
        <v>190</v>
      </c>
      <c r="L2" s="271" t="s">
        <v>190</v>
      </c>
      <c r="M2" s="271" t="s">
        <v>3</v>
      </c>
      <c r="N2" s="272" t="s">
        <v>191</v>
      </c>
      <c r="P2" s="295"/>
      <c r="Q2" s="271"/>
      <c r="R2" s="271" t="s">
        <v>190</v>
      </c>
      <c r="S2" s="271" t="s">
        <v>3</v>
      </c>
      <c r="T2" s="271" t="s">
        <v>190</v>
      </c>
      <c r="U2" s="272" t="s">
        <v>198</v>
      </c>
      <c r="W2" s="295"/>
      <c r="X2" s="271"/>
      <c r="Y2" s="271" t="s">
        <v>106</v>
      </c>
      <c r="Z2" s="271" t="s">
        <v>3</v>
      </c>
      <c r="AA2" s="271" t="s">
        <v>190</v>
      </c>
      <c r="AB2" s="272" t="s">
        <v>198</v>
      </c>
    </row>
    <row r="3" spans="1:28" x14ac:dyDescent="0.35">
      <c r="A3" s="273">
        <v>1</v>
      </c>
      <c r="B3" s="274">
        <v>20</v>
      </c>
      <c r="C3" s="275">
        <v>48000</v>
      </c>
      <c r="D3" s="276">
        <f>C3/B3/12</f>
        <v>200</v>
      </c>
      <c r="E3" s="275">
        <v>28800</v>
      </c>
      <c r="F3" s="276">
        <v>120</v>
      </c>
      <c r="G3" s="277">
        <f>F3/D3</f>
        <v>0.6</v>
      </c>
      <c r="I3" s="295" t="s">
        <v>192</v>
      </c>
      <c r="J3" s="271" t="s">
        <v>9</v>
      </c>
      <c r="K3" s="271" t="s">
        <v>10</v>
      </c>
      <c r="L3" s="271" t="s">
        <v>10</v>
      </c>
      <c r="M3" s="271" t="s">
        <v>10</v>
      </c>
      <c r="N3" s="272" t="s">
        <v>193</v>
      </c>
      <c r="P3" s="295" t="s">
        <v>192</v>
      </c>
      <c r="Q3" s="271" t="s">
        <v>9</v>
      </c>
      <c r="R3" s="271" t="s">
        <v>10</v>
      </c>
      <c r="S3" s="271" t="s">
        <v>10</v>
      </c>
      <c r="T3" s="271" t="s">
        <v>10</v>
      </c>
      <c r="U3" s="272" t="s">
        <v>199</v>
      </c>
      <c r="W3" s="295" t="s">
        <v>192</v>
      </c>
      <c r="X3" s="271" t="s">
        <v>9</v>
      </c>
      <c r="Y3" s="271" t="s">
        <v>3</v>
      </c>
      <c r="Z3" s="271" t="s">
        <v>10</v>
      </c>
      <c r="AA3" s="271" t="s">
        <v>10</v>
      </c>
      <c r="AB3" s="272" t="s">
        <v>199</v>
      </c>
    </row>
    <row r="4" spans="1:28" x14ac:dyDescent="0.35">
      <c r="A4" s="278">
        <v>2</v>
      </c>
      <c r="B4" s="279">
        <v>30</v>
      </c>
      <c r="C4" s="280">
        <v>79200</v>
      </c>
      <c r="D4" s="281">
        <f t="shared" ref="D4:D8" si="0">C4/B4/12</f>
        <v>220</v>
      </c>
      <c r="E4" s="280">
        <v>48600</v>
      </c>
      <c r="F4" s="281">
        <v>135</v>
      </c>
      <c r="G4" s="282">
        <f t="shared" ref="G4:G8" si="1">F4/D4</f>
        <v>0.61363636363636365</v>
      </c>
      <c r="I4" s="273">
        <v>1</v>
      </c>
      <c r="J4" s="274">
        <v>20</v>
      </c>
      <c r="K4" s="276">
        <v>200</v>
      </c>
      <c r="L4" s="298">
        <f>K4*L$9/K$9</f>
        <v>238.35551330798478</v>
      </c>
      <c r="M4" s="276">
        <f>F3</f>
        <v>120</v>
      </c>
      <c r="N4" s="277">
        <f>M4/L4</f>
        <v>0.50344965104685946</v>
      </c>
      <c r="P4" s="273">
        <v>1</v>
      </c>
      <c r="Q4" s="274">
        <f>J4</f>
        <v>20</v>
      </c>
      <c r="R4" s="276">
        <f>K4</f>
        <v>200</v>
      </c>
      <c r="S4" s="276">
        <f>M4</f>
        <v>120</v>
      </c>
      <c r="T4" s="276">
        <f>S4/0.8</f>
        <v>150</v>
      </c>
      <c r="U4" s="277">
        <f>T4/R4-1</f>
        <v>-0.25</v>
      </c>
      <c r="W4" s="273">
        <v>1</v>
      </c>
      <c r="X4" s="274">
        <f>Q4</f>
        <v>20</v>
      </c>
      <c r="Y4" s="301">
        <f>E3+62.5*X4*12</f>
        <v>43800</v>
      </c>
      <c r="Z4" s="276">
        <f>Y4/X4/12</f>
        <v>182.5</v>
      </c>
      <c r="AA4" s="276">
        <f>Z4/0.8</f>
        <v>228.125</v>
      </c>
      <c r="AB4" s="277">
        <f>AA4/R4-1</f>
        <v>0.140625</v>
      </c>
    </row>
    <row r="5" spans="1:28" x14ac:dyDescent="0.35">
      <c r="A5" s="278">
        <v>3</v>
      </c>
      <c r="B5" s="279">
        <v>40</v>
      </c>
      <c r="C5" s="280">
        <v>120000</v>
      </c>
      <c r="D5" s="281">
        <f t="shared" si="0"/>
        <v>250</v>
      </c>
      <c r="E5" s="280">
        <v>240000</v>
      </c>
      <c r="F5" s="281">
        <v>500</v>
      </c>
      <c r="G5" s="282">
        <f t="shared" si="1"/>
        <v>2</v>
      </c>
      <c r="I5" s="278">
        <v>2</v>
      </c>
      <c r="J5" s="279">
        <v>30</v>
      </c>
      <c r="K5" s="281">
        <v>220</v>
      </c>
      <c r="L5" s="299">
        <f t="shared" ref="L5:L8" si="2">K5*L$9/K$9</f>
        <v>262.19106463878325</v>
      </c>
      <c r="M5" s="281">
        <f t="shared" ref="M5:M8" si="3">F4</f>
        <v>135</v>
      </c>
      <c r="N5" s="282">
        <f t="shared" ref="N5:N9" si="4">M5/L5</f>
        <v>0.51489168857065171</v>
      </c>
      <c r="P5" s="278">
        <v>2</v>
      </c>
      <c r="Q5" s="279">
        <f t="shared" ref="Q5:Q9" si="5">J5</f>
        <v>30</v>
      </c>
      <c r="R5" s="281">
        <f t="shared" ref="R5:R9" si="6">K5</f>
        <v>220</v>
      </c>
      <c r="S5" s="281">
        <f t="shared" ref="S5:S9" si="7">M5</f>
        <v>135</v>
      </c>
      <c r="T5" s="281">
        <f t="shared" ref="T5:T9" si="8">S5/0.8</f>
        <v>168.75</v>
      </c>
      <c r="U5" s="282">
        <f t="shared" ref="U5:U9" si="9">T5/R5-1</f>
        <v>-0.23295454545454541</v>
      </c>
      <c r="W5" s="278">
        <v>2</v>
      </c>
      <c r="X5" s="279">
        <f t="shared" ref="X5:X9" si="10">Q5</f>
        <v>30</v>
      </c>
      <c r="Y5" s="302">
        <f t="shared" ref="Y5:Y8" si="11">E4+62.5*X5*12</f>
        <v>71100</v>
      </c>
      <c r="Z5" s="281">
        <f t="shared" ref="Z5:Z9" si="12">Y5/X5/12</f>
        <v>197.5</v>
      </c>
      <c r="AA5" s="281">
        <f t="shared" ref="AA5:AA9" si="13">Z5/0.8</f>
        <v>246.875</v>
      </c>
      <c r="AB5" s="282">
        <f t="shared" ref="AB5:AB9" si="14">AA5/R5-1</f>
        <v>0.12215909090909083</v>
      </c>
    </row>
    <row r="6" spans="1:28" x14ac:dyDescent="0.35">
      <c r="A6" s="278">
        <v>4</v>
      </c>
      <c r="B6" s="279">
        <v>50</v>
      </c>
      <c r="C6" s="280">
        <v>168000</v>
      </c>
      <c r="D6" s="281">
        <f t="shared" si="0"/>
        <v>280</v>
      </c>
      <c r="E6" s="280">
        <v>126000</v>
      </c>
      <c r="F6" s="281">
        <v>210</v>
      </c>
      <c r="G6" s="282">
        <f t="shared" si="1"/>
        <v>0.75</v>
      </c>
      <c r="I6" s="278">
        <v>3</v>
      </c>
      <c r="J6" s="279">
        <v>40</v>
      </c>
      <c r="K6" s="281">
        <v>250</v>
      </c>
      <c r="L6" s="299">
        <f t="shared" si="2"/>
        <v>297.944391634981</v>
      </c>
      <c r="M6" s="281">
        <f t="shared" si="3"/>
        <v>500</v>
      </c>
      <c r="N6" s="282">
        <f t="shared" si="4"/>
        <v>1.6781655034895313</v>
      </c>
      <c r="P6" s="278">
        <v>3</v>
      </c>
      <c r="Q6" s="279">
        <f t="shared" si="5"/>
        <v>40</v>
      </c>
      <c r="R6" s="281">
        <f t="shared" si="6"/>
        <v>250</v>
      </c>
      <c r="S6" s="281">
        <f t="shared" si="7"/>
        <v>500</v>
      </c>
      <c r="T6" s="281">
        <f t="shared" si="8"/>
        <v>625</v>
      </c>
      <c r="U6" s="282">
        <f t="shared" si="9"/>
        <v>1.5</v>
      </c>
      <c r="W6" s="278">
        <v>3</v>
      </c>
      <c r="X6" s="279">
        <f t="shared" si="10"/>
        <v>40</v>
      </c>
      <c r="Y6" s="302">
        <f>E5+62.5*X6*12-150000</f>
        <v>120000</v>
      </c>
      <c r="Z6" s="281">
        <f t="shared" si="12"/>
        <v>250</v>
      </c>
      <c r="AA6" s="281">
        <f t="shared" si="13"/>
        <v>312.5</v>
      </c>
      <c r="AB6" s="282">
        <f t="shared" si="14"/>
        <v>0.25</v>
      </c>
    </row>
    <row r="7" spans="1:28" x14ac:dyDescent="0.35">
      <c r="A7" s="283">
        <v>5</v>
      </c>
      <c r="B7" s="284">
        <v>60</v>
      </c>
      <c r="C7" s="285">
        <v>216000</v>
      </c>
      <c r="D7" s="286">
        <f t="shared" si="0"/>
        <v>300</v>
      </c>
      <c r="E7" s="285">
        <v>158400</v>
      </c>
      <c r="F7" s="286">
        <v>220</v>
      </c>
      <c r="G7" s="287">
        <f t="shared" si="1"/>
        <v>0.73333333333333328</v>
      </c>
      <c r="I7" s="278">
        <v>4</v>
      </c>
      <c r="J7" s="279">
        <v>50</v>
      </c>
      <c r="K7" s="281">
        <v>280</v>
      </c>
      <c r="L7" s="299">
        <f t="shared" si="2"/>
        <v>333.6977186311787</v>
      </c>
      <c r="M7" s="281">
        <f t="shared" si="3"/>
        <v>210</v>
      </c>
      <c r="N7" s="282">
        <f t="shared" si="4"/>
        <v>0.6293120638085743</v>
      </c>
      <c r="P7" s="278">
        <v>4</v>
      </c>
      <c r="Q7" s="279">
        <f t="shared" si="5"/>
        <v>50</v>
      </c>
      <c r="R7" s="281">
        <f t="shared" si="6"/>
        <v>280</v>
      </c>
      <c r="S7" s="281">
        <f t="shared" si="7"/>
        <v>210</v>
      </c>
      <c r="T7" s="281">
        <f t="shared" si="8"/>
        <v>262.5</v>
      </c>
      <c r="U7" s="282">
        <f t="shared" si="9"/>
        <v>-6.25E-2</v>
      </c>
      <c r="W7" s="278">
        <v>4</v>
      </c>
      <c r="X7" s="279">
        <f t="shared" si="10"/>
        <v>50</v>
      </c>
      <c r="Y7" s="302">
        <f t="shared" si="11"/>
        <v>163500</v>
      </c>
      <c r="Z7" s="281">
        <f t="shared" si="12"/>
        <v>272.5</v>
      </c>
      <c r="AA7" s="281">
        <f t="shared" si="13"/>
        <v>340.625</v>
      </c>
      <c r="AB7" s="282">
        <f t="shared" si="14"/>
        <v>0.21651785714285721</v>
      </c>
    </row>
    <row r="8" spans="1:28" ht="15" thickBot="1" x14ac:dyDescent="0.4">
      <c r="A8" s="288" t="s">
        <v>106</v>
      </c>
      <c r="B8" s="289">
        <f>SUM(B3:B7)</f>
        <v>200</v>
      </c>
      <c r="C8" s="290">
        <f>SUM(C3:C7)</f>
        <v>631200</v>
      </c>
      <c r="D8" s="291">
        <f t="shared" si="0"/>
        <v>263</v>
      </c>
      <c r="E8" s="290">
        <f>SUM(E3:E7)</f>
        <v>601800</v>
      </c>
      <c r="F8" s="291">
        <f>E8/B8/12</f>
        <v>250.75</v>
      </c>
      <c r="G8" s="292">
        <f t="shared" si="1"/>
        <v>0.95342205323193918</v>
      </c>
      <c r="I8" s="283">
        <v>5</v>
      </c>
      <c r="J8" s="284">
        <v>60</v>
      </c>
      <c r="K8" s="286">
        <v>300</v>
      </c>
      <c r="L8" s="300">
        <f t="shared" si="2"/>
        <v>357.53326996197717</v>
      </c>
      <c r="M8" s="286">
        <f t="shared" si="3"/>
        <v>220</v>
      </c>
      <c r="N8" s="287">
        <f t="shared" si="4"/>
        <v>0.61532735127949489</v>
      </c>
      <c r="P8" s="283">
        <v>5</v>
      </c>
      <c r="Q8" s="284">
        <f t="shared" si="5"/>
        <v>60</v>
      </c>
      <c r="R8" s="286">
        <f t="shared" si="6"/>
        <v>300</v>
      </c>
      <c r="S8" s="286">
        <f t="shared" si="7"/>
        <v>220</v>
      </c>
      <c r="T8" s="286">
        <f t="shared" si="8"/>
        <v>275</v>
      </c>
      <c r="U8" s="287">
        <f t="shared" si="9"/>
        <v>-8.333333333333337E-2</v>
      </c>
      <c r="W8" s="283">
        <v>5</v>
      </c>
      <c r="X8" s="284">
        <f t="shared" si="10"/>
        <v>60</v>
      </c>
      <c r="Y8" s="303">
        <f t="shared" si="11"/>
        <v>203400</v>
      </c>
      <c r="Z8" s="286">
        <f t="shared" si="12"/>
        <v>282.5</v>
      </c>
      <c r="AA8" s="286">
        <f t="shared" si="13"/>
        <v>353.125</v>
      </c>
      <c r="AB8" s="287">
        <f t="shared" si="14"/>
        <v>0.17708333333333326</v>
      </c>
    </row>
    <row r="9" spans="1:28" ht="16.5" thickTop="1" thickBot="1" x14ac:dyDescent="0.4">
      <c r="A9" s="92" t="s">
        <v>211</v>
      </c>
      <c r="B9" s="293"/>
      <c r="C9" s="293"/>
      <c r="D9" s="293"/>
      <c r="E9" s="293"/>
      <c r="F9" s="293"/>
      <c r="G9" s="293"/>
      <c r="I9" s="288" t="s">
        <v>106</v>
      </c>
      <c r="J9" s="289">
        <v>200</v>
      </c>
      <c r="K9" s="291">
        <v>263</v>
      </c>
      <c r="L9" s="291">
        <f>F8/0.8</f>
        <v>313.4375</v>
      </c>
      <c r="M9" s="291">
        <f>SUMPRODUCT(M4:M8,J4:J8)/J9</f>
        <v>250.75</v>
      </c>
      <c r="N9" s="292">
        <f t="shared" si="4"/>
        <v>0.8</v>
      </c>
      <c r="P9" s="288" t="s">
        <v>106</v>
      </c>
      <c r="Q9" s="289">
        <f t="shared" si="5"/>
        <v>200</v>
      </c>
      <c r="R9" s="291">
        <f t="shared" si="6"/>
        <v>263</v>
      </c>
      <c r="S9" s="291">
        <f t="shared" si="7"/>
        <v>250.75</v>
      </c>
      <c r="T9" s="291">
        <f t="shared" si="8"/>
        <v>313.4375</v>
      </c>
      <c r="U9" s="292">
        <f t="shared" si="9"/>
        <v>0.19177756653992395</v>
      </c>
      <c r="W9" s="288" t="s">
        <v>106</v>
      </c>
      <c r="X9" s="289">
        <f t="shared" si="10"/>
        <v>200</v>
      </c>
      <c r="Y9" s="304">
        <f>SUM(Y4:Y8)</f>
        <v>601800</v>
      </c>
      <c r="Z9" s="291">
        <f t="shared" si="12"/>
        <v>250.75</v>
      </c>
      <c r="AA9" s="291">
        <f t="shared" si="13"/>
        <v>313.4375</v>
      </c>
      <c r="AB9" s="292">
        <f t="shared" si="14"/>
        <v>0.19177756653992395</v>
      </c>
    </row>
    <row r="10" spans="1:28" ht="16" thickTop="1" x14ac:dyDescent="0.35">
      <c r="A10" s="353" t="s">
        <v>233</v>
      </c>
      <c r="I10" s="296" t="s">
        <v>212</v>
      </c>
      <c r="J10" s="297"/>
      <c r="K10" s="297"/>
      <c r="L10" s="297"/>
      <c r="M10" s="297"/>
      <c r="N10" s="297"/>
      <c r="P10" s="296" t="s">
        <v>213</v>
      </c>
      <c r="Q10" s="297"/>
      <c r="R10" s="297"/>
      <c r="S10" s="297"/>
      <c r="T10" s="297"/>
      <c r="U10" s="297"/>
      <c r="W10" s="296" t="s">
        <v>214</v>
      </c>
      <c r="X10" s="297"/>
      <c r="Y10" s="297"/>
      <c r="Z10" s="297"/>
      <c r="AA10" s="297"/>
      <c r="AB10" s="297"/>
    </row>
    <row r="11" spans="1:28" ht="15.5" x14ac:dyDescent="0.35">
      <c r="I11" s="353" t="s">
        <v>234</v>
      </c>
      <c r="P11" s="353" t="s">
        <v>234</v>
      </c>
      <c r="W11" s="353" t="s">
        <v>234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35"/>
  <sheetViews>
    <sheetView workbookViewId="0">
      <selection activeCell="BZ14" sqref="BZ14"/>
    </sheetView>
  </sheetViews>
  <sheetFormatPr defaultRowHeight="14.5" x14ac:dyDescent="0.35"/>
  <cols>
    <col min="2" max="28" width="10.36328125" customWidth="1"/>
    <col min="30" max="30" width="23" bestFit="1" customWidth="1"/>
    <col min="31" max="31" width="11.6328125" customWidth="1"/>
    <col min="32" max="33" width="11.54296875" customWidth="1"/>
    <col min="34" max="34" width="16.453125" bestFit="1" customWidth="1"/>
    <col min="35" max="35" width="13.08984375" style="2" customWidth="1"/>
    <col min="36" max="36" width="12.6328125" customWidth="1"/>
    <col min="37" max="51" width="11.6328125" customWidth="1"/>
    <col min="53" max="53" width="14" customWidth="1"/>
    <col min="54" max="54" width="12.08984375" bestFit="1" customWidth="1"/>
    <col min="55" max="69" width="10" customWidth="1"/>
    <col min="70" max="70" width="11" bestFit="1" customWidth="1"/>
    <col min="71" max="71" width="13.54296875" customWidth="1"/>
    <col min="72" max="72" width="12.08984375" bestFit="1" customWidth="1"/>
    <col min="73" max="74" width="11.90625" customWidth="1"/>
    <col min="75" max="75" width="11.6328125" customWidth="1"/>
    <col min="78" max="78" width="24.36328125" customWidth="1"/>
    <col min="79" max="81" width="11.54296875" bestFit="1" customWidth="1"/>
    <col min="82" max="82" width="14.36328125" bestFit="1" customWidth="1"/>
    <col min="83" max="85" width="12.36328125" customWidth="1"/>
  </cols>
  <sheetData>
    <row r="1" spans="1:85" ht="15" thickTop="1" x14ac:dyDescent="0.35">
      <c r="A1" s="44" t="s">
        <v>21</v>
      </c>
      <c r="B1" s="19" t="s">
        <v>22</v>
      </c>
      <c r="C1" s="19" t="s">
        <v>23</v>
      </c>
      <c r="D1" s="19" t="s">
        <v>24</v>
      </c>
      <c r="E1" s="19" t="s">
        <v>25</v>
      </c>
      <c r="F1" s="19" t="s">
        <v>26</v>
      </c>
      <c r="G1" s="19" t="s">
        <v>27</v>
      </c>
      <c r="H1" s="19" t="s">
        <v>28</v>
      </c>
      <c r="I1" s="19" t="s">
        <v>29</v>
      </c>
      <c r="J1" s="19" t="s">
        <v>30</v>
      </c>
      <c r="K1" s="19" t="s">
        <v>31</v>
      </c>
      <c r="L1" s="19" t="s">
        <v>32</v>
      </c>
      <c r="M1" s="19" t="s">
        <v>33</v>
      </c>
      <c r="N1" s="19" t="s">
        <v>34</v>
      </c>
      <c r="O1" s="19" t="s">
        <v>35</v>
      </c>
      <c r="P1" s="19" t="s">
        <v>36</v>
      </c>
      <c r="Q1" s="19" t="s">
        <v>37</v>
      </c>
      <c r="R1" s="19" t="s">
        <v>38</v>
      </c>
      <c r="S1" s="19" t="s">
        <v>39</v>
      </c>
      <c r="T1" s="19" t="s">
        <v>40</v>
      </c>
      <c r="U1" s="19" t="s">
        <v>41</v>
      </c>
      <c r="V1" s="19" t="s">
        <v>42</v>
      </c>
      <c r="W1" s="19" t="s">
        <v>43</v>
      </c>
      <c r="X1" s="19" t="s">
        <v>44</v>
      </c>
      <c r="Y1" s="19" t="s">
        <v>45</v>
      </c>
      <c r="Z1" s="19" t="s">
        <v>46</v>
      </c>
      <c r="AA1" s="19" t="s">
        <v>47</v>
      </c>
      <c r="AB1" s="20" t="s">
        <v>48</v>
      </c>
      <c r="AD1" s="58" t="s">
        <v>14</v>
      </c>
      <c r="AE1" s="59">
        <v>2009</v>
      </c>
      <c r="AF1" s="59">
        <v>2010</v>
      </c>
      <c r="AG1" s="60">
        <v>2011</v>
      </c>
      <c r="AI1" s="70"/>
      <c r="AJ1" s="19" t="s">
        <v>6</v>
      </c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2"/>
      <c r="BA1" s="70"/>
      <c r="BB1" s="19" t="s">
        <v>6</v>
      </c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2"/>
      <c r="BS1" s="70"/>
      <c r="BT1" s="71"/>
      <c r="BU1" s="71"/>
      <c r="BV1" s="19" t="s">
        <v>136</v>
      </c>
      <c r="BW1" s="72"/>
      <c r="BY1" s="4"/>
      <c r="BZ1" s="58" t="s">
        <v>14</v>
      </c>
      <c r="CA1" s="59">
        <v>2010</v>
      </c>
      <c r="CB1" s="60">
        <v>2011</v>
      </c>
      <c r="CD1" s="305" t="s">
        <v>201</v>
      </c>
      <c r="CE1" s="359" t="s">
        <v>202</v>
      </c>
      <c r="CF1" s="360"/>
      <c r="CG1" s="361"/>
    </row>
    <row r="2" spans="1:85" x14ac:dyDescent="0.35">
      <c r="A2" s="43" t="s">
        <v>22</v>
      </c>
      <c r="B2" s="46">
        <v>1482715.95</v>
      </c>
      <c r="C2" s="46">
        <v>613644.31999999995</v>
      </c>
      <c r="D2" s="46">
        <v>128825.35999999997</v>
      </c>
      <c r="E2" s="46">
        <v>47141.80999999999</v>
      </c>
      <c r="F2" s="46">
        <v>31106.399999999998</v>
      </c>
      <c r="G2" s="46">
        <v>3778.2400000000007</v>
      </c>
      <c r="H2" s="46">
        <v>4440.5600000000004</v>
      </c>
      <c r="I2" s="46">
        <v>4289.2600000000011</v>
      </c>
      <c r="J2" s="46">
        <v>7419.86</v>
      </c>
      <c r="K2" s="46">
        <v>1393.06</v>
      </c>
      <c r="L2" s="46">
        <v>4657.93</v>
      </c>
      <c r="M2" s="46">
        <v>3846.4399999999996</v>
      </c>
      <c r="N2" s="46">
        <v>316.62</v>
      </c>
      <c r="O2" s="46">
        <v>862.40000000000009</v>
      </c>
      <c r="P2" s="46">
        <v>549.81000000000006</v>
      </c>
      <c r="Q2" s="46">
        <v>0</v>
      </c>
      <c r="R2" s="46">
        <v>0</v>
      </c>
      <c r="S2" s="46">
        <v>0</v>
      </c>
      <c r="T2" s="46">
        <v>0</v>
      </c>
      <c r="U2" s="46">
        <v>0</v>
      </c>
      <c r="V2" s="46">
        <v>0</v>
      </c>
      <c r="W2" s="46">
        <v>0</v>
      </c>
      <c r="X2" s="46">
        <v>0</v>
      </c>
      <c r="Y2" s="46">
        <v>0</v>
      </c>
      <c r="Z2" s="46">
        <v>0</v>
      </c>
      <c r="AA2" s="46">
        <v>0</v>
      </c>
      <c r="AB2" s="57">
        <v>0</v>
      </c>
      <c r="AD2" s="21" t="s">
        <v>76</v>
      </c>
      <c r="AE2" s="61">
        <v>96300</v>
      </c>
      <c r="AF2" s="61">
        <v>94524</v>
      </c>
      <c r="AG2" s="62">
        <v>24813</v>
      </c>
      <c r="AI2" s="43" t="s">
        <v>49</v>
      </c>
      <c r="AJ2" s="23" t="s">
        <v>50</v>
      </c>
      <c r="AK2" s="23" t="s">
        <v>51</v>
      </c>
      <c r="AL2" s="23" t="s">
        <v>52</v>
      </c>
      <c r="AM2" s="23" t="s">
        <v>53</v>
      </c>
      <c r="AN2" s="23" t="s">
        <v>54</v>
      </c>
      <c r="AO2" s="23" t="s">
        <v>55</v>
      </c>
      <c r="AP2" s="23" t="s">
        <v>56</v>
      </c>
      <c r="AQ2" s="23" t="s">
        <v>57</v>
      </c>
      <c r="AR2" s="23" t="s">
        <v>58</v>
      </c>
      <c r="AS2" s="23" t="s">
        <v>59</v>
      </c>
      <c r="AT2" s="23" t="s">
        <v>60</v>
      </c>
      <c r="AU2" s="23" t="s">
        <v>61</v>
      </c>
      <c r="AV2" s="23" t="s">
        <v>62</v>
      </c>
      <c r="AW2" s="23" t="s">
        <v>63</v>
      </c>
      <c r="AX2" s="23" t="s">
        <v>64</v>
      </c>
      <c r="AY2" s="24" t="s">
        <v>65</v>
      </c>
      <c r="BA2" s="43" t="s">
        <v>49</v>
      </c>
      <c r="BB2" s="23" t="s">
        <v>50</v>
      </c>
      <c r="BC2" s="23" t="s">
        <v>51</v>
      </c>
      <c r="BD2" s="23" t="s">
        <v>52</v>
      </c>
      <c r="BE2" s="23" t="s">
        <v>53</v>
      </c>
      <c r="BF2" s="23" t="s">
        <v>54</v>
      </c>
      <c r="BG2" s="23" t="s">
        <v>55</v>
      </c>
      <c r="BH2" s="23" t="s">
        <v>56</v>
      </c>
      <c r="BI2" s="23" t="s">
        <v>57</v>
      </c>
      <c r="BJ2" s="23" t="s">
        <v>58</v>
      </c>
      <c r="BK2" s="23" t="s">
        <v>59</v>
      </c>
      <c r="BL2" s="23" t="s">
        <v>60</v>
      </c>
      <c r="BM2" s="23" t="s">
        <v>61</v>
      </c>
      <c r="BN2" s="23" t="s">
        <v>62</v>
      </c>
      <c r="BO2" s="23" t="s">
        <v>63</v>
      </c>
      <c r="BP2" s="23" t="s">
        <v>64</v>
      </c>
      <c r="BQ2" s="24" t="s">
        <v>65</v>
      </c>
      <c r="BS2" s="56"/>
      <c r="BT2" s="23" t="s">
        <v>6</v>
      </c>
      <c r="BU2" s="27"/>
      <c r="BV2" s="23" t="s">
        <v>137</v>
      </c>
      <c r="BW2" s="24" t="s">
        <v>138</v>
      </c>
      <c r="BZ2" s="21" t="s">
        <v>77</v>
      </c>
      <c r="CA2" s="46">
        <v>41590560</v>
      </c>
      <c r="CB2" s="57">
        <v>12009492</v>
      </c>
      <c r="CD2" s="306" t="s">
        <v>203</v>
      </c>
      <c r="CE2" s="307">
        <v>30</v>
      </c>
      <c r="CF2" s="308">
        <v>40</v>
      </c>
      <c r="CG2" s="309">
        <v>50</v>
      </c>
    </row>
    <row r="3" spans="1:85" x14ac:dyDescent="0.35">
      <c r="A3" s="43" t="s">
        <v>23</v>
      </c>
      <c r="B3" s="46"/>
      <c r="C3" s="46">
        <v>1156766.6399999999</v>
      </c>
      <c r="D3" s="46">
        <v>724585.06</v>
      </c>
      <c r="E3" s="46">
        <v>74236.209999999963</v>
      </c>
      <c r="F3" s="46">
        <v>265528.74</v>
      </c>
      <c r="G3" s="46">
        <v>12784.01</v>
      </c>
      <c r="H3" s="46">
        <v>8133.7199999999993</v>
      </c>
      <c r="I3" s="46">
        <v>5601.170000000001</v>
      </c>
      <c r="J3" s="46">
        <v>3278.44</v>
      </c>
      <c r="K3" s="46">
        <v>2232.2399999999998</v>
      </c>
      <c r="L3" s="46">
        <v>220</v>
      </c>
      <c r="M3" s="46">
        <v>960.57999999999993</v>
      </c>
      <c r="N3" s="46">
        <v>5106.84</v>
      </c>
      <c r="O3" s="46">
        <v>525.98</v>
      </c>
      <c r="P3" s="46">
        <v>65.52</v>
      </c>
      <c r="Q3" s="46">
        <v>1032.45</v>
      </c>
      <c r="R3" s="46">
        <v>0</v>
      </c>
      <c r="S3" s="46">
        <v>0</v>
      </c>
      <c r="T3" s="46">
        <v>0</v>
      </c>
      <c r="U3" s="46">
        <v>0</v>
      </c>
      <c r="V3" s="46">
        <v>0</v>
      </c>
      <c r="W3" s="46">
        <v>0</v>
      </c>
      <c r="X3" s="46">
        <v>0</v>
      </c>
      <c r="Y3" s="46">
        <v>0</v>
      </c>
      <c r="Z3" s="46">
        <v>0</v>
      </c>
      <c r="AA3" s="46">
        <v>0</v>
      </c>
      <c r="AB3" s="57">
        <v>0</v>
      </c>
      <c r="AD3" s="21" t="s">
        <v>88</v>
      </c>
      <c r="AE3" s="63">
        <v>400</v>
      </c>
      <c r="AF3" s="63">
        <v>440</v>
      </c>
      <c r="AG3" s="64">
        <v>484</v>
      </c>
      <c r="AI3" s="73" t="s">
        <v>22</v>
      </c>
      <c r="AJ3" s="46">
        <f>SUM(B2:AB2)</f>
        <v>2334988.02</v>
      </c>
      <c r="AK3" s="46">
        <f>SUM($B2:B2)</f>
        <v>1482715.95</v>
      </c>
      <c r="AL3" s="46">
        <f>SUM($B2:C2)</f>
        <v>2096360.27</v>
      </c>
      <c r="AM3" s="46">
        <f>SUM($B2:D2)</f>
        <v>2225185.63</v>
      </c>
      <c r="AN3" s="46">
        <f>SUM($B2:E2)</f>
        <v>2272327.44</v>
      </c>
      <c r="AO3" s="46">
        <f>SUM($B2:F2)</f>
        <v>2303433.84</v>
      </c>
      <c r="AP3" s="46">
        <f>SUM($B2:G2)</f>
        <v>2307212.08</v>
      </c>
      <c r="AQ3" s="46">
        <f>SUM($B2:H2)</f>
        <v>2311652.64</v>
      </c>
      <c r="AR3" s="46">
        <f>SUM($B2:I2)</f>
        <v>2315941.9</v>
      </c>
      <c r="AS3" s="46">
        <f>SUM($B2:J2)</f>
        <v>2323361.7599999998</v>
      </c>
      <c r="AT3" s="46">
        <f>SUM($B2:K2)</f>
        <v>2324754.8199999998</v>
      </c>
      <c r="AU3" s="46">
        <f>SUM($B2:L2)</f>
        <v>2329412.75</v>
      </c>
      <c r="AV3" s="46">
        <f>SUM($B2:M2)</f>
        <v>2333259.19</v>
      </c>
      <c r="AW3" s="46">
        <f>SUM($B2:N2)</f>
        <v>2333575.81</v>
      </c>
      <c r="AX3" s="46">
        <f>SUM($B2:O2)</f>
        <v>2334438.21</v>
      </c>
      <c r="AY3" s="57">
        <f>SUM($B2:P2)</f>
        <v>2334988.02</v>
      </c>
      <c r="BA3" s="73" t="s">
        <v>22</v>
      </c>
      <c r="BB3" s="46">
        <f>AJ3</f>
        <v>2334988.02</v>
      </c>
      <c r="BC3" s="76">
        <f>AK3/$BB3</f>
        <v>0.63499938213815754</v>
      </c>
      <c r="BD3" s="76">
        <f>AL3/$BB3</f>
        <v>0.89780343712427269</v>
      </c>
      <c r="BE3" s="76">
        <v>0.95297518057501629</v>
      </c>
      <c r="BF3" s="76">
        <v>0.97316449615017719</v>
      </c>
      <c r="BG3" s="76">
        <v>0.9864863632148313</v>
      </c>
      <c r="BH3" s="76">
        <v>0.98810446145244035</v>
      </c>
      <c r="BI3" s="76">
        <v>0.99000620996762123</v>
      </c>
      <c r="BJ3" s="76">
        <v>0.99184316157647778</v>
      </c>
      <c r="BK3" s="76">
        <v>0.99502084811552893</v>
      </c>
      <c r="BL3" s="76">
        <v>0.99561745074820551</v>
      </c>
      <c r="BM3" s="76">
        <v>0.99761229181809674</v>
      </c>
      <c r="BN3" s="76">
        <v>0.9992595979143396</v>
      </c>
      <c r="BO3" s="76">
        <v>0.99939519604044913</v>
      </c>
      <c r="BP3" s="76">
        <v>0.9997645341238196</v>
      </c>
      <c r="BQ3" s="77">
        <v>1</v>
      </c>
      <c r="BS3" s="43" t="s">
        <v>49</v>
      </c>
      <c r="BT3" s="23" t="s">
        <v>50</v>
      </c>
      <c r="BU3" s="23" t="s">
        <v>139</v>
      </c>
      <c r="BV3" s="23" t="s">
        <v>140</v>
      </c>
      <c r="BW3" s="24" t="s">
        <v>111</v>
      </c>
      <c r="BZ3" s="21" t="s">
        <v>89</v>
      </c>
      <c r="CA3" s="82">
        <v>0.75</v>
      </c>
      <c r="CB3" s="83">
        <v>0.75</v>
      </c>
      <c r="CD3" s="310">
        <v>0</v>
      </c>
      <c r="CE3" s="311">
        <v>500</v>
      </c>
      <c r="CF3" s="311">
        <v>500</v>
      </c>
      <c r="CG3" s="312">
        <v>500</v>
      </c>
    </row>
    <row r="4" spans="1:85" x14ac:dyDescent="0.35">
      <c r="A4" s="43" t="s">
        <v>24</v>
      </c>
      <c r="B4" s="46"/>
      <c r="C4" s="46"/>
      <c r="D4" s="46">
        <v>1287714.03</v>
      </c>
      <c r="E4" s="46">
        <v>614023.26</v>
      </c>
      <c r="F4" s="46">
        <v>372318.27999999991</v>
      </c>
      <c r="G4" s="46">
        <v>43931.409999999996</v>
      </c>
      <c r="H4" s="46">
        <v>8744.5299999999988</v>
      </c>
      <c r="I4" s="46">
        <v>6083.74</v>
      </c>
      <c r="J4" s="46">
        <v>25596.6</v>
      </c>
      <c r="K4" s="46">
        <v>2609.3300000000004</v>
      </c>
      <c r="L4" s="46">
        <v>783.72</v>
      </c>
      <c r="M4" s="46">
        <v>1041.53</v>
      </c>
      <c r="N4" s="46">
        <v>3518.85</v>
      </c>
      <c r="O4" s="46">
        <v>331.3</v>
      </c>
      <c r="P4" s="46">
        <v>297.90000000000003</v>
      </c>
      <c r="Q4" s="46">
        <v>443.95000000000005</v>
      </c>
      <c r="R4" s="46">
        <v>12095.910000000002</v>
      </c>
      <c r="S4" s="46">
        <v>0</v>
      </c>
      <c r="T4" s="46">
        <v>0</v>
      </c>
      <c r="U4" s="46">
        <v>0</v>
      </c>
      <c r="V4" s="46">
        <v>0</v>
      </c>
      <c r="W4" s="46">
        <v>0</v>
      </c>
      <c r="X4" s="46">
        <v>0</v>
      </c>
      <c r="Y4" s="46">
        <v>0</v>
      </c>
      <c r="Z4" s="46">
        <v>0</v>
      </c>
      <c r="AA4" s="46">
        <v>0</v>
      </c>
      <c r="AB4" s="57">
        <v>0</v>
      </c>
      <c r="AD4" s="21" t="s">
        <v>77</v>
      </c>
      <c r="AE4" s="46">
        <f>AE2*AE3</f>
        <v>38520000</v>
      </c>
      <c r="AF4" s="46">
        <f t="shared" ref="AF4:AG4" si="0">AF2*AF3</f>
        <v>41590560</v>
      </c>
      <c r="AG4" s="57">
        <f t="shared" si="0"/>
        <v>12009492</v>
      </c>
      <c r="AH4" s="86"/>
      <c r="AI4" s="73" t="s">
        <v>23</v>
      </c>
      <c r="AJ4" s="46">
        <f t="shared" ref="AJ4:AJ14" si="1">SUM(B3:AB3)</f>
        <v>2261057.6</v>
      </c>
      <c r="AK4" s="46">
        <f>SUM($C3:C3)</f>
        <v>1156766.6399999999</v>
      </c>
      <c r="AL4" s="46">
        <f>SUM($C3:D3)</f>
        <v>1881351.7</v>
      </c>
      <c r="AM4" s="46">
        <f>SUM($C3:E3)</f>
        <v>1955587.91</v>
      </c>
      <c r="AN4" s="46">
        <f>SUM($C3:F3)</f>
        <v>2221116.65</v>
      </c>
      <c r="AO4" s="46">
        <f>SUM($C3:G3)</f>
        <v>2233900.6599999997</v>
      </c>
      <c r="AP4" s="46">
        <f>SUM($C3:H3)</f>
        <v>2242034.38</v>
      </c>
      <c r="AQ4" s="46">
        <f>SUM($C3:I3)</f>
        <v>2247635.5499999998</v>
      </c>
      <c r="AR4" s="46">
        <f>SUM($C3:J3)</f>
        <v>2250913.9899999998</v>
      </c>
      <c r="AS4" s="46">
        <f>SUM($C3:K3)</f>
        <v>2253146.23</v>
      </c>
      <c r="AT4" s="46">
        <f>SUM($C3:L3)</f>
        <v>2253366.23</v>
      </c>
      <c r="AU4" s="46">
        <f>SUM($C3:M3)</f>
        <v>2254326.81</v>
      </c>
      <c r="AV4" s="46">
        <f>SUM($C3:N3)</f>
        <v>2259433.65</v>
      </c>
      <c r="AW4" s="46">
        <f>SUM($C3:O3)</f>
        <v>2259959.63</v>
      </c>
      <c r="AX4" s="46">
        <f>SUM($C3:P3)</f>
        <v>2260025.15</v>
      </c>
      <c r="AY4" s="57">
        <f>SUM($C3:Q3)</f>
        <v>2261057.6</v>
      </c>
      <c r="BA4" s="73" t="s">
        <v>23</v>
      </c>
      <c r="BB4" s="46">
        <f t="shared" ref="BB4:BB14" si="2">AJ4</f>
        <v>2261057.6</v>
      </c>
      <c r="BC4" s="76">
        <f t="shared" ref="BC4:BD14" si="3">AK4/$BB4</f>
        <v>0.51160423334637728</v>
      </c>
      <c r="BD4" s="76">
        <f t="shared" si="3"/>
        <v>0.8320671264632975</v>
      </c>
      <c r="BE4" s="76">
        <v>0.86489964253896046</v>
      </c>
      <c r="BF4" s="76">
        <v>0.98233527973811896</v>
      </c>
      <c r="BG4" s="76">
        <v>0.9879892754611822</v>
      </c>
      <c r="BH4" s="76">
        <v>0.99158658319894188</v>
      </c>
      <c r="BI4" s="76">
        <v>0.99406381774617314</v>
      </c>
      <c r="BJ4" s="76">
        <v>0.99551377638499772</v>
      </c>
      <c r="BK4" s="76">
        <v>0.99650103119885136</v>
      </c>
      <c r="BL4" s="76">
        <v>0.99659833079882609</v>
      </c>
      <c r="BM4" s="76">
        <v>0.99702316738857066</v>
      </c>
      <c r="BN4" s="76">
        <v>0.99928177415736774</v>
      </c>
      <c r="BO4" s="76">
        <v>0.99951439981007106</v>
      </c>
      <c r="BP4" s="76">
        <v>0.99954337740002719</v>
      </c>
      <c r="BQ4" s="77">
        <v>1</v>
      </c>
      <c r="BR4" s="89"/>
      <c r="BS4" s="73" t="s">
        <v>34</v>
      </c>
      <c r="BT4" s="46">
        <f>SUM(B14:AB14)</f>
        <v>2751932.5699999994</v>
      </c>
      <c r="BU4" s="79">
        <v>1</v>
      </c>
      <c r="BV4" s="46">
        <f>BT4/BU4</f>
        <v>2751932.5699999994</v>
      </c>
      <c r="BW4" s="62">
        <f>BV4-BT4</f>
        <v>0</v>
      </c>
      <c r="BZ4" s="21" t="s">
        <v>97</v>
      </c>
      <c r="CA4" s="61">
        <f>CA2*CA3</f>
        <v>31192920</v>
      </c>
      <c r="CB4" s="62">
        <f>CB2*CB3</f>
        <v>9007119</v>
      </c>
      <c r="CD4" s="313">
        <v>1</v>
      </c>
      <c r="CE4" s="311">
        <v>490</v>
      </c>
      <c r="CF4" s="311">
        <v>480</v>
      </c>
      <c r="CG4" s="312">
        <v>460</v>
      </c>
    </row>
    <row r="5" spans="1:85" x14ac:dyDescent="0.35">
      <c r="A5" s="43" t="s">
        <v>25</v>
      </c>
      <c r="B5" s="46"/>
      <c r="C5" s="46"/>
      <c r="D5" s="46"/>
      <c r="E5" s="46">
        <v>1400421.98</v>
      </c>
      <c r="F5" s="46">
        <v>764111</v>
      </c>
      <c r="G5" s="46">
        <v>185345.49000000017</v>
      </c>
      <c r="H5" s="46">
        <v>330872.61000000004</v>
      </c>
      <c r="I5" s="46">
        <v>11046.689999999997</v>
      </c>
      <c r="J5" s="46">
        <v>6401.16</v>
      </c>
      <c r="K5" s="46">
        <v>2111.7600000000002</v>
      </c>
      <c r="L5" s="46">
        <v>1596.78</v>
      </c>
      <c r="M5" s="46">
        <v>825.20000000000016</v>
      </c>
      <c r="N5" s="46">
        <v>3346.9799999999996</v>
      </c>
      <c r="O5" s="46">
        <v>544.06999999999994</v>
      </c>
      <c r="P5" s="46">
        <v>385.24</v>
      </c>
      <c r="Q5" s="46">
        <v>155.4</v>
      </c>
      <c r="R5" s="46">
        <v>39.6</v>
      </c>
      <c r="S5" s="46">
        <v>5065.53</v>
      </c>
      <c r="T5" s="46">
        <v>0</v>
      </c>
      <c r="U5" s="46">
        <v>0</v>
      </c>
      <c r="V5" s="46">
        <v>0</v>
      </c>
      <c r="W5" s="46">
        <v>0</v>
      </c>
      <c r="X5" s="46">
        <v>0</v>
      </c>
      <c r="Y5" s="46">
        <v>0</v>
      </c>
      <c r="Z5" s="46">
        <v>0</v>
      </c>
      <c r="AA5" s="46">
        <v>0</v>
      </c>
      <c r="AB5" s="57">
        <v>0</v>
      </c>
      <c r="AD5" s="21"/>
      <c r="AE5" s="22"/>
      <c r="AF5" s="22"/>
      <c r="AG5" s="47"/>
      <c r="AH5" s="87"/>
      <c r="AI5" s="73" t="s">
        <v>24</v>
      </c>
      <c r="AJ5" s="46">
        <f t="shared" si="1"/>
        <v>2379534.3400000003</v>
      </c>
      <c r="AK5" s="46">
        <f>SUM($D4:D4)</f>
        <v>1287714.03</v>
      </c>
      <c r="AL5" s="46">
        <f>SUM($D4:E4)</f>
        <v>1901737.29</v>
      </c>
      <c r="AM5" s="46">
        <f>SUM($D4:F4)</f>
        <v>2274055.5699999998</v>
      </c>
      <c r="AN5" s="46">
        <f>SUM($D4:G4)</f>
        <v>2317986.98</v>
      </c>
      <c r="AO5" s="46">
        <f>SUM($D4:H4)</f>
        <v>2326731.5099999998</v>
      </c>
      <c r="AP5" s="46">
        <f>SUM($D4:I4)</f>
        <v>2332815.25</v>
      </c>
      <c r="AQ5" s="46">
        <f>SUM($D4:J4)</f>
        <v>2358411.85</v>
      </c>
      <c r="AR5" s="46">
        <f>SUM($D4:K4)</f>
        <v>2361021.1800000002</v>
      </c>
      <c r="AS5" s="46">
        <f>SUM($D4:L4)</f>
        <v>2361804.9000000004</v>
      </c>
      <c r="AT5" s="46">
        <f>SUM($D4:M4)</f>
        <v>2362846.4300000002</v>
      </c>
      <c r="AU5" s="46">
        <f>SUM($D4:N4)</f>
        <v>2366365.2800000003</v>
      </c>
      <c r="AV5" s="46">
        <f>SUM($D4:O4)</f>
        <v>2366696.58</v>
      </c>
      <c r="AW5" s="46">
        <f>SUM($D4:P4)</f>
        <v>2366994.48</v>
      </c>
      <c r="AX5" s="46">
        <f>SUM($D4:Q4)</f>
        <v>2367438.4300000002</v>
      </c>
      <c r="AY5" s="57">
        <f>SUM($D4:R4)</f>
        <v>2379534.3400000003</v>
      </c>
      <c r="BA5" s="73" t="s">
        <v>24</v>
      </c>
      <c r="BB5" s="46">
        <f t="shared" si="2"/>
        <v>2379534.3400000003</v>
      </c>
      <c r="BC5" s="76">
        <f t="shared" si="3"/>
        <v>0.54116219646571684</v>
      </c>
      <c r="BD5" s="76">
        <f t="shared" si="3"/>
        <v>0.79920565046352721</v>
      </c>
      <c r="BE5" s="76">
        <v>0.95567251616129212</v>
      </c>
      <c r="BF5" s="76">
        <v>0.97413470401944258</v>
      </c>
      <c r="BG5" s="76">
        <v>0.97780959530090217</v>
      </c>
      <c r="BH5" s="76">
        <v>0.98036628880926324</v>
      </c>
      <c r="BI5" s="76">
        <v>0.99112326742046508</v>
      </c>
      <c r="BJ5" s="76">
        <v>0.9922198391135636</v>
      </c>
      <c r="BK5" s="76">
        <v>0.99254919767201177</v>
      </c>
      <c r="BL5" s="76">
        <v>0.99298690095810926</v>
      </c>
      <c r="BM5" s="76">
        <v>0.99446569869632562</v>
      </c>
      <c r="BN5" s="76">
        <v>0.99460492761789676</v>
      </c>
      <c r="BO5" s="76">
        <v>0.99473012017973217</v>
      </c>
      <c r="BP5" s="76">
        <v>0.99491669029664009</v>
      </c>
      <c r="BQ5" s="77">
        <v>1</v>
      </c>
      <c r="BR5" s="89"/>
      <c r="BS5" s="73" t="s">
        <v>35</v>
      </c>
      <c r="BT5" s="46">
        <f t="shared" ref="BT5:BT18" si="4">SUM(B15:AB15)</f>
        <v>2277418.1599999997</v>
      </c>
      <c r="BU5" s="79">
        <v>0.99911025594210179</v>
      </c>
      <c r="BV5" s="46">
        <f t="shared" ref="BV5:BV18" si="5">BT5/BU5</f>
        <v>2279446.2837862968</v>
      </c>
      <c r="BW5" s="62">
        <f t="shared" ref="BW5:BW18" si="6">BV5-BT5</f>
        <v>2028.1237862971611</v>
      </c>
      <c r="BZ5" s="21" t="s">
        <v>104</v>
      </c>
      <c r="CA5" s="61">
        <f>SUM(B14:AB25)</f>
        <v>31612803.99000001</v>
      </c>
      <c r="CB5" s="62">
        <f>SUM(B26:AB28)</f>
        <v>6799168.3299999991</v>
      </c>
      <c r="CD5" s="313">
        <v>2</v>
      </c>
      <c r="CE5" s="311">
        <v>480</v>
      </c>
      <c r="CF5" s="311">
        <v>460</v>
      </c>
      <c r="CG5" s="312">
        <v>420</v>
      </c>
    </row>
    <row r="6" spans="1:85" x14ac:dyDescent="0.35">
      <c r="A6" s="43" t="s">
        <v>26</v>
      </c>
      <c r="B6" s="46"/>
      <c r="C6" s="46"/>
      <c r="D6" s="46"/>
      <c r="E6" s="46"/>
      <c r="F6" s="46">
        <v>1444299.25</v>
      </c>
      <c r="G6" s="46">
        <v>1056840.1800000016</v>
      </c>
      <c r="H6" s="46">
        <v>512265.13000000041</v>
      </c>
      <c r="I6" s="46">
        <v>45710.14</v>
      </c>
      <c r="J6" s="46">
        <v>23255.759999999998</v>
      </c>
      <c r="K6" s="46">
        <v>17665.79</v>
      </c>
      <c r="L6" s="46">
        <v>3660</v>
      </c>
      <c r="M6" s="46">
        <v>6535.7900000000009</v>
      </c>
      <c r="N6" s="46">
        <v>2770.37</v>
      </c>
      <c r="O6" s="46">
        <v>560.5</v>
      </c>
      <c r="P6" s="46">
        <v>599.87999999999988</v>
      </c>
      <c r="Q6" s="46">
        <v>4193.2000000000007</v>
      </c>
      <c r="R6" s="46">
        <v>2028.33</v>
      </c>
      <c r="S6" s="46">
        <v>6772.0700000000006</v>
      </c>
      <c r="T6" s="46">
        <v>76</v>
      </c>
      <c r="U6" s="46">
        <v>0</v>
      </c>
      <c r="V6" s="46">
        <v>0</v>
      </c>
      <c r="W6" s="46">
        <v>0</v>
      </c>
      <c r="X6" s="46">
        <v>0</v>
      </c>
      <c r="Y6" s="46">
        <v>0</v>
      </c>
      <c r="Z6" s="46">
        <v>0</v>
      </c>
      <c r="AA6" s="46">
        <v>0</v>
      </c>
      <c r="AB6" s="57">
        <v>0</v>
      </c>
      <c r="AD6" s="21" t="s">
        <v>110</v>
      </c>
      <c r="AE6" s="22"/>
      <c r="AF6" s="22"/>
      <c r="AG6" s="47"/>
      <c r="AH6" s="88"/>
      <c r="AI6" s="73" t="s">
        <v>25</v>
      </c>
      <c r="AJ6" s="46">
        <f t="shared" si="1"/>
        <v>2712269.4899999998</v>
      </c>
      <c r="AK6" s="46">
        <f>SUM($E5:E5)</f>
        <v>1400421.98</v>
      </c>
      <c r="AL6" s="46">
        <f>SUM($E5:F5)</f>
        <v>2164532.98</v>
      </c>
      <c r="AM6" s="46">
        <f>SUM($E5:G5)</f>
        <v>2349878.4700000002</v>
      </c>
      <c r="AN6" s="46">
        <f>SUM($E5:H5)</f>
        <v>2680751.08</v>
      </c>
      <c r="AO6" s="46">
        <f>SUM($E5:I5)</f>
        <v>2691797.77</v>
      </c>
      <c r="AP6" s="46">
        <f>SUM($E5:J5)</f>
        <v>2698198.93</v>
      </c>
      <c r="AQ6" s="46">
        <f>SUM($E5:K5)</f>
        <v>2700310.69</v>
      </c>
      <c r="AR6" s="46">
        <f>SUM($E5:L5)</f>
        <v>2701907.4699999997</v>
      </c>
      <c r="AS6" s="46">
        <f>SUM($E5:M5)</f>
        <v>2702732.67</v>
      </c>
      <c r="AT6" s="46">
        <f>SUM($E5:N5)</f>
        <v>2706079.65</v>
      </c>
      <c r="AU6" s="46">
        <f>SUM($E5:O5)</f>
        <v>2706623.7199999997</v>
      </c>
      <c r="AV6" s="46">
        <f>SUM($E5:P5)</f>
        <v>2707008.96</v>
      </c>
      <c r="AW6" s="46">
        <f>SUM($E5:Q5)</f>
        <v>2707164.36</v>
      </c>
      <c r="AX6" s="46">
        <f>SUM($E5:R5)</f>
        <v>2707203.96</v>
      </c>
      <c r="AY6" s="57">
        <f>SUM($E5:S5)</f>
        <v>2712269.4899999998</v>
      </c>
      <c r="BA6" s="73" t="s">
        <v>25</v>
      </c>
      <c r="BB6" s="46">
        <f t="shared" si="2"/>
        <v>2712269.4899999998</v>
      </c>
      <c r="BC6" s="76">
        <f t="shared" si="3"/>
        <v>0.51632847884890676</v>
      </c>
      <c r="BD6" s="76">
        <f t="shared" si="3"/>
        <v>0.79805232775744572</v>
      </c>
      <c r="BE6" s="76">
        <v>0.86638826955207926</v>
      </c>
      <c r="BF6" s="76">
        <v>0.98837932214471813</v>
      </c>
      <c r="BG6" s="76">
        <v>0.99245218070126218</v>
      </c>
      <c r="BH6" s="76">
        <v>0.99481225591635458</v>
      </c>
      <c r="BI6" s="76">
        <v>0.9955908511141347</v>
      </c>
      <c r="BJ6" s="76">
        <v>0.99617957579871608</v>
      </c>
      <c r="BK6" s="76">
        <v>0.99648382285198367</v>
      </c>
      <c r="BL6" s="76">
        <v>0.99771783739675524</v>
      </c>
      <c r="BM6" s="76">
        <v>0.99791843324536311</v>
      </c>
      <c r="BN6" s="76">
        <v>0.99806046927881054</v>
      </c>
      <c r="BO6" s="76">
        <v>0.99811776447037348</v>
      </c>
      <c r="BP6" s="76">
        <v>0.9981323647894591</v>
      </c>
      <c r="BQ6" s="77">
        <v>1</v>
      </c>
      <c r="BR6" s="89"/>
      <c r="BS6" s="73" t="s">
        <v>36</v>
      </c>
      <c r="BT6" s="46">
        <f t="shared" si="4"/>
        <v>2868881.0900000008</v>
      </c>
      <c r="BU6" s="79">
        <v>0.99877086248213365</v>
      </c>
      <c r="BV6" s="46">
        <f t="shared" si="5"/>
        <v>2872411.6789613697</v>
      </c>
      <c r="BW6" s="62">
        <f t="shared" si="6"/>
        <v>3530.5889613688923</v>
      </c>
      <c r="BZ6" s="84" t="s">
        <v>111</v>
      </c>
      <c r="CA6" s="61">
        <f>CA4-CA5</f>
        <v>-419883.99000000954</v>
      </c>
      <c r="CB6" s="62">
        <f>CB4-CB5</f>
        <v>2207950.6700000009</v>
      </c>
      <c r="CD6" s="313">
        <v>3</v>
      </c>
      <c r="CE6" s="311">
        <v>470</v>
      </c>
      <c r="CF6" s="311">
        <v>440</v>
      </c>
      <c r="CG6" s="312">
        <v>380</v>
      </c>
    </row>
    <row r="7" spans="1:85" x14ac:dyDescent="0.35">
      <c r="A7" s="43" t="s">
        <v>27</v>
      </c>
      <c r="B7" s="46"/>
      <c r="C7" s="46"/>
      <c r="D7" s="46"/>
      <c r="E7" s="46"/>
      <c r="F7" s="46"/>
      <c r="G7" s="46">
        <v>1618809.72</v>
      </c>
      <c r="H7" s="46">
        <v>745859.74</v>
      </c>
      <c r="I7" s="46">
        <v>128603.29000000001</v>
      </c>
      <c r="J7" s="46">
        <v>116147.04</v>
      </c>
      <c r="K7" s="46">
        <v>6802.12</v>
      </c>
      <c r="L7" s="46">
        <v>5156.1399999999994</v>
      </c>
      <c r="M7" s="46">
        <v>2707.78</v>
      </c>
      <c r="N7" s="46">
        <v>2597.96</v>
      </c>
      <c r="O7" s="46">
        <v>2524.41</v>
      </c>
      <c r="P7" s="46">
        <v>230.68</v>
      </c>
      <c r="Q7" s="46">
        <v>449.05</v>
      </c>
      <c r="R7" s="46">
        <v>1590.6199999999997</v>
      </c>
      <c r="S7" s="46">
        <v>4489.68</v>
      </c>
      <c r="T7" s="46">
        <v>0</v>
      </c>
      <c r="U7" s="46">
        <v>415.37</v>
      </c>
      <c r="V7" s="46">
        <v>0</v>
      </c>
      <c r="W7" s="46">
        <v>0</v>
      </c>
      <c r="X7" s="46">
        <v>0</v>
      </c>
      <c r="Y7" s="46">
        <v>0</v>
      </c>
      <c r="Z7" s="46">
        <v>0</v>
      </c>
      <c r="AA7" s="46">
        <v>0</v>
      </c>
      <c r="AB7" s="57">
        <v>0</v>
      </c>
      <c r="AD7" s="65" t="s">
        <v>115</v>
      </c>
      <c r="AE7" s="61">
        <f>SUM(B2:M13)</f>
        <v>29373796.209999997</v>
      </c>
      <c r="AF7" s="22"/>
      <c r="AG7" s="47"/>
      <c r="AH7" s="88"/>
      <c r="AI7" s="73" t="s">
        <v>26</v>
      </c>
      <c r="AJ7" s="46">
        <f t="shared" si="1"/>
        <v>3127232.390000002</v>
      </c>
      <c r="AK7" s="46">
        <f>SUM($F6:F6)</f>
        <v>1444299.25</v>
      </c>
      <c r="AL7" s="46">
        <f>SUM($F6:G6)</f>
        <v>2501139.4300000016</v>
      </c>
      <c r="AM7" s="46">
        <f>SUM($F6:H6)</f>
        <v>3013404.5600000019</v>
      </c>
      <c r="AN7" s="46">
        <f>SUM($F6:I6)</f>
        <v>3059114.700000002</v>
      </c>
      <c r="AO7" s="46">
        <f>SUM($F6:J6)</f>
        <v>3082370.4600000018</v>
      </c>
      <c r="AP7" s="46">
        <f>SUM($F6:K6)</f>
        <v>3100036.2500000019</v>
      </c>
      <c r="AQ7" s="46">
        <f>SUM($F6:L6)</f>
        <v>3103696.2500000019</v>
      </c>
      <c r="AR7" s="46">
        <f>SUM($F6:M6)</f>
        <v>3110232.0400000019</v>
      </c>
      <c r="AS7" s="46">
        <f>SUM($F6:N6)</f>
        <v>3113002.410000002</v>
      </c>
      <c r="AT7" s="46">
        <f>SUM($F6:O6)</f>
        <v>3113562.910000002</v>
      </c>
      <c r="AU7" s="46">
        <f>SUM($F6:P6)</f>
        <v>3114162.7900000019</v>
      </c>
      <c r="AV7" s="46">
        <f>SUM($F6:Q6)</f>
        <v>3118355.9900000021</v>
      </c>
      <c r="AW7" s="46">
        <f>SUM($F6:R6)</f>
        <v>3120384.3200000022</v>
      </c>
      <c r="AX7" s="46">
        <f>SUM($F6:S6)</f>
        <v>3127156.390000002</v>
      </c>
      <c r="AY7" s="57">
        <f>SUM($F6:T6)</f>
        <v>3127232.390000002</v>
      </c>
      <c r="BA7" s="73" t="s">
        <v>26</v>
      </c>
      <c r="BB7" s="46">
        <f t="shared" si="2"/>
        <v>3127232.390000002</v>
      </c>
      <c r="BC7" s="76">
        <f t="shared" si="3"/>
        <v>0.46184583359345388</v>
      </c>
      <c r="BD7" s="76">
        <f t="shared" si="3"/>
        <v>0.79979327343817896</v>
      </c>
      <c r="BE7" s="76">
        <v>0.96360109649542225</v>
      </c>
      <c r="BF7" s="76">
        <v>0.97821789956582028</v>
      </c>
      <c r="BG7" s="76">
        <v>0.98565443036997957</v>
      </c>
      <c r="BH7" s="76">
        <v>0.99130344771083667</v>
      </c>
      <c r="BI7" s="76">
        <v>0.99247381164403958</v>
      </c>
      <c r="BJ7" s="76">
        <v>0.9945637714503206</v>
      </c>
      <c r="BK7" s="76">
        <v>0.99544965700486365</v>
      </c>
      <c r="BL7" s="76">
        <v>0.99562888896785828</v>
      </c>
      <c r="BM7" s="76">
        <v>0.99582071353513957</v>
      </c>
      <c r="BN7" s="76">
        <v>0.99716157966757313</v>
      </c>
      <c r="BO7" s="76">
        <v>0.99781018192894844</v>
      </c>
      <c r="BP7" s="76">
        <v>0.99997569736094993</v>
      </c>
      <c r="BQ7" s="77">
        <v>1</v>
      </c>
      <c r="BR7" s="89"/>
      <c r="BS7" s="73" t="s">
        <v>37</v>
      </c>
      <c r="BT7" s="46">
        <f t="shared" si="4"/>
        <v>2456518.1999999997</v>
      </c>
      <c r="BU7" s="79">
        <v>0.997936314815556</v>
      </c>
      <c r="BV7" s="46">
        <f t="shared" si="5"/>
        <v>2461598.1636604001</v>
      </c>
      <c r="BW7" s="62">
        <f t="shared" si="6"/>
        <v>5079.9636604003608</v>
      </c>
      <c r="BZ7" s="21"/>
      <c r="CA7" s="66"/>
      <c r="CB7" s="85"/>
      <c r="CD7" s="313">
        <v>4</v>
      </c>
      <c r="CE7" s="311">
        <v>460</v>
      </c>
      <c r="CF7" s="311">
        <v>420</v>
      </c>
      <c r="CG7" s="312">
        <v>340</v>
      </c>
    </row>
    <row r="8" spans="1:85" ht="15" thickBot="1" x14ac:dyDescent="0.4">
      <c r="A8" s="43" t="s">
        <v>28</v>
      </c>
      <c r="B8" s="46"/>
      <c r="C8" s="46"/>
      <c r="D8" s="46"/>
      <c r="E8" s="46"/>
      <c r="F8" s="46"/>
      <c r="G8" s="46"/>
      <c r="H8" s="46">
        <v>1708619.77</v>
      </c>
      <c r="I8" s="46">
        <v>697744.29</v>
      </c>
      <c r="J8" s="46">
        <v>182040.36999999988</v>
      </c>
      <c r="K8" s="46">
        <v>42142.959999999985</v>
      </c>
      <c r="L8" s="46">
        <v>12931.419999999998</v>
      </c>
      <c r="M8" s="46">
        <v>11598.81</v>
      </c>
      <c r="N8" s="46">
        <v>7191.1</v>
      </c>
      <c r="O8" s="46">
        <v>1071.0099999999998</v>
      </c>
      <c r="P8" s="46">
        <v>264.09000000000003</v>
      </c>
      <c r="Q8" s="46">
        <v>4869.51</v>
      </c>
      <c r="R8" s="46">
        <v>309.47000000000003</v>
      </c>
      <c r="S8" s="46">
        <v>341.92</v>
      </c>
      <c r="T8" s="46">
        <v>417.64</v>
      </c>
      <c r="U8" s="46">
        <v>2063.79</v>
      </c>
      <c r="V8" s="46">
        <v>608.88</v>
      </c>
      <c r="W8" s="46">
        <v>0</v>
      </c>
      <c r="X8" s="46">
        <v>0</v>
      </c>
      <c r="Y8" s="46">
        <v>0</v>
      </c>
      <c r="Z8" s="46">
        <v>0</v>
      </c>
      <c r="AA8" s="46">
        <v>0</v>
      </c>
      <c r="AB8" s="57">
        <v>0</v>
      </c>
      <c r="AD8" s="65" t="s">
        <v>120</v>
      </c>
      <c r="AE8" s="61">
        <f>SUM(N2:AB13)</f>
        <v>1533458.28</v>
      </c>
      <c r="AF8" s="22"/>
      <c r="AG8" s="47"/>
      <c r="AH8" s="88"/>
      <c r="AI8" s="73" t="s">
        <v>27</v>
      </c>
      <c r="AJ8" s="46">
        <f t="shared" si="1"/>
        <v>2636383.6000000006</v>
      </c>
      <c r="AK8" s="46">
        <f>SUM($G7:G7)</f>
        <v>1618809.72</v>
      </c>
      <c r="AL8" s="46">
        <f>SUM($G7:H7)</f>
        <v>2364669.46</v>
      </c>
      <c r="AM8" s="46">
        <f>SUM($G7:I7)</f>
        <v>2493272.75</v>
      </c>
      <c r="AN8" s="46">
        <f>SUM($G7:J7)</f>
        <v>2609419.79</v>
      </c>
      <c r="AO8" s="46">
        <f>SUM($G7:K7)</f>
        <v>2616221.91</v>
      </c>
      <c r="AP8" s="46">
        <f>SUM($G7:L7)</f>
        <v>2621378.0500000003</v>
      </c>
      <c r="AQ8" s="46">
        <f>SUM($G7:M7)</f>
        <v>2624085.83</v>
      </c>
      <c r="AR8" s="46">
        <f>SUM($G7:N7)</f>
        <v>2626683.79</v>
      </c>
      <c r="AS8" s="46">
        <f>SUM($G7:O7)</f>
        <v>2629208.2000000002</v>
      </c>
      <c r="AT8" s="46">
        <f>SUM($G7:P7)</f>
        <v>2629438.8800000004</v>
      </c>
      <c r="AU8" s="46">
        <f>SUM($G7:Q7)</f>
        <v>2629887.9300000002</v>
      </c>
      <c r="AV8" s="46">
        <f>SUM($G7:R7)</f>
        <v>2631478.5500000003</v>
      </c>
      <c r="AW8" s="46">
        <f>SUM($G7:S7)</f>
        <v>2635968.2300000004</v>
      </c>
      <c r="AX8" s="46">
        <f>SUM($G7:T7)</f>
        <v>2635968.2300000004</v>
      </c>
      <c r="AY8" s="57">
        <f>SUM($G7:U7)</f>
        <v>2636383.6000000006</v>
      </c>
      <c r="BA8" s="73" t="s">
        <v>27</v>
      </c>
      <c r="BB8" s="46">
        <f t="shared" si="2"/>
        <v>2636383.6000000006</v>
      </c>
      <c r="BC8" s="76">
        <f t="shared" si="3"/>
        <v>0.61402662343977543</v>
      </c>
      <c r="BD8" s="76">
        <f t="shared" si="3"/>
        <v>0.89693679629929401</v>
      </c>
      <c r="BE8" s="76">
        <v>0.94571698519138092</v>
      </c>
      <c r="BF8" s="76">
        <v>0.98977242537846144</v>
      </c>
      <c r="BG8" s="76">
        <v>0.99235252032367349</v>
      </c>
      <c r="BH8" s="76">
        <v>0.99430828275521044</v>
      </c>
      <c r="BI8" s="76">
        <v>0.99533536394324384</v>
      </c>
      <c r="BJ8" s="76">
        <v>0.99632078958464143</v>
      </c>
      <c r="BK8" s="76">
        <v>0.99727831716143267</v>
      </c>
      <c r="BL8" s="76">
        <v>0.99736581580920158</v>
      </c>
      <c r="BM8" s="76">
        <v>0.99753614382975209</v>
      </c>
      <c r="BN8" s="76">
        <v>0.99813947788174673</v>
      </c>
      <c r="BO8" s="76">
        <v>0.99984244705512504</v>
      </c>
      <c r="BP8" s="76">
        <v>0.99984244705512504</v>
      </c>
      <c r="BQ8" s="77">
        <v>1</v>
      </c>
      <c r="BR8" s="89"/>
      <c r="BS8" s="73" t="s">
        <v>38</v>
      </c>
      <c r="BT8" s="46">
        <f t="shared" si="4"/>
        <v>2479960.0300000031</v>
      </c>
      <c r="BU8" s="79">
        <v>0.99698246466929641</v>
      </c>
      <c r="BV8" s="46">
        <f t="shared" si="5"/>
        <v>2487466.046679785</v>
      </c>
      <c r="BW8" s="62">
        <f t="shared" si="6"/>
        <v>7506.0166797819547</v>
      </c>
      <c r="BZ8" s="314" t="s">
        <v>121</v>
      </c>
      <c r="CA8" s="31"/>
      <c r="CB8" s="69">
        <f>CA6+CB6</f>
        <v>1788066.6799999913</v>
      </c>
      <c r="CC8" s="10"/>
      <c r="CD8" s="313">
        <v>5</v>
      </c>
      <c r="CE8" s="311">
        <v>450</v>
      </c>
      <c r="CF8" s="311">
        <v>400</v>
      </c>
      <c r="CG8" s="312">
        <v>300</v>
      </c>
    </row>
    <row r="9" spans="1:85" ht="16" thickTop="1" x14ac:dyDescent="0.35">
      <c r="A9" s="43" t="s">
        <v>29</v>
      </c>
      <c r="B9" s="46"/>
      <c r="C9" s="46"/>
      <c r="D9" s="46"/>
      <c r="E9" s="46"/>
      <c r="F9" s="46"/>
      <c r="G9" s="46"/>
      <c r="H9" s="46"/>
      <c r="I9" s="46">
        <v>1526182.22</v>
      </c>
      <c r="J9" s="46">
        <v>795485.08</v>
      </c>
      <c r="K9" s="46">
        <v>128414.09000000007</v>
      </c>
      <c r="L9" s="46">
        <v>37354.79</v>
      </c>
      <c r="M9" s="46">
        <v>23402.07</v>
      </c>
      <c r="N9" s="46">
        <v>3496.5099999999998</v>
      </c>
      <c r="O9" s="46">
        <v>5275.0699999999988</v>
      </c>
      <c r="P9" s="46">
        <v>1914.31</v>
      </c>
      <c r="Q9" s="46">
        <v>1102.32</v>
      </c>
      <c r="R9" s="46">
        <v>3012.77</v>
      </c>
      <c r="S9" s="46">
        <v>283.76</v>
      </c>
      <c r="T9" s="46">
        <v>315.11</v>
      </c>
      <c r="U9" s="46">
        <v>589.76</v>
      </c>
      <c r="V9" s="46">
        <v>851.2</v>
      </c>
      <c r="W9" s="46">
        <v>1255.73</v>
      </c>
      <c r="X9" s="46">
        <v>0</v>
      </c>
      <c r="Y9" s="46">
        <v>0</v>
      </c>
      <c r="Z9" s="46">
        <v>0</v>
      </c>
      <c r="AA9" s="46">
        <v>0</v>
      </c>
      <c r="AB9" s="57">
        <v>0</v>
      </c>
      <c r="AD9" s="21" t="s">
        <v>124</v>
      </c>
      <c r="AE9" s="66">
        <f>AE8/AE4</f>
        <v>3.9809404984423674E-2</v>
      </c>
      <c r="AF9" s="22"/>
      <c r="AG9" s="47"/>
      <c r="AH9" s="88"/>
      <c r="AI9" s="73" t="s">
        <v>28</v>
      </c>
      <c r="AJ9" s="46">
        <f t="shared" si="1"/>
        <v>2672215.0299999993</v>
      </c>
      <c r="AK9" s="46">
        <f>SUM($H8:H8)</f>
        <v>1708619.77</v>
      </c>
      <c r="AL9" s="46">
        <f>SUM($H8:I8)</f>
        <v>2406364.06</v>
      </c>
      <c r="AM9" s="46">
        <f>SUM($H8:J8)</f>
        <v>2588404.4299999997</v>
      </c>
      <c r="AN9" s="46">
        <f>SUM($H8:K8)</f>
        <v>2630547.3899999997</v>
      </c>
      <c r="AO9" s="46">
        <f>SUM($H8:L8)</f>
        <v>2643478.8099999996</v>
      </c>
      <c r="AP9" s="46">
        <f>SUM($H8:M8)</f>
        <v>2655077.6199999996</v>
      </c>
      <c r="AQ9" s="46">
        <f>SUM($H8:N8)</f>
        <v>2662268.7199999997</v>
      </c>
      <c r="AR9" s="46">
        <f>SUM($H8:O8)</f>
        <v>2663339.7299999995</v>
      </c>
      <c r="AS9" s="46">
        <f>SUM($H8:P8)</f>
        <v>2663603.8199999994</v>
      </c>
      <c r="AT9" s="46">
        <f>SUM($H8:Q8)</f>
        <v>2668473.3299999991</v>
      </c>
      <c r="AU9" s="46">
        <f>SUM($H8:R8)</f>
        <v>2668782.7999999993</v>
      </c>
      <c r="AV9" s="46">
        <f>SUM($H8:S8)</f>
        <v>2669124.7199999993</v>
      </c>
      <c r="AW9" s="46">
        <f>SUM($H8:T8)</f>
        <v>2669542.3599999994</v>
      </c>
      <c r="AX9" s="46">
        <f>SUM($H8:U8)</f>
        <v>2671606.1499999994</v>
      </c>
      <c r="AY9" s="57">
        <f>SUM($H8:V8)</f>
        <v>2672215.0299999993</v>
      </c>
      <c r="BA9" s="73" t="s">
        <v>28</v>
      </c>
      <c r="BB9" s="46">
        <f t="shared" si="2"/>
        <v>2672215.0299999993</v>
      </c>
      <c r="BC9" s="76">
        <f t="shared" si="3"/>
        <v>0.63940205066506206</v>
      </c>
      <c r="BD9" s="76">
        <f t="shared" si="3"/>
        <v>0.90051288275255326</v>
      </c>
      <c r="BE9" s="76">
        <v>0.96863628148966752</v>
      </c>
      <c r="BF9" s="76">
        <v>0.98440707819834405</v>
      </c>
      <c r="BG9" s="76">
        <v>0.98924629205457326</v>
      </c>
      <c r="BH9" s="76">
        <v>0.99358681475569732</v>
      </c>
      <c r="BI9" s="76">
        <v>0.99627787813168633</v>
      </c>
      <c r="BJ9" s="76">
        <v>0.99667867297340973</v>
      </c>
      <c r="BK9" s="76">
        <v>0.99677750109803098</v>
      </c>
      <c r="BL9" s="76">
        <v>0.99859977585710979</v>
      </c>
      <c r="BM9" s="76">
        <v>0.99871558614802047</v>
      </c>
      <c r="BN9" s="76">
        <v>0.99884353992275832</v>
      </c>
      <c r="BO9" s="76">
        <v>0.99899982974049817</v>
      </c>
      <c r="BP9" s="76">
        <v>0.99977214408527604</v>
      </c>
      <c r="BQ9" s="77">
        <v>1</v>
      </c>
      <c r="BR9" s="89"/>
      <c r="BS9" s="73" t="s">
        <v>39</v>
      </c>
      <c r="BT9" s="46">
        <f t="shared" si="4"/>
        <v>2791606.8800000041</v>
      </c>
      <c r="BU9" s="79">
        <v>0.99645111386911545</v>
      </c>
      <c r="BV9" s="46">
        <f t="shared" si="5"/>
        <v>2801549.259311364</v>
      </c>
      <c r="BW9" s="62">
        <f t="shared" si="6"/>
        <v>9942.3793113599531</v>
      </c>
      <c r="BZ9" s="157" t="s">
        <v>217</v>
      </c>
      <c r="CA9" s="18"/>
      <c r="CB9" s="18"/>
      <c r="CC9" s="12"/>
      <c r="CD9" s="313">
        <v>6</v>
      </c>
      <c r="CE9" s="311">
        <v>440</v>
      </c>
      <c r="CF9" s="311">
        <v>380</v>
      </c>
      <c r="CG9" s="312">
        <v>260</v>
      </c>
    </row>
    <row r="10" spans="1:85" ht="16" thickBot="1" x14ac:dyDescent="0.4">
      <c r="A10" s="43" t="s">
        <v>30</v>
      </c>
      <c r="B10" s="46"/>
      <c r="C10" s="46"/>
      <c r="D10" s="46"/>
      <c r="E10" s="46"/>
      <c r="F10" s="46"/>
      <c r="G10" s="46"/>
      <c r="H10" s="46"/>
      <c r="I10" s="46"/>
      <c r="J10" s="46">
        <v>1494525.57</v>
      </c>
      <c r="K10" s="46">
        <v>741677.27</v>
      </c>
      <c r="L10" s="46">
        <v>127667.23000000007</v>
      </c>
      <c r="M10" s="46">
        <v>53859.65</v>
      </c>
      <c r="N10" s="46">
        <v>5728.1599999999989</v>
      </c>
      <c r="O10" s="46">
        <v>28247.739999999998</v>
      </c>
      <c r="P10" s="46">
        <v>2389.5700000000002</v>
      </c>
      <c r="Q10" s="46">
        <v>2051.4900000000002</v>
      </c>
      <c r="R10" s="46">
        <v>1260.7399999999998</v>
      </c>
      <c r="S10" s="46">
        <v>723.5999999999998</v>
      </c>
      <c r="T10" s="46">
        <v>481.58</v>
      </c>
      <c r="U10" s="46">
        <v>1108.05</v>
      </c>
      <c r="V10" s="46">
        <v>819.29</v>
      </c>
      <c r="W10" s="46">
        <v>253.73</v>
      </c>
      <c r="X10" s="46">
        <v>264.94</v>
      </c>
      <c r="Y10" s="46">
        <v>0</v>
      </c>
      <c r="Z10" s="46">
        <v>0</v>
      </c>
      <c r="AA10" s="46">
        <v>0</v>
      </c>
      <c r="AB10" s="57">
        <v>0</v>
      </c>
      <c r="AD10" s="43" t="s">
        <v>127</v>
      </c>
      <c r="AE10" s="31"/>
      <c r="AF10" s="67">
        <f>AF4*AE9</f>
        <v>1655695.446568972</v>
      </c>
      <c r="AG10" s="68"/>
      <c r="AH10" s="88"/>
      <c r="AI10" s="73" t="s">
        <v>29</v>
      </c>
      <c r="AJ10" s="46">
        <f t="shared" si="1"/>
        <v>2528934.7899999986</v>
      </c>
      <c r="AK10" s="46">
        <f>SUM($I9:I9)</f>
        <v>1526182.22</v>
      </c>
      <c r="AL10" s="46">
        <f>SUM($I9:J9)</f>
        <v>2321667.2999999998</v>
      </c>
      <c r="AM10" s="46">
        <f>SUM($I9:K9)</f>
        <v>2450081.3899999997</v>
      </c>
      <c r="AN10" s="46">
        <f>SUM($I9:L9)</f>
        <v>2487436.1799999997</v>
      </c>
      <c r="AO10" s="46">
        <f>SUM($I9:M9)</f>
        <v>2510838.2499999995</v>
      </c>
      <c r="AP10" s="46">
        <f>SUM($I9:N9)</f>
        <v>2514334.7599999993</v>
      </c>
      <c r="AQ10" s="46">
        <f>SUM($I9:O9)</f>
        <v>2519609.8299999991</v>
      </c>
      <c r="AR10" s="46">
        <f>SUM($I9:P9)</f>
        <v>2521524.1399999992</v>
      </c>
      <c r="AS10" s="46">
        <f>SUM($I9:Q9)</f>
        <v>2522626.459999999</v>
      </c>
      <c r="AT10" s="46">
        <f>SUM($I9:R9)</f>
        <v>2525639.2299999991</v>
      </c>
      <c r="AU10" s="46">
        <f>SUM($I9:S9)</f>
        <v>2525922.9899999988</v>
      </c>
      <c r="AV10" s="46">
        <f>SUM($I9:T9)</f>
        <v>2526238.0999999987</v>
      </c>
      <c r="AW10" s="46">
        <f>SUM($I9:U9)</f>
        <v>2526827.8599999985</v>
      </c>
      <c r="AX10" s="46">
        <f>SUM($I9:V9)</f>
        <v>2527679.0599999987</v>
      </c>
      <c r="AY10" s="57">
        <f>SUM($I9:W9)</f>
        <v>2528934.7899999986</v>
      </c>
      <c r="BA10" s="73" t="s">
        <v>29</v>
      </c>
      <c r="BB10" s="46">
        <f t="shared" si="2"/>
        <v>2528934.7899999986</v>
      </c>
      <c r="BC10" s="76">
        <f t="shared" si="3"/>
        <v>0.60348816665217409</v>
      </c>
      <c r="BD10" s="76">
        <f t="shared" si="3"/>
        <v>0.91804158382431089</v>
      </c>
      <c r="BE10" s="76">
        <v>0.96881952025342688</v>
      </c>
      <c r="BF10" s="76">
        <v>0.98359047842431757</v>
      </c>
      <c r="BG10" s="76">
        <v>0.99284420457516065</v>
      </c>
      <c r="BH10" s="76">
        <v>0.99422680645711736</v>
      </c>
      <c r="BI10" s="76">
        <v>0.99631269258627286</v>
      </c>
      <c r="BJ10" s="76">
        <v>0.99706965556039528</v>
      </c>
      <c r="BK10" s="76">
        <v>0.9975055386857169</v>
      </c>
      <c r="BL10" s="76">
        <v>0.99869685845082645</v>
      </c>
      <c r="BM10" s="76">
        <v>0.99880906379559131</v>
      </c>
      <c r="BN10" s="76">
        <v>0.99893366566403241</v>
      </c>
      <c r="BO10" s="76">
        <v>0.99916687057003939</v>
      </c>
      <c r="BP10" s="76">
        <v>0.99950345497046211</v>
      </c>
      <c r="BQ10" s="77">
        <v>1</v>
      </c>
      <c r="BR10" s="89"/>
      <c r="BS10" s="73" t="s">
        <v>40</v>
      </c>
      <c r="BT10" s="46">
        <f t="shared" si="4"/>
        <v>2567084.7000000011</v>
      </c>
      <c r="BU10" s="79">
        <v>0.99578636122161013</v>
      </c>
      <c r="BV10" s="46">
        <f t="shared" si="5"/>
        <v>2577947.2384525882</v>
      </c>
      <c r="BW10" s="62">
        <f t="shared" si="6"/>
        <v>10862.53845258709</v>
      </c>
      <c r="BZ10" s="315" t="s">
        <v>130</v>
      </c>
      <c r="CA10" s="22"/>
      <c r="CB10" s="22"/>
      <c r="CC10" s="3"/>
      <c r="CD10" s="316">
        <v>7</v>
      </c>
      <c r="CE10" s="317">
        <v>430</v>
      </c>
      <c r="CF10" s="317">
        <v>360</v>
      </c>
      <c r="CG10" s="318">
        <v>220</v>
      </c>
    </row>
    <row r="11" spans="1:85" ht="16" thickTop="1" x14ac:dyDescent="0.35">
      <c r="A11" s="43" t="s">
        <v>31</v>
      </c>
      <c r="B11" s="46"/>
      <c r="C11" s="46"/>
      <c r="D11" s="46"/>
      <c r="E11" s="46"/>
      <c r="F11" s="46"/>
      <c r="G11" s="46"/>
      <c r="H11" s="46"/>
      <c r="I11" s="46"/>
      <c r="J11" s="46"/>
      <c r="K11" s="46">
        <v>1400638.01</v>
      </c>
      <c r="L11" s="46">
        <v>549885.93000000005</v>
      </c>
      <c r="M11" s="46">
        <v>79158.369999999981</v>
      </c>
      <c r="N11" s="46">
        <v>52761.080000000009</v>
      </c>
      <c r="O11" s="46">
        <v>35442.999999999985</v>
      </c>
      <c r="P11" s="46">
        <v>2944.4599999999996</v>
      </c>
      <c r="Q11" s="46">
        <v>1850.49</v>
      </c>
      <c r="R11" s="46">
        <v>2043.02</v>
      </c>
      <c r="S11" s="46">
        <v>3230.68</v>
      </c>
      <c r="T11" s="46">
        <v>2636.7400000000002</v>
      </c>
      <c r="U11" s="46">
        <v>2113.2800000000002</v>
      </c>
      <c r="V11" s="46">
        <v>8223.5</v>
      </c>
      <c r="W11" s="46">
        <v>130</v>
      </c>
      <c r="X11" s="46">
        <v>193</v>
      </c>
      <c r="Y11" s="46">
        <v>2011.2399999999998</v>
      </c>
      <c r="Z11" s="46">
        <v>0</v>
      </c>
      <c r="AA11" s="46">
        <v>0</v>
      </c>
      <c r="AB11" s="57">
        <v>0</v>
      </c>
      <c r="AD11" s="21"/>
      <c r="AE11" s="22"/>
      <c r="AF11" s="22"/>
      <c r="AG11" s="47"/>
      <c r="AH11" s="88"/>
      <c r="AI11" s="73" t="s">
        <v>30</v>
      </c>
      <c r="AJ11" s="46">
        <f t="shared" si="1"/>
        <v>2461058.6100000003</v>
      </c>
      <c r="AK11" s="46">
        <f>SUM($J10:J10)</f>
        <v>1494525.57</v>
      </c>
      <c r="AL11" s="46">
        <f>SUM($J10:K10)</f>
        <v>2236202.84</v>
      </c>
      <c r="AM11" s="46">
        <f>SUM($J10:L10)</f>
        <v>2363870.0699999998</v>
      </c>
      <c r="AN11" s="46">
        <f>SUM($J10:M10)</f>
        <v>2417729.7199999997</v>
      </c>
      <c r="AO11" s="46">
        <f>SUM($J10:N10)</f>
        <v>2423457.88</v>
      </c>
      <c r="AP11" s="46">
        <f>SUM($J10:O10)</f>
        <v>2451705.62</v>
      </c>
      <c r="AQ11" s="46">
        <f>SUM($J10:P10)</f>
        <v>2454095.19</v>
      </c>
      <c r="AR11" s="46">
        <f>SUM($J10:Q10)</f>
        <v>2456146.6800000002</v>
      </c>
      <c r="AS11" s="46">
        <f>SUM($J10:R10)</f>
        <v>2457407.4200000004</v>
      </c>
      <c r="AT11" s="46">
        <f>SUM($J10:S10)</f>
        <v>2458131.0200000005</v>
      </c>
      <c r="AU11" s="46">
        <f>SUM($J10:T10)</f>
        <v>2458612.6000000006</v>
      </c>
      <c r="AV11" s="46">
        <f>SUM($J10:U10)</f>
        <v>2459720.6500000004</v>
      </c>
      <c r="AW11" s="46">
        <f>SUM($J10:V10)</f>
        <v>2460539.9400000004</v>
      </c>
      <c r="AX11" s="46">
        <f>SUM($J10:W10)</f>
        <v>2460793.6700000004</v>
      </c>
      <c r="AY11" s="57">
        <f>SUM($J10:X10)</f>
        <v>2461058.6100000003</v>
      </c>
      <c r="BA11" s="73" t="s">
        <v>30</v>
      </c>
      <c r="BB11" s="46">
        <f t="shared" si="2"/>
        <v>2461058.6100000003</v>
      </c>
      <c r="BC11" s="76">
        <f t="shared" si="3"/>
        <v>0.60726939371833966</v>
      </c>
      <c r="BD11" s="76">
        <f t="shared" si="3"/>
        <v>0.90863453268185257</v>
      </c>
      <c r="BE11" s="76">
        <v>0.96050945735095661</v>
      </c>
      <c r="BF11" s="76">
        <v>0.98239420636959129</v>
      </c>
      <c r="BG11" s="76">
        <v>0.98472172509536438</v>
      </c>
      <c r="BH11" s="76">
        <v>0.99619960696506926</v>
      </c>
      <c r="BI11" s="76">
        <v>0.99717055905466612</v>
      </c>
      <c r="BJ11" s="76">
        <v>0.9980041393650515</v>
      </c>
      <c r="BK11" s="76">
        <v>0.99851641485287501</v>
      </c>
      <c r="BL11" s="76">
        <v>0.99881043466900621</v>
      </c>
      <c r="BM11" s="76">
        <v>0.99900611468980827</v>
      </c>
      <c r="BN11" s="76">
        <v>0.99945634777060433</v>
      </c>
      <c r="BO11" s="76">
        <v>0.99978924922881052</v>
      </c>
      <c r="BP11" s="76">
        <v>0.99989234713918496</v>
      </c>
      <c r="BQ11" s="77">
        <v>1</v>
      </c>
      <c r="BR11" s="89"/>
      <c r="BS11" s="73" t="s">
        <v>41</v>
      </c>
      <c r="BT11" s="46">
        <f t="shared" si="4"/>
        <v>3241420.44</v>
      </c>
      <c r="BU11" s="79">
        <v>0.99493612745568472</v>
      </c>
      <c r="BV11" s="46">
        <f t="shared" si="5"/>
        <v>3257918.1221302827</v>
      </c>
      <c r="BW11" s="62">
        <f t="shared" si="6"/>
        <v>16497.682130282745</v>
      </c>
      <c r="BZ11" s="315" t="s">
        <v>240</v>
      </c>
      <c r="CA11" s="22"/>
      <c r="CB11" s="22"/>
      <c r="CD11" s="315" t="s">
        <v>218</v>
      </c>
    </row>
    <row r="12" spans="1:85" ht="15.5" x14ac:dyDescent="0.35">
      <c r="A12" s="43" t="s">
        <v>32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>
        <v>1450118.79</v>
      </c>
      <c r="M12" s="46">
        <v>904993.8</v>
      </c>
      <c r="N12" s="46">
        <v>110004.08000000002</v>
      </c>
      <c r="O12" s="46">
        <v>45281.669999999962</v>
      </c>
      <c r="P12" s="46">
        <v>12809.66</v>
      </c>
      <c r="Q12" s="46">
        <v>6493.77</v>
      </c>
      <c r="R12" s="46">
        <v>859.37</v>
      </c>
      <c r="S12" s="46">
        <v>3638.1899999999996</v>
      </c>
      <c r="T12" s="46">
        <v>1815.26</v>
      </c>
      <c r="U12" s="46">
        <v>1742.97</v>
      </c>
      <c r="V12" s="46">
        <v>234.96</v>
      </c>
      <c r="W12" s="46">
        <v>1458.27</v>
      </c>
      <c r="X12" s="46">
        <v>3847.3</v>
      </c>
      <c r="Y12" s="46">
        <v>14.43</v>
      </c>
      <c r="Z12" s="46">
        <v>0</v>
      </c>
      <c r="AA12" s="46">
        <v>0</v>
      </c>
      <c r="AB12" s="57">
        <v>0</v>
      </c>
      <c r="AD12" s="21" t="s">
        <v>133</v>
      </c>
      <c r="AE12" s="22"/>
      <c r="AF12" s="22"/>
      <c r="AG12" s="47"/>
      <c r="AH12" s="88"/>
      <c r="AI12" s="73" t="s">
        <v>31</v>
      </c>
      <c r="AJ12" s="46">
        <f t="shared" si="1"/>
        <v>2143262.8000000003</v>
      </c>
      <c r="AK12" s="46">
        <f>SUM($K11:K11)</f>
        <v>1400638.01</v>
      </c>
      <c r="AL12" s="46">
        <f>SUM($K11:L11)</f>
        <v>1950523.94</v>
      </c>
      <c r="AM12" s="46">
        <f>SUM($K11:M11)</f>
        <v>2029682.3099999998</v>
      </c>
      <c r="AN12" s="46">
        <f>SUM($K11:N11)</f>
        <v>2082443.39</v>
      </c>
      <c r="AO12" s="46">
        <f>SUM($K11:O11)</f>
        <v>2117886.3899999997</v>
      </c>
      <c r="AP12" s="46">
        <f>SUM($K11:P11)</f>
        <v>2120830.8499999996</v>
      </c>
      <c r="AQ12" s="46">
        <f>SUM($K11:Q11)</f>
        <v>2122681.34</v>
      </c>
      <c r="AR12" s="46">
        <f>SUM($K11:R11)</f>
        <v>2124724.36</v>
      </c>
      <c r="AS12" s="46">
        <f>SUM($K11:S11)</f>
        <v>2127955.04</v>
      </c>
      <c r="AT12" s="46">
        <f>SUM($K11:T11)</f>
        <v>2130591.7800000003</v>
      </c>
      <c r="AU12" s="46">
        <f>SUM($K11:U11)</f>
        <v>2132705.06</v>
      </c>
      <c r="AV12" s="46">
        <f>SUM($K11:V11)</f>
        <v>2140928.56</v>
      </c>
      <c r="AW12" s="46">
        <f>SUM($K11:W11)</f>
        <v>2141058.56</v>
      </c>
      <c r="AX12" s="46">
        <f>SUM($K11:X11)</f>
        <v>2141251.56</v>
      </c>
      <c r="AY12" s="57">
        <f>SUM($K11:Y11)</f>
        <v>2143262.8000000003</v>
      </c>
      <c r="BA12" s="73" t="s">
        <v>31</v>
      </c>
      <c r="BB12" s="46">
        <f t="shared" si="2"/>
        <v>2143262.8000000003</v>
      </c>
      <c r="BC12" s="76">
        <f t="shared" si="3"/>
        <v>0.65350735803374171</v>
      </c>
      <c r="BD12" s="76">
        <f t="shared" si="3"/>
        <v>0.91007222259444787</v>
      </c>
      <c r="BE12" s="76">
        <v>0.94700580348802754</v>
      </c>
      <c r="BF12" s="76">
        <v>0.97162298062561414</v>
      </c>
      <c r="BG12" s="76">
        <v>0.98815991674002801</v>
      </c>
      <c r="BH12" s="76">
        <v>0.98953373799983813</v>
      </c>
      <c r="BI12" s="76">
        <v>0.99039713655273609</v>
      </c>
      <c r="BJ12" s="76">
        <v>0.99135036543348753</v>
      </c>
      <c r="BK12" s="76">
        <v>0.99285773074585149</v>
      </c>
      <c r="BL12" s="76">
        <v>0.99408797651879177</v>
      </c>
      <c r="BM12" s="76">
        <v>0.99507398719373086</v>
      </c>
      <c r="BN12" s="76">
        <v>0.99891089417499324</v>
      </c>
      <c r="BO12" s="76">
        <v>0.99897154935922916</v>
      </c>
      <c r="BP12" s="76">
        <v>0.99906159897890257</v>
      </c>
      <c r="BQ12" s="77">
        <v>1</v>
      </c>
      <c r="BR12" s="89"/>
      <c r="BS12" s="73" t="s">
        <v>42</v>
      </c>
      <c r="BT12" s="46">
        <f t="shared" si="4"/>
        <v>2481387.3700000006</v>
      </c>
      <c r="BU12" s="79">
        <v>0.99383207867575774</v>
      </c>
      <c r="BV12" s="46">
        <f t="shared" si="5"/>
        <v>2496787.3579874299</v>
      </c>
      <c r="BW12" s="62">
        <f t="shared" si="6"/>
        <v>15399.987987429369</v>
      </c>
      <c r="CD12" s="353" t="s">
        <v>241</v>
      </c>
    </row>
    <row r="13" spans="1:85" x14ac:dyDescent="0.35">
      <c r="A13" s="43" t="s">
        <v>33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>
        <v>2017872.75</v>
      </c>
      <c r="N13" s="46">
        <v>739571.13</v>
      </c>
      <c r="O13" s="46">
        <v>220208.89999999994</v>
      </c>
      <c r="P13" s="46">
        <v>41358.769999999997</v>
      </c>
      <c r="Q13" s="46">
        <v>54150.760000000009</v>
      </c>
      <c r="R13" s="46">
        <v>4918.1899999999996</v>
      </c>
      <c r="S13" s="46">
        <v>4836.33</v>
      </c>
      <c r="T13" s="46">
        <v>2566.1799999999998</v>
      </c>
      <c r="U13" s="46">
        <v>909.58999999999992</v>
      </c>
      <c r="V13" s="46">
        <v>377.52</v>
      </c>
      <c r="W13" s="46">
        <v>1282.8700000000003</v>
      </c>
      <c r="X13" s="46">
        <v>626.85</v>
      </c>
      <c r="Y13" s="46">
        <v>14964.97</v>
      </c>
      <c r="Z13" s="46">
        <v>0</v>
      </c>
      <c r="AA13" s="46">
        <v>3360.49</v>
      </c>
      <c r="AB13" s="57">
        <v>0</v>
      </c>
      <c r="AD13" s="65" t="s">
        <v>134</v>
      </c>
      <c r="AE13" s="22"/>
      <c r="AF13" s="61">
        <f>SUM(N14:P16)</f>
        <v>6424797.3000000007</v>
      </c>
      <c r="AG13" s="47"/>
      <c r="AH13" s="88"/>
      <c r="AI13" s="73" t="s">
        <v>32</v>
      </c>
      <c r="AJ13" s="46">
        <f t="shared" si="1"/>
        <v>2543312.52</v>
      </c>
      <c r="AK13" s="46">
        <f>SUM($L12:L12)</f>
        <v>1450118.79</v>
      </c>
      <c r="AL13" s="46">
        <f>SUM($L12:M12)</f>
        <v>2355112.59</v>
      </c>
      <c r="AM13" s="46">
        <f>SUM($L12:N12)</f>
        <v>2465116.67</v>
      </c>
      <c r="AN13" s="46">
        <f>SUM($L12:O12)</f>
        <v>2510398.34</v>
      </c>
      <c r="AO13" s="46">
        <f>SUM($L12:P12)</f>
        <v>2523208</v>
      </c>
      <c r="AP13" s="46">
        <f>SUM($L12:Q12)</f>
        <v>2529701.77</v>
      </c>
      <c r="AQ13" s="46">
        <f>SUM($L12:R12)</f>
        <v>2530561.14</v>
      </c>
      <c r="AR13" s="46">
        <f>SUM($L12:S12)</f>
        <v>2534199.33</v>
      </c>
      <c r="AS13" s="46">
        <f>SUM($L12:T12)</f>
        <v>2536014.59</v>
      </c>
      <c r="AT13" s="46">
        <f>SUM($L12:U12)</f>
        <v>2537757.56</v>
      </c>
      <c r="AU13" s="46">
        <f>SUM($L12:V12)</f>
        <v>2537992.52</v>
      </c>
      <c r="AV13" s="46">
        <f>SUM($L12:W12)</f>
        <v>2539450.79</v>
      </c>
      <c r="AW13" s="46">
        <f>SUM($L12:X12)</f>
        <v>2543298.09</v>
      </c>
      <c r="AX13" s="46">
        <f>SUM($L12:Y12)</f>
        <v>2543312.52</v>
      </c>
      <c r="AY13" s="57">
        <f>SUM($L12:Z12)</f>
        <v>2543312.52</v>
      </c>
      <c r="BA13" s="73" t="s">
        <v>32</v>
      </c>
      <c r="BB13" s="46">
        <f t="shared" si="2"/>
        <v>2543312.52</v>
      </c>
      <c r="BC13" s="76">
        <f t="shared" si="3"/>
        <v>0.57016932783392271</v>
      </c>
      <c r="BD13" s="76">
        <f t="shared" si="3"/>
        <v>0.92600204319365353</v>
      </c>
      <c r="BE13" s="76">
        <v>0.96925432899610775</v>
      </c>
      <c r="BF13" s="76">
        <v>0.98705853891679807</v>
      </c>
      <c r="BG13" s="76">
        <v>0.99209514369865959</v>
      </c>
      <c r="BH13" s="76">
        <v>0.99464841623160016</v>
      </c>
      <c r="BI13" s="76">
        <v>0.99498631021562389</v>
      </c>
      <c r="BJ13" s="76">
        <v>0.9964168029181093</v>
      </c>
      <c r="BK13" s="76">
        <v>0.99713054139331636</v>
      </c>
      <c r="BL13" s="76">
        <v>0.99781585630695513</v>
      </c>
      <c r="BM13" s="76">
        <v>0.99790823976284282</v>
      </c>
      <c r="BN13" s="76">
        <v>0.99848161404875246</v>
      </c>
      <c r="BO13" s="76">
        <v>0.99999432629695062</v>
      </c>
      <c r="BP13" s="76">
        <v>1</v>
      </c>
      <c r="BQ13" s="77">
        <v>1</v>
      </c>
      <c r="BR13" s="89"/>
      <c r="BS13" s="73" t="s">
        <v>43</v>
      </c>
      <c r="BT13" s="46">
        <f t="shared" si="4"/>
        <v>2421387.1799999997</v>
      </c>
      <c r="BU13" s="79">
        <v>0.99161392992271991</v>
      </c>
      <c r="BV13" s="46">
        <f t="shared" si="5"/>
        <v>2441864.829580104</v>
      </c>
      <c r="BW13" s="62">
        <f t="shared" si="6"/>
        <v>20477.649580104277</v>
      </c>
    </row>
    <row r="14" spans="1:85" x14ac:dyDescent="0.35">
      <c r="A14" s="43" t="s">
        <v>34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>
        <v>1393552.02</v>
      </c>
      <c r="O14" s="46">
        <v>760751.97</v>
      </c>
      <c r="P14" s="46">
        <v>455889.99000000011</v>
      </c>
      <c r="Q14" s="46">
        <v>39617.469999999987</v>
      </c>
      <c r="R14" s="46">
        <v>50525.759999999995</v>
      </c>
      <c r="S14" s="46">
        <v>11048.56</v>
      </c>
      <c r="T14" s="46">
        <v>16020.300000000003</v>
      </c>
      <c r="U14" s="46">
        <v>4295.76</v>
      </c>
      <c r="V14" s="46">
        <v>1709.44</v>
      </c>
      <c r="W14" s="46">
        <v>4471.55</v>
      </c>
      <c r="X14" s="46">
        <v>5714.670000000001</v>
      </c>
      <c r="Y14" s="46">
        <v>5755.3</v>
      </c>
      <c r="Z14" s="46">
        <v>660.63</v>
      </c>
      <c r="AA14" s="46">
        <v>0</v>
      </c>
      <c r="AB14" s="57">
        <v>1919.15</v>
      </c>
      <c r="AD14" s="65" t="s">
        <v>135</v>
      </c>
      <c r="AE14" s="22"/>
      <c r="AF14" s="61">
        <f>SUM(Q14:AB16)</f>
        <v>1473434.5199999998</v>
      </c>
      <c r="AG14" s="47"/>
      <c r="AH14" s="88"/>
      <c r="AI14" s="73" t="s">
        <v>33</v>
      </c>
      <c r="AJ14" s="46">
        <f t="shared" si="1"/>
        <v>3107005.3000000003</v>
      </c>
      <c r="AK14" s="46">
        <f>SUM($M13:M13)</f>
        <v>2017872.75</v>
      </c>
      <c r="AL14" s="46">
        <f>SUM($M13:N13)</f>
        <v>2757443.88</v>
      </c>
      <c r="AM14" s="46">
        <f>SUM($M13:O13)</f>
        <v>2977652.78</v>
      </c>
      <c r="AN14" s="46">
        <f>SUM($M13:P13)</f>
        <v>3019011.55</v>
      </c>
      <c r="AO14" s="46">
        <f>SUM($M13:Q13)</f>
        <v>3073162.3099999996</v>
      </c>
      <c r="AP14" s="46">
        <f>SUM($M13:R13)</f>
        <v>3078080.4999999995</v>
      </c>
      <c r="AQ14" s="46">
        <f>SUM($M13:S13)</f>
        <v>3082916.8299999996</v>
      </c>
      <c r="AR14" s="46">
        <f>SUM($M13:T13)</f>
        <v>3085483.01</v>
      </c>
      <c r="AS14" s="46">
        <f>SUM($M13:U13)</f>
        <v>3086392.5999999996</v>
      </c>
      <c r="AT14" s="46">
        <f>SUM($M13:V13)</f>
        <v>3086770.1199999996</v>
      </c>
      <c r="AU14" s="46">
        <f>SUM($M13:W13)</f>
        <v>3088052.9899999998</v>
      </c>
      <c r="AV14" s="46">
        <f>SUM($M13:X13)</f>
        <v>3088679.84</v>
      </c>
      <c r="AW14" s="46">
        <f>SUM($M13:Y13)</f>
        <v>3103644.81</v>
      </c>
      <c r="AX14" s="46">
        <f>SUM($M13:Z13)</f>
        <v>3103644.81</v>
      </c>
      <c r="AY14" s="57">
        <f>SUM($M13:AA13)</f>
        <v>3107005.3000000003</v>
      </c>
      <c r="BA14" s="73" t="s">
        <v>33</v>
      </c>
      <c r="BB14" s="46">
        <f t="shared" si="2"/>
        <v>3107005.3000000003</v>
      </c>
      <c r="BC14" s="76">
        <f t="shared" si="3"/>
        <v>0.64945906271868925</v>
      </c>
      <c r="BD14" s="76">
        <f t="shared" si="3"/>
        <v>0.88749249317341028</v>
      </c>
      <c r="BE14" s="76">
        <v>0.95836746078289581</v>
      </c>
      <c r="BF14" s="76">
        <v>0.97167891860371125</v>
      </c>
      <c r="BG14" s="76">
        <v>0.98910752099457289</v>
      </c>
      <c r="BH14" s="76">
        <v>0.99069045682026979</v>
      </c>
      <c r="BI14" s="76">
        <v>0.99224704573242906</v>
      </c>
      <c r="BJ14" s="76">
        <v>0.99307297930904703</v>
      </c>
      <c r="BK14" s="76">
        <v>0.9933657338788574</v>
      </c>
      <c r="BL14" s="76">
        <v>0.9934872399477398</v>
      </c>
      <c r="BM14" s="76">
        <v>0.99390013592831639</v>
      </c>
      <c r="BN14" s="76">
        <v>0.99410188968779667</v>
      </c>
      <c r="BO14" s="76">
        <v>0.99891841510537482</v>
      </c>
      <c r="BP14" s="76">
        <v>0.99891841510537482</v>
      </c>
      <c r="BQ14" s="77">
        <v>1</v>
      </c>
      <c r="BR14" s="89"/>
      <c r="BS14" s="73" t="s">
        <v>44</v>
      </c>
      <c r="BT14" s="46">
        <f t="shared" si="4"/>
        <v>2389325.44</v>
      </c>
      <c r="BU14" s="79">
        <v>0.98824326404418228</v>
      </c>
      <c r="BV14" s="46">
        <f t="shared" si="5"/>
        <v>2417750.2917876486</v>
      </c>
      <c r="BW14" s="62">
        <f t="shared" si="6"/>
        <v>28424.851787648629</v>
      </c>
      <c r="BZ14" s="3"/>
    </row>
    <row r="15" spans="1:85" ht="16" thickBot="1" x14ac:dyDescent="0.4">
      <c r="A15" s="43" t="s">
        <v>35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>
        <v>1322516.3500000001</v>
      </c>
      <c r="P15" s="46">
        <v>756080.97</v>
      </c>
      <c r="Q15" s="46">
        <v>95516.679999999964</v>
      </c>
      <c r="R15" s="46">
        <v>33982.350000000006</v>
      </c>
      <c r="S15" s="46">
        <v>20124.010000000006</v>
      </c>
      <c r="T15" s="46">
        <v>5919.32</v>
      </c>
      <c r="U15" s="46">
        <v>5788.5</v>
      </c>
      <c r="V15" s="46">
        <v>5473.39</v>
      </c>
      <c r="W15" s="46">
        <v>10633.510000000002</v>
      </c>
      <c r="X15" s="46">
        <v>2417.79</v>
      </c>
      <c r="Y15" s="46">
        <v>15429.459999999997</v>
      </c>
      <c r="Z15" s="46">
        <v>553.20000000000005</v>
      </c>
      <c r="AA15" s="46">
        <v>1762.3799999999999</v>
      </c>
      <c r="AB15" s="57">
        <v>1220.25</v>
      </c>
      <c r="AD15" s="21" t="s">
        <v>124</v>
      </c>
      <c r="AE15" s="22"/>
      <c r="AF15" s="66">
        <f>AF14/AF4</f>
        <v>3.5427138273685176E-2</v>
      </c>
      <c r="AG15" s="47"/>
      <c r="AH15" s="88"/>
      <c r="AI15" s="33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5"/>
      <c r="BA15" s="78" t="s">
        <v>1</v>
      </c>
      <c r="BB15" s="22"/>
      <c r="BC15" s="79">
        <f>AVERAGE(BC3:BC14)</f>
        <v>0.58360517562119307</v>
      </c>
      <c r="BD15" s="79">
        <f t="shared" ref="BD15:BQ15" si="7">AVERAGE(BD3:BD14)</f>
        <v>0.87288453081385375</v>
      </c>
      <c r="BE15" s="79">
        <f t="shared" si="7"/>
        <v>0.94348721190626927</v>
      </c>
      <c r="BF15" s="79">
        <f t="shared" si="7"/>
        <v>0.98056302734459289</v>
      </c>
      <c r="BG15" s="79">
        <f t="shared" si="7"/>
        <v>0.98824326404418228</v>
      </c>
      <c r="BH15" s="79">
        <f t="shared" si="7"/>
        <v>0.99161392992271991</v>
      </c>
      <c r="BI15" s="79">
        <f t="shared" si="7"/>
        <v>0.99383207867575774</v>
      </c>
      <c r="BJ15" s="79">
        <f t="shared" si="7"/>
        <v>0.99493612745568472</v>
      </c>
      <c r="BK15" s="79">
        <f t="shared" si="7"/>
        <v>0.99578636122161013</v>
      </c>
      <c r="BL15" s="79">
        <f t="shared" si="7"/>
        <v>0.99645111386911545</v>
      </c>
      <c r="BM15" s="79">
        <f t="shared" si="7"/>
        <v>0.99698246466929641</v>
      </c>
      <c r="BN15" s="79">
        <f t="shared" si="7"/>
        <v>0.997936314815556</v>
      </c>
      <c r="BO15" s="79">
        <f t="shared" si="7"/>
        <v>0.99877086248213365</v>
      </c>
      <c r="BP15" s="79">
        <f t="shared" si="7"/>
        <v>0.99911025594210179</v>
      </c>
      <c r="BQ15" s="80">
        <f t="shared" si="7"/>
        <v>1</v>
      </c>
      <c r="BR15" s="89"/>
      <c r="BS15" s="73" t="s">
        <v>45</v>
      </c>
      <c r="BT15" s="46">
        <f t="shared" si="4"/>
        <v>2885881.9299999997</v>
      </c>
      <c r="BU15" s="79">
        <v>0.98056302734459289</v>
      </c>
      <c r="BV15" s="46">
        <f t="shared" si="5"/>
        <v>2943086.6242378042</v>
      </c>
      <c r="BW15" s="62">
        <f t="shared" si="6"/>
        <v>57204.694237804506</v>
      </c>
    </row>
    <row r="16" spans="1:85" ht="16" thickTop="1" x14ac:dyDescent="0.35">
      <c r="A16" s="43" t="s">
        <v>36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>
        <v>1736006</v>
      </c>
      <c r="Q16" s="46">
        <v>652312.78</v>
      </c>
      <c r="R16" s="46">
        <v>372920.05</v>
      </c>
      <c r="S16" s="46">
        <v>46422.680000000022</v>
      </c>
      <c r="T16" s="46">
        <v>15370.94</v>
      </c>
      <c r="U16" s="46">
        <v>2795.2200000000003</v>
      </c>
      <c r="V16" s="46">
        <v>6287.0500000000011</v>
      </c>
      <c r="W16" s="46">
        <v>8080.64</v>
      </c>
      <c r="X16" s="46">
        <v>3738.8500000000004</v>
      </c>
      <c r="Y16" s="46">
        <v>16498.899999999998</v>
      </c>
      <c r="Z16" s="46">
        <v>566.49</v>
      </c>
      <c r="AA16" s="46">
        <v>1268.8499999999999</v>
      </c>
      <c r="AB16" s="57">
        <v>6612.64</v>
      </c>
      <c r="AD16" s="43" t="s">
        <v>204</v>
      </c>
      <c r="AE16" s="22"/>
      <c r="AF16" s="22"/>
      <c r="AG16" s="68">
        <f>AG4*4*AF15</f>
        <v>1701847.7347228636</v>
      </c>
      <c r="AI16" s="161" t="s">
        <v>237</v>
      </c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BA16" s="161" t="s">
        <v>238</v>
      </c>
      <c r="BB16" s="18"/>
      <c r="BC16" s="319"/>
      <c r="BD16" s="319"/>
      <c r="BE16" s="319"/>
      <c r="BF16" s="319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89"/>
      <c r="BS16" s="73" t="s">
        <v>46</v>
      </c>
      <c r="BT16" s="46">
        <f t="shared" si="4"/>
        <v>2778713.2199999997</v>
      </c>
      <c r="BU16" s="79">
        <v>0.94348721190626927</v>
      </c>
      <c r="BV16" s="46">
        <f t="shared" si="5"/>
        <v>2945151.9691355932</v>
      </c>
      <c r="BW16" s="62">
        <f t="shared" si="6"/>
        <v>166438.74913559342</v>
      </c>
    </row>
    <row r="17" spans="1:81" x14ac:dyDescent="0.35">
      <c r="A17" s="43" t="s">
        <v>37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>
        <v>1406235.26</v>
      </c>
      <c r="R17" s="46">
        <v>777985.05999999994</v>
      </c>
      <c r="S17" s="46">
        <v>143399.14999999994</v>
      </c>
      <c r="T17" s="46">
        <v>30549.590000000007</v>
      </c>
      <c r="U17" s="46">
        <v>10671.789999999999</v>
      </c>
      <c r="V17" s="46">
        <v>68568.849999999991</v>
      </c>
      <c r="W17" s="46">
        <v>11579.019999999997</v>
      </c>
      <c r="X17" s="46">
        <v>3251.21</v>
      </c>
      <c r="Y17" s="46">
        <v>1768.52</v>
      </c>
      <c r="Z17" s="46">
        <v>819.92000000000019</v>
      </c>
      <c r="AA17" s="46">
        <v>958.36000000000013</v>
      </c>
      <c r="AB17" s="57">
        <v>731.47</v>
      </c>
      <c r="AD17" s="21"/>
      <c r="AE17" s="22"/>
      <c r="AF17" s="22"/>
      <c r="AG17" s="47"/>
      <c r="BR17" s="89"/>
      <c r="BS17" s="73" t="s">
        <v>47</v>
      </c>
      <c r="BT17" s="46">
        <f t="shared" si="4"/>
        <v>2197648.81</v>
      </c>
      <c r="BU17" s="79">
        <v>0.87288453081385375</v>
      </c>
      <c r="BV17" s="46">
        <f t="shared" si="5"/>
        <v>2517685.5957694338</v>
      </c>
      <c r="BW17" s="62">
        <f t="shared" si="6"/>
        <v>320036.78576943371</v>
      </c>
    </row>
    <row r="18" spans="1:81" ht="15" thickBot="1" x14ac:dyDescent="0.4">
      <c r="A18" s="43" t="s">
        <v>38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>
        <v>1315488.5300000026</v>
      </c>
      <c r="S18" s="46">
        <v>933538.88</v>
      </c>
      <c r="T18" s="46">
        <v>108693.60000000011</v>
      </c>
      <c r="U18" s="46">
        <v>71508.710000000006</v>
      </c>
      <c r="V18" s="46">
        <v>9012.1600000000017</v>
      </c>
      <c r="W18" s="46">
        <v>10210.470000000003</v>
      </c>
      <c r="X18" s="46">
        <v>9070.5999999999985</v>
      </c>
      <c r="Y18" s="46">
        <v>18692.98</v>
      </c>
      <c r="Z18" s="46">
        <v>432.95000000000005</v>
      </c>
      <c r="AA18" s="46">
        <v>1502.3399999999997</v>
      </c>
      <c r="AB18" s="57">
        <v>1808.8100000000002</v>
      </c>
      <c r="AD18" s="314" t="s">
        <v>205</v>
      </c>
      <c r="AE18" s="34"/>
      <c r="AF18" s="34"/>
      <c r="AG18" s="320">
        <f>AF10+AG16</f>
        <v>3357543.1812918354</v>
      </c>
      <c r="BR18" s="89"/>
      <c r="BS18" s="73" t="s">
        <v>48</v>
      </c>
      <c r="BT18" s="46">
        <f t="shared" si="4"/>
        <v>1822806.3</v>
      </c>
      <c r="BU18" s="79">
        <v>0.58360517562119307</v>
      </c>
      <c r="BV18" s="46">
        <f t="shared" si="5"/>
        <v>3123355.2684994498</v>
      </c>
      <c r="BW18" s="62">
        <f t="shared" si="6"/>
        <v>1300548.9684994498</v>
      </c>
      <c r="CC18" s="3"/>
    </row>
    <row r="19" spans="1:81" ht="16.5" thickTop="1" thickBot="1" x14ac:dyDescent="0.4">
      <c r="A19" s="43" t="s">
        <v>39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>
        <v>1675061.8800000041</v>
      </c>
      <c r="T19" s="46">
        <v>852248.9300000004</v>
      </c>
      <c r="U19" s="46">
        <v>152512.59999999998</v>
      </c>
      <c r="V19" s="46">
        <v>23390.520000000015</v>
      </c>
      <c r="W19" s="46">
        <v>29242.160000000007</v>
      </c>
      <c r="X19" s="46">
        <v>17824.259999999998</v>
      </c>
      <c r="Y19" s="46">
        <v>25533.78</v>
      </c>
      <c r="Z19" s="46">
        <v>2953.6099999999997</v>
      </c>
      <c r="AA19" s="46">
        <v>963.08</v>
      </c>
      <c r="AB19" s="57">
        <v>11876.060000000001</v>
      </c>
      <c r="AD19" s="161" t="s">
        <v>215</v>
      </c>
      <c r="AE19" s="18"/>
      <c r="AF19" s="18"/>
      <c r="AG19" s="18"/>
      <c r="BS19" s="81" t="s">
        <v>106</v>
      </c>
      <c r="BT19" s="40">
        <f>SUM(BT4:BT18)</f>
        <v>38411972.320000015</v>
      </c>
      <c r="BU19" s="31"/>
      <c r="BV19" s="40">
        <f>SUM(BV4:BV18)</f>
        <v>40375951.299979545</v>
      </c>
      <c r="BW19" s="69">
        <f>SUM(BW4:BW18)</f>
        <v>1963978.9799795419</v>
      </c>
    </row>
    <row r="20" spans="1:81" ht="16" thickTop="1" x14ac:dyDescent="0.35">
      <c r="A20" s="43" t="s">
        <v>40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>
        <v>1546740.74</v>
      </c>
      <c r="U20" s="46">
        <v>808836.64000000048</v>
      </c>
      <c r="V20" s="46">
        <v>90495.090000000011</v>
      </c>
      <c r="W20" s="46">
        <v>32412.390000000003</v>
      </c>
      <c r="X20" s="46">
        <v>15417.390000000001</v>
      </c>
      <c r="Y20" s="46">
        <v>25600.410000000007</v>
      </c>
      <c r="Z20" s="46">
        <v>8634.2400000000016</v>
      </c>
      <c r="AA20" s="46">
        <v>7226.369999999999</v>
      </c>
      <c r="AB20" s="57">
        <v>31721.429999999997</v>
      </c>
      <c r="AD20" s="354" t="s">
        <v>236</v>
      </c>
      <c r="AE20" s="22"/>
      <c r="AF20" s="22"/>
      <c r="AG20" s="22"/>
      <c r="BS20" s="161" t="s">
        <v>216</v>
      </c>
      <c r="BT20" s="18"/>
      <c r="BU20" s="18"/>
      <c r="BV20" s="18"/>
      <c r="BW20" s="18"/>
    </row>
    <row r="21" spans="1:81" ht="15.5" x14ac:dyDescent="0.35">
      <c r="A21" s="43" t="s">
        <v>41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>
        <v>1681226.44</v>
      </c>
      <c r="V21" s="46">
        <v>1152939.6799999997</v>
      </c>
      <c r="W21" s="46">
        <v>85264.41</v>
      </c>
      <c r="X21" s="46">
        <v>33305.71</v>
      </c>
      <c r="Y21" s="46">
        <v>20838.310000000012</v>
      </c>
      <c r="Z21" s="46">
        <v>27531.350000000002</v>
      </c>
      <c r="AA21" s="46">
        <v>236129.15</v>
      </c>
      <c r="AB21" s="57">
        <v>4185.3900000000003</v>
      </c>
      <c r="AD21" s="157"/>
      <c r="AE21" s="22"/>
      <c r="AF21" s="22"/>
      <c r="AG21" s="22"/>
      <c r="BS21" s="157" t="s">
        <v>130</v>
      </c>
      <c r="BT21" s="22"/>
      <c r="BU21" s="22"/>
      <c r="BV21" s="22"/>
      <c r="BW21" s="22"/>
    </row>
    <row r="22" spans="1:81" ht="15.5" x14ac:dyDescent="0.35">
      <c r="A22" s="43" t="s">
        <v>42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>
        <v>1324626.4400000006</v>
      </c>
      <c r="W22" s="46">
        <v>847573.68</v>
      </c>
      <c r="X22" s="46">
        <v>220515.06000000006</v>
      </c>
      <c r="Y22" s="46">
        <v>63729.089999999982</v>
      </c>
      <c r="Z22" s="46">
        <v>16928.670000000002</v>
      </c>
      <c r="AA22" s="46">
        <v>3364.3499999999995</v>
      </c>
      <c r="AB22" s="57">
        <v>4650.08</v>
      </c>
      <c r="AD22" s="157"/>
      <c r="AE22" s="22"/>
      <c r="AF22" s="22"/>
      <c r="AG22" s="22"/>
      <c r="BS22" s="353" t="s">
        <v>239</v>
      </c>
    </row>
    <row r="23" spans="1:81" x14ac:dyDescent="0.35">
      <c r="A23" s="43" t="s">
        <v>43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>
        <v>1534620.51</v>
      </c>
      <c r="X23" s="46">
        <v>718416.57</v>
      </c>
      <c r="Y23" s="46">
        <v>114044.14999999994</v>
      </c>
      <c r="Z23" s="46">
        <v>25548.110000000004</v>
      </c>
      <c r="AA23" s="46">
        <v>6455.9600000000019</v>
      </c>
      <c r="AB23" s="57">
        <v>22301.880000000008</v>
      </c>
    </row>
    <row r="24" spans="1:81" x14ac:dyDescent="0.35">
      <c r="A24" s="43" t="s">
        <v>44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>
        <v>1537937.88</v>
      </c>
      <c r="Y24" s="46">
        <v>734042.84</v>
      </c>
      <c r="Z24" s="46">
        <v>57363.29</v>
      </c>
      <c r="AA24" s="46">
        <v>29177.969999999998</v>
      </c>
      <c r="AB24" s="57">
        <v>30803.460000000006</v>
      </c>
    </row>
    <row r="25" spans="1:81" x14ac:dyDescent="0.35">
      <c r="A25" s="43" t="s">
        <v>45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>
        <v>1820652.0499999998</v>
      </c>
      <c r="Z25" s="46">
        <v>797939.92</v>
      </c>
      <c r="AA25" s="46">
        <v>233402.90999999992</v>
      </c>
      <c r="AB25" s="57">
        <v>33887.050000000003</v>
      </c>
    </row>
    <row r="26" spans="1:81" x14ac:dyDescent="0.35">
      <c r="A26" s="43" t="s">
        <v>46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>
        <v>1463229.62</v>
      </c>
      <c r="AA26" s="46">
        <v>814004.61</v>
      </c>
      <c r="AB26" s="57">
        <v>501478.99</v>
      </c>
    </row>
    <row r="27" spans="1:81" x14ac:dyDescent="0.35">
      <c r="A27" s="43" t="s">
        <v>47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>
        <v>1388642.17</v>
      </c>
      <c r="AB27" s="57">
        <v>809006.64</v>
      </c>
    </row>
    <row r="28" spans="1:81" ht="15" thickBot="1" x14ac:dyDescent="0.4">
      <c r="A28" s="314" t="s">
        <v>48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5">
        <v>1822806.3</v>
      </c>
    </row>
    <row r="29" spans="1:81" ht="16" thickTop="1" x14ac:dyDescent="0.35">
      <c r="A29" s="161" t="s">
        <v>235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</row>
    <row r="30" spans="1:81" ht="15.5" x14ac:dyDescent="0.35">
      <c r="A30" s="157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</row>
    <row r="34" spans="35:51" x14ac:dyDescent="0.35">
      <c r="AK34" s="16"/>
      <c r="AL34" s="16"/>
    </row>
    <row r="35" spans="35:51" x14ac:dyDescent="0.35">
      <c r="AI35" s="14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</row>
  </sheetData>
  <mergeCells count="1">
    <mergeCell ref="CE1:C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Sec 30.3</vt:lpstr>
      <vt:lpstr>Sec 30.4</vt:lpstr>
      <vt:lpstr>Sec 30.5</vt:lpstr>
      <vt:lpstr>Sec 30.6</vt:lpstr>
      <vt:lpstr>Sec 30.7</vt:lpstr>
      <vt:lpstr>Sec 30.8</vt:lpstr>
      <vt:lpstr>Chp 31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Stuart Klugman</cp:lastModifiedBy>
  <dcterms:created xsi:type="dcterms:W3CDTF">2011-05-02T06:12:49Z</dcterms:created>
  <dcterms:modified xsi:type="dcterms:W3CDTF">2017-09-11T00:29:14Z</dcterms:modified>
</cp:coreProperties>
</file>