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societyofactuaries-my.sharepoint.com/personal/mdulceak_soa_org/Documents/U_Drive/Solutions/November 2025 Solutions/RET 301/"/>
    </mc:Choice>
  </mc:AlternateContent>
  <xr:revisionPtr revIDLastSave="3" documentId="8_{E69BBA2F-66C7-4DD8-BBB7-6751CB2B5088}" xr6:coauthVersionLast="47" xr6:coauthVersionMax="47" xr10:uidLastSave="{12EA09F8-D0C6-4593-8370-A1D4DDE1148C}"/>
  <bookViews>
    <workbookView xWindow="-96" yWindow="0" windowWidth="11712" windowHeight="12336" firstSheet="2" activeTab="3" xr2:uid="{23350B96-89D1-4AC2-AD51-3F34E28D1D56}"/>
  </bookViews>
  <sheets>
    <sheet name="Question 2" sheetId="2" r:id="rId1"/>
    <sheet name="Question 5" sheetId="3" r:id="rId2"/>
    <sheet name="Question 6" sheetId="4" r:id="rId3"/>
    <sheet name="Question 7" sheetId="5" r:id="rId4"/>
  </sheets>
  <definedNames>
    <definedName name="_Hlk6488088" localSheetId="2">'Question 6'!$C$55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5" l="1"/>
  <c r="K28" i="5"/>
  <c r="K29" i="5"/>
  <c r="K31" i="5"/>
  <c r="K33" i="5" s="1"/>
  <c r="E31" i="5" s="1"/>
  <c r="K32" i="5"/>
  <c r="M5" i="4"/>
  <c r="N5" i="4" s="1"/>
  <c r="M59" i="4" s="1"/>
  <c r="M6" i="4"/>
  <c r="M31" i="4" s="1"/>
  <c r="M32" i="4" s="1"/>
  <c r="N6" i="4"/>
  <c r="M7" i="4"/>
  <c r="N7" i="4" s="1"/>
  <c r="M8" i="4"/>
  <c r="M9" i="4"/>
  <c r="M10" i="4"/>
  <c r="M50" i="4" s="1"/>
  <c r="M11" i="4"/>
  <c r="M12" i="4"/>
  <c r="M13" i="4"/>
  <c r="M14" i="4"/>
  <c r="M15" i="4"/>
  <c r="M16" i="4"/>
  <c r="M39" i="4" s="1"/>
  <c r="M40" i="4" s="1"/>
  <c r="M42" i="4" s="1"/>
  <c r="M17" i="4"/>
  <c r="M20" i="4"/>
  <c r="M21" i="4"/>
  <c r="M22" i="4"/>
  <c r="M51" i="4" s="1"/>
  <c r="M24" i="4"/>
  <c r="M29" i="4"/>
  <c r="M30" i="4"/>
  <c r="M38" i="4"/>
  <c r="M46" i="4" s="1"/>
  <c r="M41" i="4"/>
  <c r="M72" i="4" s="1"/>
  <c r="M43" i="4"/>
  <c r="M57" i="4"/>
  <c r="M68" i="4"/>
  <c r="M70" i="4" s="1"/>
  <c r="M69" i="4"/>
  <c r="M88" i="4"/>
  <c r="M92" i="4" s="1"/>
  <c r="M89" i="4"/>
  <c r="M90" i="4"/>
  <c r="M91" i="4"/>
  <c r="M98" i="4" l="1"/>
  <c r="M73" i="4"/>
  <c r="M74" i="4"/>
  <c r="M76" i="4" s="1"/>
  <c r="M33" i="4"/>
  <c r="M45" i="4" s="1"/>
  <c r="M48" i="4" s="1"/>
  <c r="M53" i="4" s="1"/>
  <c r="M34" i="4"/>
  <c r="M60" i="4"/>
  <c r="M61" i="4" s="1"/>
  <c r="M80" i="4"/>
  <c r="M77" i="4"/>
  <c r="K13" i="3"/>
  <c r="L13" i="3"/>
  <c r="N13" i="3"/>
  <c r="D25" i="3"/>
  <c r="K14" i="3" s="1"/>
  <c r="E25" i="3"/>
  <c r="L14" i="3" s="1"/>
  <c r="L15" i="3" s="1"/>
  <c r="O17" i="3" s="1"/>
  <c r="D26" i="3"/>
  <c r="E31" i="3"/>
  <c r="M62" i="4" l="1"/>
  <c r="N14" i="3"/>
  <c r="K15" i="3"/>
  <c r="G115" i="2"/>
  <c r="N114" i="2"/>
  <c r="M64" i="4" l="1"/>
  <c r="M79" i="4" s="1"/>
  <c r="M82" i="4" s="1"/>
  <c r="M83" i="4" s="1"/>
  <c r="M96" i="4" s="1"/>
  <c r="M65" i="4"/>
  <c r="N15" i="3"/>
  <c r="N17" i="3"/>
  <c r="K78" i="2"/>
  <c r="O114" i="2" l="1"/>
  <c r="K73" i="2" l="1"/>
  <c r="N115" i="2" l="1"/>
  <c r="G121" i="2" l="1"/>
  <c r="F121" i="2"/>
  <c r="E121" i="2"/>
  <c r="C121" i="2"/>
  <c r="N116" i="2"/>
  <c r="N117" i="2" s="1"/>
  <c r="N128" i="2"/>
  <c r="J125" i="2"/>
  <c r="K119" i="2"/>
  <c r="K118" i="2"/>
  <c r="J116" i="2"/>
  <c r="G94" i="2"/>
  <c r="J92" i="2"/>
  <c r="G96" i="2" s="1"/>
  <c r="J126" i="2" s="1"/>
  <c r="J91" i="2"/>
  <c r="G87" i="2"/>
  <c r="N73" i="2"/>
  <c r="O59" i="2"/>
  <c r="K87" i="2" s="1"/>
  <c r="N60" i="2"/>
  <c r="N59" i="2"/>
  <c r="J72" i="2"/>
  <c r="J77" i="2"/>
  <c r="J65" i="2"/>
  <c r="J87" i="2" s="1"/>
  <c r="J118" i="2" s="1"/>
  <c r="J120" i="2" s="1"/>
  <c r="J64" i="2"/>
  <c r="J71" i="2" s="1"/>
  <c r="J76" i="2" s="1"/>
  <c r="J60" i="2"/>
  <c r="J59" i="2"/>
  <c r="J58" i="2"/>
  <c r="G99" i="2" l="1"/>
  <c r="J121" i="2"/>
  <c r="N126" i="2" s="1"/>
  <c r="N129" i="2" s="1"/>
  <c r="D122" i="2" s="1"/>
  <c r="J122" i="2"/>
  <c r="J130" i="2" s="1"/>
  <c r="J127" i="2"/>
  <c r="J128" i="2"/>
  <c r="J61" i="2"/>
  <c r="J73" i="2"/>
  <c r="N68" i="2" s="1"/>
  <c r="J66" i="2" l="1"/>
  <c r="J67" i="2" s="1"/>
  <c r="J68" i="2" s="1"/>
  <c r="N67" i="2" s="1"/>
  <c r="N61" i="2"/>
  <c r="N62" i="2" s="1"/>
  <c r="G60" i="2" s="1"/>
  <c r="K88" i="2"/>
  <c r="J89" i="2" s="1"/>
  <c r="G89" i="2" s="1"/>
  <c r="J78" i="2"/>
  <c r="N69" i="2" s="1"/>
  <c r="N74" i="2" l="1"/>
  <c r="D68" i="2" s="1"/>
  <c r="D121" i="2" s="1"/>
  <c r="G116" i="2" s="1"/>
  <c r="G117" i="2" s="1"/>
  <c r="G64" i="2"/>
  <c r="G98" i="2"/>
  <c r="G91" i="2"/>
  <c r="G62" i="2"/>
</calcChain>
</file>

<file path=xl/sharedStrings.xml><?xml version="1.0" encoding="utf-8"?>
<sst xmlns="http://schemas.openxmlformats.org/spreadsheetml/2006/main" count="393" uniqueCount="294">
  <si>
    <t>RET 301 November 2025</t>
  </si>
  <si>
    <t>Question 2</t>
  </si>
  <si>
    <t>(8 points)</t>
  </si>
  <si>
    <t>Your client sponsors an open non-indexed non-contributory defined benefit pension plan registered in Ontario. As of the prior valuation, there were no required special payments.</t>
  </si>
  <si>
    <t>Answer question here:</t>
  </si>
  <si>
    <t>You are given:</t>
  </si>
  <si>
    <t xml:space="preserve">Plan provisions:  </t>
  </si>
  <si>
    <t>- The pension plan provides cost of living adjustment of 100% of CPI.</t>
  </si>
  <si>
    <t>- The pension plan is open to new members</t>
  </si>
  <si>
    <t xml:space="preserve">Actuarial assumptions at December 31, 2024: </t>
  </si>
  <si>
    <t>Discount rate</t>
  </si>
  <si>
    <t>Inflation</t>
  </si>
  <si>
    <t>Explicit expense allowance for administrative expenses</t>
  </si>
  <si>
    <t>Assets</t>
  </si>
  <si>
    <t>Market value of assets</t>
  </si>
  <si>
    <t>Information for calculation of the Provision for Adverse Deviation:</t>
  </si>
  <si>
    <t>Open plan</t>
  </si>
  <si>
    <t>Asset allocation component (non-fixed income is 55%)</t>
  </si>
  <si>
    <t>Benchmark discount rate (BDR)</t>
  </si>
  <si>
    <t>Solvency and Hypothetical Wind-up assumptions:</t>
  </si>
  <si>
    <t>Basis for benefits assumed to be settled through a lump sum</t>
  </si>
  <si>
    <t>3.90% for 10 years, 4.50% thereafter</t>
  </si>
  <si>
    <t>2.10% for 10 years, 2.60% thereafter</t>
  </si>
  <si>
    <t>Basis for benefits assumed to be settled through the purchase of an annuity</t>
  </si>
  <si>
    <t>Termination expenses</t>
  </si>
  <si>
    <t>Market value of assets:</t>
  </si>
  <si>
    <t>Going concern liability for active members:</t>
  </si>
  <si>
    <t>Going concern liability for pensioners:</t>
  </si>
  <si>
    <t>Going concern liability on a non-indexed basis for active members:</t>
  </si>
  <si>
    <t>Going concern liability on a non-indexed basis for pensioners:</t>
  </si>
  <si>
    <t>Normal cost:</t>
  </si>
  <si>
    <t>Normal cost on a non-indexed basis:</t>
  </si>
  <si>
    <t>Solvency transfer value liability:</t>
  </si>
  <si>
    <t>Solvency annuity purchase liability for active members:</t>
  </si>
  <si>
    <t>Solvency annuity purchase liability for pensioners:</t>
  </si>
  <si>
    <t>Hypothetical wind-up transfer value liability:</t>
  </si>
  <si>
    <t>Hypothetical wind-up annuity purchase liability for active members:</t>
  </si>
  <si>
    <t>Hypothetical wind-up annuity purchase liability for pensioners:</t>
  </si>
  <si>
    <t>(a)</t>
  </si>
  <si>
    <t>(3 points)</t>
  </si>
  <si>
    <t xml:space="preserve">Calculate the minimum required and maximum permissible employer contributions for 2025 and the amortization payment schedule. </t>
  </si>
  <si>
    <t>Link final results below and show all work including formulas in the workspace provided to the right (in Excel).</t>
  </si>
  <si>
    <t>2025 Employer Minimum Contribution Requirements</t>
  </si>
  <si>
    <t>Employer current service cost contributions</t>
  </si>
  <si>
    <t>Special payments</t>
  </si>
  <si>
    <t>Minimum required contributions for 2025</t>
  </si>
  <si>
    <t>Maximum permissible contribution for 2025</t>
  </si>
  <si>
    <t>Assumptions</t>
  </si>
  <si>
    <t>No change from the prior valuation</t>
  </si>
  <si>
    <t>2025 actual cost of living adjustment provided</t>
  </si>
  <si>
    <t>(b)</t>
  </si>
  <si>
    <t>(2 points)</t>
  </si>
  <si>
    <t>Calculate the extrapolated going concern and solvency funded positions as at December 31, 2025.</t>
  </si>
  <si>
    <t>Actuarial Value of Assets</t>
  </si>
  <si>
    <t>Esimated Going Concern Liabilities</t>
  </si>
  <si>
    <t>Estimated Funding excess (shortfall)</t>
  </si>
  <si>
    <t>Solvency Assets</t>
  </si>
  <si>
    <t>Solvency Liabilities</t>
  </si>
  <si>
    <t>Estimated Solvency excess (shortfall)</t>
  </si>
  <si>
    <t>Transfer ratio</t>
  </si>
  <si>
    <t xml:space="preserve">Your client has informed you that they have approved a benefit improvement for all active members in the plan.  The benefit improvement is effective as of December 31, 2025.  </t>
  </si>
  <si>
    <t>Increase due to benefit improvement as at December 31, 2025</t>
  </si>
  <si>
    <t>Going concern liability</t>
  </si>
  <si>
    <t>Going concern liability on a non-indexed basis</t>
  </si>
  <si>
    <t>Going concern normal cost</t>
  </si>
  <si>
    <t>Solvency liability</t>
  </si>
  <si>
    <t>Hypothetical wind-up liability</t>
  </si>
  <si>
    <t>(c)</t>
  </si>
  <si>
    <t>Calculate the minimum required employer contributions for 2026 and the amortization payment schedule. Show all work.</t>
  </si>
  <si>
    <t xml:space="preserve"> -       100% indexed rates</t>
  </si>
  <si>
    <t xml:space="preserve"> -       Non indexed rates</t>
  </si>
  <si>
    <t>Asset and liability information at December 31, 2024</t>
  </si>
  <si>
    <t>Going concern assumptions:</t>
  </si>
  <si>
    <t>Amortization Schedule at January 1, 2025</t>
  </si>
  <si>
    <t>Type</t>
  </si>
  <si>
    <t>Monthly Amortization Payment</t>
  </si>
  <si>
    <t>Date Established</t>
  </si>
  <si>
    <t>Start Date</t>
  </si>
  <si>
    <t>Date of Last Payment</t>
  </si>
  <si>
    <t>Asset information:</t>
  </si>
  <si>
    <t>Market value of assets at December 31, 2025</t>
  </si>
  <si>
    <t>Benefits paid during 2025</t>
  </si>
  <si>
    <t>Solvency incremental cost for 2025</t>
  </si>
  <si>
    <t>Assumptions and liability information:</t>
  </si>
  <si>
    <t>2026 Employer Minimum Contribution Requirements</t>
  </si>
  <si>
    <t>Minimum required contributions for 2026</t>
  </si>
  <si>
    <t>Amortization Schedule at January 1, 2026</t>
  </si>
  <si>
    <t>PfAD</t>
  </si>
  <si>
    <t>Component</t>
  </si>
  <si>
    <t>Admin Expenses</t>
  </si>
  <si>
    <t xml:space="preserve">Total: </t>
  </si>
  <si>
    <t>AVA</t>
  </si>
  <si>
    <t xml:space="preserve">Special payments </t>
  </si>
  <si>
    <t>&lt;- 1 year deferral of new special payment streams in ON</t>
  </si>
  <si>
    <t>Deficiency</t>
  </si>
  <si>
    <t>GC</t>
  </si>
  <si>
    <t>SO</t>
  </si>
  <si>
    <t>Funding excess (shortfall)</t>
  </si>
  <si>
    <t>WU</t>
  </si>
  <si>
    <t>Special Payments</t>
  </si>
  <si>
    <t>Solvency excess (shortfall)</t>
  </si>
  <si>
    <t>PMT</t>
  </si>
  <si>
    <t>HWU Assets</t>
  </si>
  <si>
    <t>HWU Liabilities</t>
  </si>
  <si>
    <t>Going Concern</t>
  </si>
  <si>
    <t>Part (b)</t>
  </si>
  <si>
    <t>Indexed</t>
  </si>
  <si>
    <t>Non-indexed</t>
  </si>
  <si>
    <t>1.1.2026</t>
  </si>
  <si>
    <t>Part (c)</t>
  </si>
  <si>
    <t>&lt;- Additional deficiency due to benefit improvement reflected in cost certificate</t>
  </si>
  <si>
    <t>Solvency</t>
  </si>
  <si>
    <t>&lt;- More than 85% fudned</t>
  </si>
  <si>
    <t>Funded Ratio</t>
  </si>
  <si>
    <t>Benefit Improvement</t>
  </si>
  <si>
    <t>Check funded status. If below 80% immediate top-up funding required</t>
  </si>
  <si>
    <t>Immediate top-up funding</t>
  </si>
  <si>
    <t>GC Liabilities (before PfAD)</t>
  </si>
  <si>
    <t>GC Liabilities (total)</t>
  </si>
  <si>
    <t>HWU excess (shortfall)</t>
  </si>
  <si>
    <t>PFAD:</t>
  </si>
  <si>
    <t>Total Normal cost:</t>
  </si>
  <si>
    <t>d-rate (monthly)</t>
  </si>
  <si>
    <t>Part (a)</t>
  </si>
  <si>
    <t>AL (rollforward) = (AL + NC)*(1+d) - BenPmts *(1+d/2)</t>
  </si>
  <si>
    <t>Blended Solvency Rate</t>
  </si>
  <si>
    <t xml:space="preserve">  Full marks awarded for calculation of either "solvency ratio" (as shown here) or "transfer ratio" based on HWU liabilities</t>
  </si>
  <si>
    <t>GC Liabilities (after PfAD)</t>
  </si>
  <si>
    <t>PfAD:</t>
  </si>
  <si>
    <t>Provide your answer in the Word file.</t>
  </si>
  <si>
    <t xml:space="preserve">Describe the notice requirements involved in completing the asset transfer.  </t>
  </si>
  <si>
    <t>c)</t>
  </si>
  <si>
    <t>Additional contribution</t>
  </si>
  <si>
    <t>After the top up contribution, the solvency ratio will reach 90% threshold</t>
  </si>
  <si>
    <t xml:space="preserve">A one-time “top-up” contribution of 5 million is needed to facilitate the merger </t>
  </si>
  <si>
    <t>Inactive solvency liabilities</t>
  </si>
  <si>
    <t>The merged plan cannot proceed as is because the post-merger solvency ratio is 89.2%</t>
  </si>
  <si>
    <t>Active solvency liabilities</t>
  </si>
  <si>
    <t>The merged plan must have a solvency ratio no less than 95%-5% which is 90%</t>
  </si>
  <si>
    <t xml:space="preserve">Hourly Plan solvency ratio is 80%, Salaried Plan solvency ratio is 95% before merger, </t>
  </si>
  <si>
    <t>Salaried Plan</t>
  </si>
  <si>
    <t>Hourly Plan</t>
  </si>
  <si>
    <t>(in millions)</t>
  </si>
  <si>
    <t>Be no more than 5% lower than the solvency ratio of the highest ratio of all prior plans</t>
  </si>
  <si>
    <t>Be at least 100%; or</t>
  </si>
  <si>
    <t>Asset transfer information as at October 1, 2025</t>
  </si>
  <si>
    <t xml:space="preserve">The solvency ratio of the successor plan following the merger must: </t>
  </si>
  <si>
    <t>Calculate the amount of additional contributions required as a result of the merger. Show all work.</t>
  </si>
  <si>
    <t>Solvency Ratio Rule:</t>
  </si>
  <si>
    <t xml:space="preserve">Your client sponsors two Ontario-registered defined benefit pension plans, the Salaried Plan and the Hourly Plan.  These two plans will be merged and the Salaried Plan will become the successor plan.  The Hourly Plan assets will be transferred to the Salaried Plan effective October 1, 2025.  </t>
  </si>
  <si>
    <t>Minimum solvency ratio</t>
  </si>
  <si>
    <t>Solvency Ratio – after one-time contribution</t>
  </si>
  <si>
    <t>One-time contribution</t>
  </si>
  <si>
    <t>Solvency Ratio – before one-time contribution</t>
  </si>
  <si>
    <t>Liabilities</t>
  </si>
  <si>
    <r>
      <t>(ii)</t>
    </r>
    <r>
      <rPr>
        <sz val="7"/>
        <color rgb="FF002060"/>
        <rFont val="Times New Roman"/>
        <family val="1"/>
      </rPr>
      <t xml:space="preserve">              </t>
    </r>
    <r>
      <rPr>
        <sz val="12"/>
        <color rgb="FF002060"/>
        <rFont val="Times New Roman"/>
        <family val="1"/>
      </rPr>
      <t xml:space="preserve"> Solvency ratio requirements </t>
    </r>
  </si>
  <si>
    <t>Salaried</t>
  </si>
  <si>
    <t>Salaried *</t>
  </si>
  <si>
    <t>Hourly</t>
  </si>
  <si>
    <t>Solvency position</t>
  </si>
  <si>
    <r>
      <t>(i)</t>
    </r>
    <r>
      <rPr>
        <sz val="7"/>
        <color rgb="FF002060"/>
        <rFont val="Times New Roman"/>
        <family val="1"/>
      </rPr>
      <t xml:space="preserve">                 </t>
    </r>
    <r>
      <rPr>
        <sz val="12"/>
        <color rgb="FF002060"/>
        <rFont val="Times New Roman"/>
        <family val="1"/>
      </rPr>
      <t>Effective date of the asset transfer</t>
    </r>
  </si>
  <si>
    <t>Post-Merger</t>
  </si>
  <si>
    <t>Pre-Merger</t>
  </si>
  <si>
    <t>$ millions</t>
  </si>
  <si>
    <t xml:space="preserve">For each of the two asset transfer scenarios, describe the following regulatory requirements:  </t>
  </si>
  <si>
    <t>Answer</t>
  </si>
  <si>
    <r>
      <t>(ii)</t>
    </r>
    <r>
      <rPr>
        <sz val="7"/>
        <color rgb="FF002060"/>
        <rFont val="Times New Roman"/>
        <family val="1"/>
      </rPr>
      <t xml:space="preserve">              </t>
    </r>
    <r>
      <rPr>
        <sz val="12"/>
        <color rgb="FF002060"/>
        <rFont val="Times New Roman"/>
        <family val="1"/>
      </rPr>
      <t xml:space="preserve">The transfer of benefits between pension plans of the same employer. </t>
    </r>
  </si>
  <si>
    <r>
      <t>(i)</t>
    </r>
    <r>
      <rPr>
        <sz val="7"/>
        <color rgb="FF002060"/>
        <rFont val="Times New Roman"/>
        <family val="1"/>
      </rPr>
      <t xml:space="preserve">                 </t>
    </r>
    <r>
      <rPr>
        <sz val="12"/>
        <color rgb="FF002060"/>
        <rFont val="Times New Roman"/>
        <family val="1"/>
      </rPr>
      <t xml:space="preserve">Due to the sale of a business unit; or </t>
    </r>
  </si>
  <si>
    <t xml:space="preserve">Under Ontario's pension regulations, asset transfers can occur in two scenarios:  </t>
  </si>
  <si>
    <t>(7 points)</t>
  </si>
  <si>
    <t>Question 5</t>
  </si>
  <si>
    <t xml:space="preserve">as Funded Ratio is not &gt;125% employer may contribute the DB current service cost including PfAD and explicit expense allowance.  </t>
  </si>
  <si>
    <t>2026 Maximum Permitted Employer Contributions</t>
  </si>
  <si>
    <t>after utilization of full Usable surplus at 1.1.2026</t>
  </si>
  <si>
    <t>2026 Minimum Required Employer Contributions</t>
  </si>
  <si>
    <t>Response to part b is below</t>
  </si>
  <si>
    <t>before any application of surplus</t>
  </si>
  <si>
    <t>2026 ER Required</t>
  </si>
  <si>
    <t>Employee 2026</t>
  </si>
  <si>
    <t>note that the usable surplus is the minimum of the available actuarial Surplus determined at 1.1.2026 and the AAS at 12.31.2024 adjusted to 1.1.2026</t>
  </si>
  <si>
    <t>Explicit Expense Allowance</t>
  </si>
  <si>
    <t>Total Normal Cost</t>
  </si>
  <si>
    <t>2026 Employer Contribution Requirements</t>
  </si>
  <si>
    <t>Determine 2026 Employer Contribution Requirement</t>
  </si>
  <si>
    <t>PART B</t>
  </si>
  <si>
    <t xml:space="preserve">Response to part A </t>
  </si>
  <si>
    <t>Usable Surplus at 1.1.2026</t>
  </si>
  <si>
    <t>Available Actuarial Surplus at 1.1.2026</t>
  </si>
  <si>
    <t>1.1.2026 Solvency (x105%) Funded Position</t>
  </si>
  <si>
    <t>1.1.2026 GC Funded Position</t>
  </si>
  <si>
    <t>Transfer Ratio</t>
  </si>
  <si>
    <t>Solvency Excess/(shortfall)</t>
  </si>
  <si>
    <t>Total Loaded Solvency Liabilities</t>
  </si>
  <si>
    <t>5% Load of Solvency Liabilities</t>
  </si>
  <si>
    <t>Solvency Assets, net of term expense</t>
  </si>
  <si>
    <t>Termination Expenses</t>
  </si>
  <si>
    <t>GC Excess/(shortfall)</t>
  </si>
  <si>
    <t>Total Going Concern</t>
  </si>
  <si>
    <t>PfAD on GC AL</t>
  </si>
  <si>
    <t>5% Load of GC AL</t>
  </si>
  <si>
    <t>GC AL</t>
  </si>
  <si>
    <t>GC Assets</t>
  </si>
  <si>
    <t>2nd Determine 1.1.2026 AAS based on extrapolation to 1.1.2026</t>
  </si>
  <si>
    <t>AAS at 12.31.2024 adjusted to 1.1.2026</t>
  </si>
  <si>
    <t>2025 Actual ER DB Contributions</t>
  </si>
  <si>
    <t>2025 Required ER DB</t>
  </si>
  <si>
    <t>AAS at 12.31.2024</t>
  </si>
  <si>
    <t>Show all work, including each step of the calculation separately, in the workspace provided to the right (in Excel).</t>
  </si>
  <si>
    <t>12.31.2024 Solvency (x105%) Funded Position</t>
  </si>
  <si>
    <t>12.31.2024 GC Funded Position</t>
  </si>
  <si>
    <t xml:space="preserve">b) (3 points) Calculate the 2026 minimum required and maximum permissible employer contributions. </t>
  </si>
  <si>
    <t xml:space="preserve">a) (3 points) Calculate the Available Actuarial Surplus for 2026. </t>
  </si>
  <si>
    <t xml:space="preserve">You are asked to prepare a January 1, 2026 Cost Certificate.  </t>
  </si>
  <si>
    <t>• All assumptions remain the same as at December 31, 2024 and the PfAD remains at 9.50%</t>
  </si>
  <si>
    <t xml:space="preserve">• For purposes of determining the January 1, 2026 going concern and solvency liabilities, assume the extrapolated liabilities are loaded by 5% as per the Financial Services Regulatory Authority (“FSRA”) guidance for preparing cost certificates.  </t>
  </si>
  <si>
    <t>• There are no liability gains or losses during 2025.</t>
  </si>
  <si>
    <t>• The Pension Benefits Guarantee Fund (“PBGF”) assessment fee payable in 2025 was paid directly by the employer.</t>
  </si>
  <si>
    <t>Additional asset information:</t>
  </si>
  <si>
    <t>2025 employer contributions</t>
  </si>
  <si>
    <t>2025 employee contributions</t>
  </si>
  <si>
    <t>2025 benefit payments</t>
  </si>
  <si>
    <t xml:space="preserve">Market value of assets at January 1, 2026 </t>
  </si>
  <si>
    <t>1st Determine 12.31.2024 AAS adjusted to 1.1.2026</t>
  </si>
  <si>
    <t>You are provided the following asset information:</t>
  </si>
  <si>
    <t>PART A</t>
  </si>
  <si>
    <t>2026 employee required contributions</t>
  </si>
  <si>
    <t>DB component market value of assets at January 1, 2026</t>
  </si>
  <si>
    <t>2025 employee required contributions</t>
  </si>
  <si>
    <t>Solvency annual special payment payable in 2025 from prior valuation</t>
  </si>
  <si>
    <t>2025 Employer DB Contribution</t>
  </si>
  <si>
    <t>Going concern annual special payments payable in 2025 from prior valuation</t>
  </si>
  <si>
    <t>2025 Employee DB Contributions</t>
  </si>
  <si>
    <t>2025 solvency incremental cost</t>
  </si>
  <si>
    <t>2025 DB Benefit Payments</t>
  </si>
  <si>
    <t>Annual provision for administrative expenses</t>
  </si>
  <si>
    <t>You are giving the following 2025 Actual Cash Flows</t>
  </si>
  <si>
    <t>2026 going concern annual total current service cost (excluding PfAD)</t>
  </si>
  <si>
    <t>2025 going concern annual total current service cost (excluding PfAD)</t>
  </si>
  <si>
    <t>Solvency Incremental Cost</t>
  </si>
  <si>
    <t>Solvency liabilities</t>
  </si>
  <si>
    <t>Provision for Wind-up Expenses</t>
  </si>
  <si>
    <t>Going concern liabilities (excluding PfAD)</t>
  </si>
  <si>
    <t xml:space="preserve">Market value of assets </t>
  </si>
  <si>
    <t>2026 Employee Required DB contributions</t>
  </si>
  <si>
    <t>Provision for wind-up expenses</t>
  </si>
  <si>
    <t>2025 Employee Required DB contributions</t>
  </si>
  <si>
    <t>Solvency blended discount rate</t>
  </si>
  <si>
    <t>Provision for adverse deviations ("PfAD")</t>
  </si>
  <si>
    <t>2026 Going Concern total current service cost excluding PfAD</t>
  </si>
  <si>
    <t>Going concern discount rate (net of investment expenses; gross of administrative expenses)</t>
  </si>
  <si>
    <t>2025 Going Concern total current service cost excluding PfAD</t>
  </si>
  <si>
    <t>Going Concern Liabilities</t>
  </si>
  <si>
    <t>You are given the following information as at December 31, 2024:</t>
  </si>
  <si>
    <t>Market Value of Assets</t>
  </si>
  <si>
    <t>Solvency Blended Rate</t>
  </si>
  <si>
    <t>You are the actuary for a single employer defined benefit pension plan registered in Ontario</t>
  </si>
  <si>
    <t>(6 points)</t>
  </si>
  <si>
    <t>Question 6</t>
  </si>
  <si>
    <t>EXAM RET301 - Nov 2025</t>
  </si>
  <si>
    <t xml:space="preserve">Describe the considerations in reflecting or not reflecting the annuity quotation under CAPSA guidance.  </t>
  </si>
  <si>
    <t>(d)</t>
  </si>
  <si>
    <t xml:space="preserve">	Solvency liabilities based on the annuity guidance is $44,100,000 as at January 1, 2025.  _x000D_
_x000D_
Your client has asked you not to reflect the quotation from Insurance Company Inc. in the preparation of the actuarial valuation report.  _x000D_
</t>
  </si>
  <si>
    <t xml:space="preserve">You are given:  </t>
  </si>
  <si>
    <t xml:space="preserve">Describe how you would reflect the annuity quotation in determining the solvency liabilities for the January 1, 2025 valuation.  </t>
  </si>
  <si>
    <t>(1 points)</t>
  </si>
  <si>
    <t xml:space="preserve">Propose reasons why the annuity quotation differs from the annuity proxy.  </t>
  </si>
  <si>
    <t xml:space="preserve">Company ABC received an annuity quotation for the pension plan from Insurance Company Inc. for $47,950,000 with a quotation date of April 30, 2025.  </t>
  </si>
  <si>
    <t>V39062</t>
  </si>
  <si>
    <t>Interpolated Spread</t>
  </si>
  <si>
    <t>Discount Rate</t>
  </si>
  <si>
    <t>Medium duration</t>
  </si>
  <si>
    <t>Low duration</t>
  </si>
  <si>
    <t>Medium spread</t>
  </si>
  <si>
    <t xml:space="preserve"> Calculate the annuity purchase discount rate to be used for the solvency valuation</t>
  </si>
  <si>
    <t>Low spread</t>
  </si>
  <si>
    <t>Duration</t>
  </si>
  <si>
    <t xml:space="preserve">1oo% of the liabilities on wind-up are assumed to be purchased by annuities. </t>
  </si>
  <si>
    <t>+ 150 bps</t>
  </si>
  <si>
    <t>High</t>
  </si>
  <si>
    <t>Medium</t>
  </si>
  <si>
    <t>+ 160 bps</t>
  </si>
  <si>
    <t>Low</t>
  </si>
  <si>
    <t>Spread relative to the V39062</t>
  </si>
  <si>
    <t>Unadjusted CANSIM V39062</t>
  </si>
  <si>
    <t>Annuity Duration</t>
  </si>
  <si>
    <t>CIA Guidance on assumptions for hypothetical wind-up and solvency valuations at January 1, 2025</t>
  </si>
  <si>
    <t>Annuity purchase discount rate</t>
  </si>
  <si>
    <t>Liabilities:</t>
  </si>
  <si>
    <t xml:space="preserve">- Hypothetical wind-up liabilities are equal to the solvency liabilities. </t>
  </si>
  <si>
    <t xml:space="preserve">- 100% of solvency liabilities are assumed to be settled by an annuity purchase. </t>
  </si>
  <si>
    <t xml:space="preserve">You are given the following information as at January 1, 2025:  </t>
  </si>
  <si>
    <t xml:space="preserve">You are the actuary for Company ABC.  Company ABC sponsors the Pension Plan for Executive Employees, a non-indexed defined benefit pension plan registered in Ontario.  You are performing a valuation as at January 1, 2025.  </t>
  </si>
  <si>
    <t>Question 7</t>
  </si>
  <si>
    <t>RET 301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</si>
</sst>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4" formatCode="_(&quot;$&quot;* #,##0.00_);_(&quot;$&quot;* \(#,##0.00\);_(&quot;$&quot;* &quot;-&quot;??_);_(@_)"/>
    <numFmt numFmtId="43" formatCode="_(* #,##0.00_);_(* \(#,##0.00\);_(* &quot;-&quot;??_);_(@_)"/>
    <numFmt numFmtId="164" formatCode="&quot;$&quot;#,##0;[Red]\-&quot;$&quot;#,##0"/>
    <numFmt numFmtId="165" formatCode="&quot;$&quot;#,##0.00;[Red]\-&quot;$&quot;#,##0.00"/>
    <numFmt numFmtId="166" formatCode="_-* #,##0.00_-;\-* #,##0.00_-;_-* &quot;-&quot;??_-;_-@_-"/>
    <numFmt numFmtId="167" formatCode="_(* #,##0_);_(* \(#,##0\);_(* &quot;-&quot;??_);_(@_)"/>
    <numFmt numFmtId="168" formatCode="_-* #,##0_-;\-* #,##0_-;_-* &quot;-&quot;??_-;_-@_-"/>
    <numFmt numFmtId="169" formatCode="_ * #,##0.00_)_ ;_ * \(#,##0.00\)_ ;_ * &quot;-&quot;??_)_ ;_ @_ "/>
    <numFmt numFmtId="170" formatCode="[$$-1009]#,##0;\-[$$-1009]#,##0"/>
    <numFmt numFmtId="171" formatCode="0.0%"/>
    <numFmt numFmtId="172" formatCode="_(&quot;$&quot;* #,##0_);_(&quot;$&quot;* \(#,##0\);_(&quot;$&quot;* &quot;-&quot;??_);_(@_)"/>
    <numFmt numFmtId="173" formatCode="&quot;$&quot;#,##0"/>
    <numFmt numFmtId="174" formatCode="0.000"/>
    <numFmt numFmtId="175" formatCode="#,##0;[Red]\(#,##0\)"/>
    <numFmt numFmtId="176" formatCode="#,##0;\(#,##0\)"/>
    <numFmt numFmtId="177" formatCode="&quot;$&quot;#,##0.00"/>
    <numFmt numFmtId="178" formatCode="0.0000"/>
  </numFmts>
  <fonts count="33" x14ac:knownFonts="1">
    <font>
      <sz val="11"/>
      <color theme="1"/>
      <name val="Aptos Narrow"/>
      <family val="2"/>
      <scheme val="minor"/>
    </font>
    <font>
      <b/>
      <sz val="12"/>
      <color rgb="FF002060"/>
      <name val="Times New Roman"/>
      <family val="1"/>
    </font>
    <font>
      <sz val="12"/>
      <color rgb="FF002060"/>
      <name val="Times New Roman"/>
      <family val="1"/>
    </font>
    <font>
      <sz val="12"/>
      <color theme="1"/>
      <name val="Times New Roman"/>
      <family val="1"/>
    </font>
    <font>
      <i/>
      <sz val="12"/>
      <color rgb="FF002060"/>
      <name val="Times New Roman"/>
      <family val="1"/>
    </font>
    <font>
      <sz val="11"/>
      <color theme="1"/>
      <name val="Aptos Narrow"/>
      <family val="2"/>
      <scheme val="minor"/>
    </font>
    <font>
      <b/>
      <u/>
      <sz val="12"/>
      <color rgb="FF002060"/>
      <name val="Times New Roman"/>
      <family val="1"/>
    </font>
    <font>
      <sz val="10"/>
      <color theme="1"/>
      <name val="Arial"/>
      <family val="2"/>
    </font>
    <font>
      <b/>
      <sz val="12"/>
      <color theme="1"/>
      <name val="Times New Roman"/>
      <family val="1"/>
    </font>
    <font>
      <sz val="12"/>
      <color theme="1"/>
      <name val="Arial"/>
      <family val="2"/>
    </font>
    <font>
      <sz val="12"/>
      <name val="Times New Roman"/>
      <family val="1"/>
    </font>
    <font>
      <b/>
      <sz val="12"/>
      <color theme="1"/>
      <name val="Arial"/>
      <family val="2"/>
    </font>
    <font>
      <sz val="11"/>
      <color theme="1"/>
      <name val="Arial"/>
      <family val="2"/>
    </font>
    <font>
      <sz val="11"/>
      <color theme="1"/>
      <name val="Times New Roman"/>
      <family val="1"/>
    </font>
    <font>
      <sz val="12"/>
      <color rgb="FF000000"/>
      <name val="Times New Roman"/>
      <family val="1"/>
    </font>
    <font>
      <b/>
      <sz val="12"/>
      <color rgb="FF000000"/>
      <name val="Times New Roman"/>
      <family val="1"/>
    </font>
    <font>
      <sz val="7"/>
      <color rgb="FF002060"/>
      <name val="Times New Roman"/>
      <family val="1"/>
    </font>
    <font>
      <b/>
      <sz val="12"/>
      <color rgb="FFFFFFFF"/>
      <name val="Times New Roman"/>
      <family val="1"/>
    </font>
    <font>
      <b/>
      <sz val="12"/>
      <color theme="0"/>
      <name val="Times New Roman"/>
      <family val="1"/>
    </font>
    <font>
      <b/>
      <u/>
      <sz val="12"/>
      <color theme="1"/>
      <name val="Times New Roman"/>
      <family val="1"/>
    </font>
    <font>
      <sz val="11"/>
      <color rgb="FF002060"/>
      <name val="Times New Roman"/>
      <family val="1"/>
    </font>
    <font>
      <sz val="10"/>
      <color rgb="FF000000"/>
      <name val="Calibri"/>
      <family val="2"/>
    </font>
    <font>
      <b/>
      <sz val="10"/>
      <color theme="1"/>
      <name val="Calibri"/>
      <family val="2"/>
    </font>
    <font>
      <b/>
      <sz val="10"/>
      <color rgb="FF000000"/>
      <name val="Calibri"/>
      <family val="2"/>
    </font>
    <font>
      <sz val="10"/>
      <color theme="1"/>
      <name val="Calibri"/>
      <family val="2"/>
    </font>
    <font>
      <b/>
      <u/>
      <sz val="10"/>
      <color rgb="FF000000"/>
      <name val="Calibri"/>
      <family val="2"/>
    </font>
    <font>
      <b/>
      <sz val="14"/>
      <color rgb="FF002060"/>
      <name val="Times New Roman"/>
      <family val="1"/>
    </font>
    <font>
      <sz val="12"/>
      <color rgb="FFFF0000"/>
      <name val="Times New Roman"/>
      <family val="1"/>
    </font>
    <font>
      <i/>
      <sz val="12"/>
      <color rgb="FFFF0000"/>
      <name val="Times New Roman"/>
      <family val="1"/>
    </font>
    <font>
      <sz val="12"/>
      <color theme="3"/>
      <name val="Times New Roman"/>
      <family val="1"/>
    </font>
    <font>
      <i/>
      <sz val="12"/>
      <name val="Times New Roman"/>
      <family val="1"/>
    </font>
    <font>
      <sz val="12"/>
      <color rgb="FF7030A0"/>
      <name val="Times New Roman"/>
      <family val="1"/>
    </font>
    <font>
      <u/>
      <sz val="12"/>
      <color rgb="FF000000"/>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0" tint="-0.14999847407452621"/>
        <bgColor rgb="FF000000"/>
      </patternFill>
    </fill>
    <fill>
      <patternFill patternType="solid">
        <fgColor theme="0"/>
        <bgColor indexed="64"/>
      </patternFill>
    </fill>
    <fill>
      <patternFill patternType="solid">
        <fgColor rgb="FFD6D6D6"/>
        <bgColor indexed="64"/>
      </patternFill>
    </fill>
    <fill>
      <patternFill patternType="solid">
        <fgColor theme="3" tint="0.499984740745262"/>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rgb="FFFFFFFF"/>
      </left>
      <right style="medium">
        <color rgb="FFFFFFFF"/>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style="medium">
        <color rgb="FFFFFFFF"/>
      </bottom>
      <diagonal/>
    </border>
  </borders>
  <cellStyleXfs count="9">
    <xf numFmtId="0" fontId="0" fillId="0" borderId="0"/>
    <xf numFmtId="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0" fontId="7" fillId="0" borderId="0"/>
    <xf numFmtId="166" fontId="5"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245">
    <xf numFmtId="0" fontId="0" fillId="0" borderId="0" xfId="0"/>
    <xf numFmtId="0" fontId="1" fillId="2" borderId="0" xfId="0" applyFont="1" applyFill="1"/>
    <xf numFmtId="0" fontId="2" fillId="2" borderId="0" xfId="0" applyFont="1" applyFill="1"/>
    <xf numFmtId="0" fontId="3" fillId="0" borderId="0" xfId="0" applyFont="1"/>
    <xf numFmtId="0" fontId="1" fillId="3" borderId="0" xfId="0" applyFont="1" applyFill="1"/>
    <xf numFmtId="0" fontId="2" fillId="3" borderId="0" xfId="0" applyFont="1" applyFill="1"/>
    <xf numFmtId="0" fontId="2" fillId="0" borderId="0" xfId="0" applyFont="1"/>
    <xf numFmtId="0" fontId="4" fillId="4" borderId="0" xfId="0" applyFont="1" applyFill="1"/>
    <xf numFmtId="0" fontId="2" fillId="3" borderId="0" xfId="0" applyFont="1" applyFill="1" applyAlignment="1">
      <alignment wrapText="1"/>
    </xf>
    <xf numFmtId="0" fontId="6" fillId="3" borderId="0" xfId="0" applyFont="1" applyFill="1"/>
    <xf numFmtId="0" fontId="2" fillId="3" borderId="0" xfId="0" quotePrefix="1" applyFont="1" applyFill="1"/>
    <xf numFmtId="0" fontId="2" fillId="3" borderId="1" xfId="0" applyFont="1" applyFill="1" applyBorder="1"/>
    <xf numFmtId="0" fontId="2" fillId="3" borderId="3" xfId="0" applyFont="1" applyFill="1" applyBorder="1"/>
    <xf numFmtId="10" fontId="2" fillId="4" borderId="8" xfId="0" applyNumberFormat="1" applyFont="1" applyFill="1" applyBorder="1" applyAlignment="1">
      <alignment horizontal="left" vertical="center"/>
    </xf>
    <xf numFmtId="164" fontId="2" fillId="4" borderId="8" xfId="0" applyNumberFormat="1" applyFont="1" applyFill="1" applyBorder="1" applyAlignment="1">
      <alignment horizontal="left" vertical="center"/>
    </xf>
    <xf numFmtId="0" fontId="2" fillId="3" borderId="1" xfId="0" applyFont="1" applyFill="1" applyBorder="1" applyAlignment="1">
      <alignment horizontal="left" vertical="top"/>
    </xf>
    <xf numFmtId="0" fontId="2" fillId="3" borderId="3" xfId="0" applyFont="1" applyFill="1" applyBorder="1" applyAlignment="1">
      <alignment horizontal="left" vertical="top"/>
    </xf>
    <xf numFmtId="0" fontId="2" fillId="3" borderId="0" xfId="0" applyFont="1" applyFill="1" applyAlignment="1">
      <alignment vertical="center"/>
    </xf>
    <xf numFmtId="0" fontId="6" fillId="3" borderId="0" xfId="0" applyFont="1" applyFill="1" applyAlignment="1">
      <alignment vertical="center"/>
    </xf>
    <xf numFmtId="0" fontId="2" fillId="3" borderId="1" xfId="0" applyFont="1" applyFill="1" applyBorder="1" applyAlignment="1">
      <alignment vertical="center"/>
    </xf>
    <xf numFmtId="10" fontId="2" fillId="3" borderId="3" xfId="0" applyNumberFormat="1" applyFont="1" applyFill="1" applyBorder="1" applyAlignment="1">
      <alignment horizontal="left" vertical="top"/>
    </xf>
    <xf numFmtId="10" fontId="2" fillId="4" borderId="8" xfId="0" applyNumberFormat="1" applyFont="1" applyFill="1" applyBorder="1" applyAlignment="1">
      <alignment horizontal="left" vertical="top"/>
    </xf>
    <xf numFmtId="0" fontId="2" fillId="4" borderId="8" xfId="0" applyFont="1" applyFill="1" applyBorder="1" applyAlignment="1">
      <alignment vertical="top"/>
    </xf>
    <xf numFmtId="0" fontId="2" fillId="4" borderId="3" xfId="0" applyFont="1" applyFill="1" applyBorder="1"/>
    <xf numFmtId="10" fontId="2" fillId="4" borderId="3" xfId="0" applyNumberFormat="1" applyFont="1" applyFill="1" applyBorder="1" applyAlignment="1">
      <alignment horizontal="left" vertical="top"/>
    </xf>
    <xf numFmtId="0" fontId="2" fillId="3" borderId="2" xfId="0" applyFont="1" applyFill="1" applyBorder="1" applyAlignment="1">
      <alignment horizontal="left" vertical="top"/>
    </xf>
    <xf numFmtId="0" fontId="2" fillId="4" borderId="10" xfId="0" applyFont="1" applyFill="1" applyBorder="1" applyAlignment="1">
      <alignment vertical="top"/>
    </xf>
    <xf numFmtId="0" fontId="2" fillId="3" borderId="3" xfId="0" applyFont="1" applyFill="1" applyBorder="1" applyAlignment="1">
      <alignment horizontal="left" vertical="center"/>
    </xf>
    <xf numFmtId="0" fontId="2" fillId="3" borderId="6" xfId="0" applyFont="1" applyFill="1" applyBorder="1" applyAlignment="1">
      <alignment horizontal="left" vertical="top"/>
    </xf>
    <xf numFmtId="0" fontId="2" fillId="3" borderId="4" xfId="0" applyFont="1" applyFill="1" applyBorder="1" applyAlignment="1">
      <alignment horizontal="left" vertical="top"/>
    </xf>
    <xf numFmtId="0" fontId="2" fillId="3" borderId="7" xfId="0" applyFont="1" applyFill="1" applyBorder="1" applyAlignment="1">
      <alignment horizontal="left" vertical="top"/>
    </xf>
    <xf numFmtId="0" fontId="2" fillId="3" borderId="2" xfId="0" applyFont="1" applyFill="1" applyBorder="1"/>
    <xf numFmtId="164" fontId="2" fillId="4" borderId="8" xfId="0" applyNumberFormat="1" applyFont="1" applyFill="1" applyBorder="1"/>
    <xf numFmtId="0" fontId="2" fillId="4" borderId="0" xfId="0" applyFont="1" applyFill="1"/>
    <xf numFmtId="0" fontId="1" fillId="3" borderId="0" xfId="0" applyFont="1" applyFill="1" applyAlignment="1">
      <alignment horizontal="left" vertical="center"/>
    </xf>
    <xf numFmtId="0" fontId="4" fillId="4" borderId="0" xfId="0" applyFont="1" applyFill="1" applyAlignment="1">
      <alignment horizontal="left" vertical="center"/>
    </xf>
    <xf numFmtId="0" fontId="2" fillId="4" borderId="0" xfId="0" applyFont="1" applyFill="1" applyAlignment="1">
      <alignment horizontal="left" vertical="center"/>
    </xf>
    <xf numFmtId="0" fontId="2" fillId="3" borderId="0" xfId="0" applyFont="1" applyFill="1" applyAlignment="1">
      <alignment horizontal="left" vertical="center"/>
    </xf>
    <xf numFmtId="0" fontId="1" fillId="4" borderId="0" xfId="0" applyFont="1" applyFill="1" applyAlignment="1">
      <alignment horizontal="left" vertical="center"/>
    </xf>
    <xf numFmtId="0" fontId="1" fillId="2" borderId="0" xfId="0" applyFont="1" applyFill="1" applyAlignment="1">
      <alignment horizontal="left"/>
    </xf>
    <xf numFmtId="167" fontId="2" fillId="5" borderId="8" xfId="0" applyNumberFormat="1" applyFont="1" applyFill="1" applyBorder="1"/>
    <xf numFmtId="167" fontId="1" fillId="2" borderId="0" xfId="2" applyNumberFormat="1" applyFont="1" applyFill="1"/>
    <xf numFmtId="0" fontId="2" fillId="3" borderId="0" xfId="0" applyFont="1" applyFill="1" applyAlignment="1">
      <alignment horizontal="left" vertical="top"/>
    </xf>
    <xf numFmtId="0" fontId="1" fillId="4" borderId="0" xfId="0" applyFont="1" applyFill="1"/>
    <xf numFmtId="168" fontId="1" fillId="4" borderId="0" xfId="0" applyNumberFormat="1" applyFont="1" applyFill="1"/>
    <xf numFmtId="0" fontId="2" fillId="4" borderId="1" xfId="0" applyFont="1" applyFill="1" applyBorder="1" applyAlignment="1">
      <alignment horizontal="left" vertical="center"/>
    </xf>
    <xf numFmtId="0" fontId="2" fillId="4" borderId="6" xfId="0" applyFont="1" applyFill="1" applyBorder="1" applyAlignment="1">
      <alignment horizontal="left" vertical="center"/>
    </xf>
    <xf numFmtId="0" fontId="2" fillId="4" borderId="7" xfId="0" applyFont="1" applyFill="1" applyBorder="1"/>
    <xf numFmtId="168" fontId="2" fillId="4" borderId="0" xfId="0" applyNumberFormat="1" applyFont="1" applyFill="1" applyAlignment="1">
      <alignment horizontal="right"/>
    </xf>
    <xf numFmtId="170" fontId="1" fillId="2" borderId="0" xfId="3" applyNumberFormat="1" applyFont="1" applyFill="1"/>
    <xf numFmtId="167" fontId="1" fillId="2" borderId="0" xfId="3" applyNumberFormat="1" applyFont="1" applyFill="1"/>
    <xf numFmtId="43" fontId="2" fillId="5" borderId="8" xfId="0" applyNumberFormat="1" applyFont="1" applyFill="1" applyBorder="1"/>
    <xf numFmtId="5" fontId="2" fillId="4" borderId="8" xfId="0" applyNumberFormat="1" applyFont="1" applyFill="1" applyBorder="1" applyAlignment="1">
      <alignment horizontal="right"/>
    </xf>
    <xf numFmtId="0" fontId="2" fillId="3" borderId="0" xfId="0" applyFont="1" applyFill="1" applyAlignment="1">
      <alignment vertical="top"/>
    </xf>
    <xf numFmtId="0" fontId="2" fillId="4" borderId="0" xfId="0" applyFont="1" applyFill="1" applyAlignment="1">
      <alignment vertical="top"/>
    </xf>
    <xf numFmtId="0" fontId="2" fillId="3" borderId="2" xfId="0" applyFont="1" applyFill="1" applyBorder="1" applyAlignment="1">
      <alignment horizontal="left" vertical="center"/>
    </xf>
    <xf numFmtId="0" fontId="2" fillId="4" borderId="3" xfId="0" applyFont="1" applyFill="1" applyBorder="1" applyAlignment="1">
      <alignment horizontal="left" wrapText="1"/>
    </xf>
    <xf numFmtId="0" fontId="2" fillId="3" borderId="7" xfId="0" applyFont="1" applyFill="1" applyBorder="1" applyAlignment="1">
      <alignment horizontal="left" vertical="center"/>
    </xf>
    <xf numFmtId="0" fontId="2" fillId="3" borderId="11" xfId="0" applyFont="1" applyFill="1" applyBorder="1" applyAlignment="1">
      <alignment horizontal="left" vertical="center"/>
    </xf>
    <xf numFmtId="0" fontId="2" fillId="0" borderId="8" xfId="0" applyFont="1" applyBorder="1" applyAlignment="1">
      <alignment vertical="center"/>
    </xf>
    <xf numFmtId="3" fontId="2" fillId="0" borderId="8" xfId="0" applyNumberFormat="1" applyFont="1" applyBorder="1" applyAlignment="1">
      <alignment vertical="center"/>
    </xf>
    <xf numFmtId="0" fontId="2" fillId="0" borderId="8" xfId="0" applyFont="1" applyBorder="1" applyAlignment="1">
      <alignment horizontal="right" vertical="center"/>
    </xf>
    <xf numFmtId="0" fontId="2" fillId="0" borderId="8" xfId="0" applyFont="1" applyBorder="1"/>
    <xf numFmtId="0" fontId="4" fillId="4" borderId="0" xfId="0" applyFont="1" applyFill="1" applyAlignment="1">
      <alignment wrapText="1"/>
    </xf>
    <xf numFmtId="0" fontId="2" fillId="0" borderId="0" xfId="0" applyFont="1" applyAlignment="1">
      <alignment wrapText="1"/>
    </xf>
    <xf numFmtId="10" fontId="2" fillId="4" borderId="3" xfId="0" applyNumberFormat="1" applyFont="1" applyFill="1" applyBorder="1" applyAlignment="1">
      <alignment horizontal="left" vertical="center"/>
    </xf>
    <xf numFmtId="164" fontId="2" fillId="4" borderId="3" xfId="0" applyNumberFormat="1" applyFont="1" applyFill="1" applyBorder="1" applyAlignment="1">
      <alignment horizontal="left" vertical="center"/>
    </xf>
    <xf numFmtId="0" fontId="2" fillId="3" borderId="3" xfId="0" applyFont="1" applyFill="1" applyBorder="1" applyAlignment="1">
      <alignment vertical="top" wrapText="1"/>
    </xf>
    <xf numFmtId="0" fontId="2" fillId="4" borderId="2" xfId="0" applyFont="1" applyFill="1" applyBorder="1" applyAlignment="1">
      <alignment horizontal="left" wrapText="1"/>
    </xf>
    <xf numFmtId="0" fontId="2" fillId="4" borderId="2" xfId="0" applyFont="1" applyFill="1" applyBorder="1"/>
    <xf numFmtId="0" fontId="2" fillId="3" borderId="5" xfId="0" applyFont="1" applyFill="1" applyBorder="1" applyAlignment="1">
      <alignment horizontal="left" vertical="center"/>
    </xf>
    <xf numFmtId="0" fontId="2" fillId="3" borderId="8" xfId="0" applyFont="1" applyFill="1" applyBorder="1" applyAlignment="1">
      <alignment horizontal="left" wrapText="1"/>
    </xf>
    <xf numFmtId="0" fontId="2" fillId="4" borderId="4" xfId="0" applyFont="1" applyFill="1" applyBorder="1"/>
    <xf numFmtId="164" fontId="2" fillId="4" borderId="8" xfId="0" applyNumberFormat="1" applyFont="1" applyFill="1" applyBorder="1" applyAlignment="1">
      <alignment horizontal="left"/>
    </xf>
    <xf numFmtId="168" fontId="1" fillId="4" borderId="0" xfId="0" applyNumberFormat="1" applyFont="1" applyFill="1" applyAlignment="1">
      <alignment horizontal="left"/>
    </xf>
    <xf numFmtId="5" fontId="2" fillId="4" borderId="8" xfId="0" applyNumberFormat="1" applyFont="1" applyFill="1" applyBorder="1" applyAlignment="1">
      <alignment horizontal="left"/>
    </xf>
    <xf numFmtId="168" fontId="2" fillId="4" borderId="8" xfId="0" applyNumberFormat="1" applyFont="1" applyFill="1" applyBorder="1" applyAlignment="1">
      <alignment horizontal="left"/>
    </xf>
    <xf numFmtId="10" fontId="2" fillId="4" borderId="8" xfId="1" applyNumberFormat="1" applyFont="1" applyFill="1" applyBorder="1" applyAlignment="1">
      <alignment horizontal="left"/>
    </xf>
    <xf numFmtId="0" fontId="4" fillId="4" borderId="0" xfId="0" applyFont="1" applyFill="1" applyAlignment="1">
      <alignment vertical="center"/>
    </xf>
    <xf numFmtId="10" fontId="3" fillId="0" borderId="0" xfId="0" applyNumberFormat="1" applyFont="1"/>
    <xf numFmtId="0" fontId="8" fillId="0" borderId="0" xfId="0" applyFont="1" applyAlignment="1">
      <alignment horizontal="left"/>
    </xf>
    <xf numFmtId="164" fontId="3" fillId="0" borderId="0" xfId="0" applyNumberFormat="1" applyFont="1"/>
    <xf numFmtId="165" fontId="3" fillId="0" borderId="0" xfId="0" applyNumberFormat="1" applyFont="1"/>
    <xf numFmtId="167" fontId="3" fillId="0" borderId="0" xfId="0" applyNumberFormat="1" applyFont="1"/>
    <xf numFmtId="171" fontId="3" fillId="0" borderId="0" xfId="0" applyNumberFormat="1" applyFont="1"/>
    <xf numFmtId="15" fontId="2" fillId="0" borderId="8" xfId="0" applyNumberFormat="1" applyFont="1" applyBorder="1" applyAlignment="1">
      <alignment horizontal="right" vertical="center"/>
    </xf>
    <xf numFmtId="10" fontId="3" fillId="0" borderId="0" xfId="1" applyNumberFormat="1" applyFont="1"/>
    <xf numFmtId="168" fontId="3" fillId="0" borderId="0" xfId="0" applyNumberFormat="1" applyFont="1"/>
    <xf numFmtId="4" fontId="2" fillId="0" borderId="8" xfId="0" applyNumberFormat="1" applyFont="1" applyBorder="1" applyAlignment="1">
      <alignment vertical="center"/>
    </xf>
    <xf numFmtId="0" fontId="2" fillId="3" borderId="0" xfId="0" applyFont="1" applyFill="1" applyAlignment="1">
      <alignment horizontal="left" wrapText="1"/>
    </xf>
    <xf numFmtId="167" fontId="3" fillId="0" borderId="4" xfId="0" applyNumberFormat="1" applyFont="1" applyBorder="1"/>
    <xf numFmtId="0" fontId="3" fillId="0" borderId="4" xfId="0" applyFont="1" applyBorder="1"/>
    <xf numFmtId="0" fontId="8" fillId="0" borderId="0" xfId="0" applyFont="1"/>
    <xf numFmtId="172" fontId="2" fillId="0" borderId="8" xfId="6" applyNumberFormat="1" applyFont="1" applyBorder="1" applyAlignment="1">
      <alignment vertical="center"/>
    </xf>
    <xf numFmtId="0" fontId="4" fillId="0" borderId="0" xfId="0" applyFont="1"/>
    <xf numFmtId="164" fontId="3" fillId="0" borderId="4" xfId="0" applyNumberFormat="1" applyFont="1" applyBorder="1"/>
    <xf numFmtId="0" fontId="2" fillId="3" borderId="0" xfId="0" applyFont="1" applyFill="1" applyAlignment="1">
      <alignment horizontal="left" wrapText="1"/>
    </xf>
    <xf numFmtId="0" fontId="2" fillId="3" borderId="1" xfId="0" applyFont="1" applyFill="1" applyBorder="1" applyAlignment="1">
      <alignment horizontal="left" vertical="top"/>
    </xf>
    <xf numFmtId="0" fontId="2" fillId="3" borderId="2" xfId="0" applyFont="1" applyFill="1" applyBorder="1" applyAlignment="1">
      <alignment horizontal="left" vertical="top"/>
    </xf>
    <xf numFmtId="0" fontId="2" fillId="4" borderId="1" xfId="0" applyFont="1" applyFill="1" applyBorder="1" applyAlignment="1">
      <alignment horizontal="left" wrapText="1"/>
    </xf>
    <xf numFmtId="0" fontId="2" fillId="4" borderId="2" xfId="0" applyFont="1" applyFill="1" applyBorder="1" applyAlignment="1">
      <alignment horizontal="left" wrapText="1"/>
    </xf>
    <xf numFmtId="0" fontId="2" fillId="3" borderId="6" xfId="0" quotePrefix="1" applyFont="1" applyFill="1" applyBorder="1" applyAlignment="1">
      <alignment horizontal="left" vertical="center"/>
    </xf>
    <xf numFmtId="0" fontId="2" fillId="3" borderId="4" xfId="0" applyFont="1" applyFill="1" applyBorder="1" applyAlignment="1">
      <alignment horizontal="left" vertical="center"/>
    </xf>
    <xf numFmtId="0" fontId="2" fillId="3" borderId="1" xfId="0" quotePrefix="1" applyFont="1" applyFill="1" applyBorder="1" applyAlignment="1">
      <alignment horizontal="left" vertical="center"/>
    </xf>
    <xf numFmtId="0" fontId="2" fillId="3" borderId="2" xfId="0" applyFont="1" applyFill="1" applyBorder="1" applyAlignment="1">
      <alignment horizontal="left" vertical="center"/>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2" fillId="4" borderId="0" xfId="0" applyFont="1" applyFill="1" applyAlignment="1">
      <alignment horizontal="left" vertical="center" wrapText="1"/>
    </xf>
    <xf numFmtId="0" fontId="2" fillId="3" borderId="9" xfId="0" quotePrefix="1" applyFont="1" applyFill="1" applyBorder="1" applyAlignment="1">
      <alignment horizontal="left" vertical="center"/>
    </xf>
    <xf numFmtId="0" fontId="2" fillId="3" borderId="0" xfId="0" applyFont="1" applyFill="1" applyAlignment="1">
      <alignment horizontal="left" vertical="center"/>
    </xf>
    <xf numFmtId="0" fontId="2" fillId="3" borderId="1" xfId="0" applyFont="1" applyFill="1" applyBorder="1" applyAlignment="1">
      <alignment horizontal="left" vertical="center"/>
    </xf>
    <xf numFmtId="0" fontId="7" fillId="0" borderId="0" xfId="4"/>
    <xf numFmtId="0" fontId="9" fillId="0" borderId="0" xfId="4" applyFont="1"/>
    <xf numFmtId="0" fontId="9" fillId="2" borderId="0" xfId="4" applyFont="1" applyFill="1"/>
    <xf numFmtId="0" fontId="4" fillId="2" borderId="7" xfId="4" applyFont="1" applyFill="1" applyBorder="1" applyAlignment="1">
      <alignment horizontal="left" vertical="top" wrapText="1"/>
    </xf>
    <xf numFmtId="0" fontId="4" fillId="2" borderId="4" xfId="4" applyFont="1" applyFill="1" applyBorder="1" applyAlignment="1">
      <alignment horizontal="left" vertical="top" wrapText="1"/>
    </xf>
    <xf numFmtId="0" fontId="4" fillId="2" borderId="6" xfId="4" applyFont="1" applyFill="1" applyBorder="1" applyAlignment="1">
      <alignment horizontal="left" vertical="top" wrapText="1"/>
    </xf>
    <xf numFmtId="0" fontId="7" fillId="2" borderId="0" xfId="4" applyFill="1"/>
    <xf numFmtId="0" fontId="4" fillId="2" borderId="12" xfId="4" applyFont="1" applyFill="1" applyBorder="1" applyAlignment="1">
      <alignment horizontal="left" vertical="top" wrapText="1"/>
    </xf>
    <xf numFmtId="0" fontId="4" fillId="2" borderId="5" xfId="4" applyFont="1" applyFill="1" applyBorder="1" applyAlignment="1">
      <alignment horizontal="left" vertical="top" wrapText="1"/>
    </xf>
    <xf numFmtId="0" fontId="4" fillId="2" borderId="13" xfId="4" applyFont="1" applyFill="1" applyBorder="1" applyAlignment="1">
      <alignment horizontal="left" vertical="top" wrapText="1"/>
    </xf>
    <xf numFmtId="0" fontId="2" fillId="4" borderId="0" xfId="4" applyFont="1" applyFill="1" applyAlignment="1">
      <alignment horizontal="left" wrapText="1"/>
    </xf>
    <xf numFmtId="0" fontId="4" fillId="4" borderId="0" xfId="4" applyFont="1" applyFill="1" applyAlignment="1">
      <alignment horizontal="left" vertical="center"/>
    </xf>
    <xf numFmtId="0" fontId="1" fillId="4" borderId="0" xfId="4" applyFont="1" applyFill="1" applyAlignment="1">
      <alignment horizontal="left" vertical="center"/>
    </xf>
    <xf numFmtId="0" fontId="10" fillId="4" borderId="0" xfId="4" applyFont="1" applyFill="1"/>
    <xf numFmtId="172" fontId="10" fillId="5" borderId="8" xfId="7" applyNumberFormat="1" applyFont="1" applyFill="1" applyBorder="1"/>
    <xf numFmtId="0" fontId="2" fillId="4" borderId="0" xfId="4" applyFont="1" applyFill="1"/>
    <xf numFmtId="0" fontId="11" fillId="0" borderId="0" xfId="4" applyFont="1"/>
    <xf numFmtId="0" fontId="2" fillId="2" borderId="3" xfId="4" applyFont="1" applyFill="1" applyBorder="1"/>
    <xf numFmtId="0" fontId="2" fillId="2" borderId="2" xfId="4" applyFont="1" applyFill="1" applyBorder="1"/>
    <xf numFmtId="0" fontId="4" fillId="2" borderId="1" xfId="4" applyFont="1" applyFill="1" applyBorder="1"/>
    <xf numFmtId="0" fontId="12" fillId="0" borderId="0" xfId="4" applyFont="1"/>
    <xf numFmtId="0" fontId="13" fillId="0" borderId="0" xfId="4" applyFont="1"/>
    <xf numFmtId="0" fontId="1" fillId="3" borderId="0" xfId="4" applyFont="1" applyFill="1"/>
    <xf numFmtId="0" fontId="3" fillId="0" borderId="0" xfId="4" applyFont="1"/>
    <xf numFmtId="173" fontId="2" fillId="3" borderId="8" xfId="4" applyNumberFormat="1" applyFont="1" applyFill="1" applyBorder="1"/>
    <xf numFmtId="0" fontId="2" fillId="3" borderId="8" xfId="4" applyFont="1" applyFill="1" applyBorder="1"/>
    <xf numFmtId="0" fontId="2" fillId="3" borderId="8" xfId="4" applyFont="1" applyFill="1" applyBorder="1" applyAlignment="1">
      <alignment horizontal="right"/>
    </xf>
    <xf numFmtId="0" fontId="3" fillId="0" borderId="0" xfId="4" applyFont="1" applyAlignment="1">
      <alignment horizontal="left" indent="1"/>
    </xf>
    <xf numFmtId="0" fontId="2" fillId="3" borderId="0" xfId="4" applyFont="1" applyFill="1" applyAlignment="1">
      <alignment horizontal="left" wrapText="1"/>
    </xf>
    <xf numFmtId="0" fontId="1" fillId="3" borderId="0" xfId="4" applyFont="1" applyFill="1" applyAlignment="1">
      <alignment horizontal="left" vertical="center"/>
    </xf>
    <xf numFmtId="0" fontId="8" fillId="0" borderId="0" xfId="4" applyFont="1"/>
    <xf numFmtId="171" fontId="3" fillId="0" borderId="0" xfId="8" applyNumberFormat="1" applyFont="1"/>
    <xf numFmtId="171" fontId="14" fillId="6" borderId="14" xfId="8" applyNumberFormat="1" applyFont="1" applyFill="1" applyBorder="1" applyAlignment="1">
      <alignment horizontal="right" vertical="center" wrapText="1" readingOrder="1"/>
    </xf>
    <xf numFmtId="0" fontId="10" fillId="6" borderId="14" xfId="4" applyFont="1" applyFill="1" applyBorder="1" applyAlignment="1">
      <alignment horizontal="right" vertical="top" wrapText="1"/>
    </xf>
    <xf numFmtId="0" fontId="10" fillId="6" borderId="14" xfId="4" applyFont="1" applyFill="1" applyBorder="1" applyAlignment="1">
      <alignment vertical="top" wrapText="1"/>
    </xf>
    <xf numFmtId="0" fontId="14" fillId="6" borderId="14" xfId="4" applyFont="1" applyFill="1" applyBorder="1" applyAlignment="1">
      <alignment horizontal="left" vertical="center" wrapText="1" indent="1" readingOrder="1"/>
    </xf>
    <xf numFmtId="0" fontId="1" fillId="4" borderId="0" xfId="4" applyFont="1" applyFill="1"/>
    <xf numFmtId="0" fontId="1" fillId="2" borderId="0" xfId="4" applyFont="1" applyFill="1"/>
    <xf numFmtId="174" fontId="12" fillId="0" borderId="0" xfId="4" applyNumberFormat="1" applyFont="1"/>
    <xf numFmtId="172" fontId="15" fillId="6" borderId="14" xfId="7" applyNumberFormat="1" applyFont="1" applyFill="1" applyBorder="1" applyAlignment="1">
      <alignment horizontal="right" vertical="center" wrapText="1" readingOrder="1"/>
    </xf>
    <xf numFmtId="0" fontId="15" fillId="6" borderId="14" xfId="4" applyFont="1" applyFill="1" applyBorder="1" applyAlignment="1">
      <alignment horizontal="left" vertical="center" wrapText="1" indent="1" readingOrder="1"/>
    </xf>
    <xf numFmtId="9" fontId="10" fillId="6" borderId="14" xfId="8" applyFont="1" applyFill="1" applyBorder="1" applyAlignment="1">
      <alignment horizontal="right" vertical="top" wrapText="1"/>
    </xf>
    <xf numFmtId="0" fontId="14" fillId="6" borderId="14" xfId="4" applyFont="1" applyFill="1" applyBorder="1" applyAlignment="1">
      <alignment horizontal="right" vertical="center" wrapText="1" readingOrder="1"/>
    </xf>
    <xf numFmtId="173" fontId="14" fillId="6" borderId="14" xfId="4" applyNumberFormat="1" applyFont="1" applyFill="1" applyBorder="1" applyAlignment="1">
      <alignment horizontal="right" vertical="center" wrapText="1" readingOrder="1"/>
    </xf>
    <xf numFmtId="0" fontId="2" fillId="2" borderId="0" xfId="4" applyFont="1" applyFill="1" applyAlignment="1">
      <alignment horizontal="left" vertical="center" indent="8"/>
    </xf>
    <xf numFmtId="0" fontId="17" fillId="7" borderId="14" xfId="4" applyFont="1" applyFill="1" applyBorder="1" applyAlignment="1">
      <alignment horizontal="center" vertical="center" wrapText="1" readingOrder="1"/>
    </xf>
    <xf numFmtId="0" fontId="10" fillId="7" borderId="14" xfId="4" applyFont="1" applyFill="1" applyBorder="1" applyAlignment="1">
      <alignment horizontal="center" wrapText="1"/>
    </xf>
    <xf numFmtId="0" fontId="17" fillId="7" borderId="14" xfId="4" applyFont="1" applyFill="1" applyBorder="1" applyAlignment="1">
      <alignment horizontal="left" vertical="center" wrapText="1" readingOrder="1"/>
    </xf>
    <xf numFmtId="0" fontId="17" fillId="7" borderId="15" xfId="4" applyFont="1" applyFill="1" applyBorder="1" applyAlignment="1">
      <alignment horizontal="center" vertical="center" wrapText="1" readingOrder="1"/>
    </xf>
    <xf numFmtId="0" fontId="17" fillId="7" borderId="16" xfId="4" applyFont="1" applyFill="1" applyBorder="1" applyAlignment="1">
      <alignment horizontal="center" vertical="center" wrapText="1" readingOrder="1"/>
    </xf>
    <xf numFmtId="0" fontId="18" fillId="7" borderId="14" xfId="4" applyFont="1" applyFill="1" applyBorder="1" applyAlignment="1">
      <alignment wrapText="1"/>
    </xf>
    <xf numFmtId="0" fontId="2" fillId="2" borderId="0" xfId="4" applyFont="1" applyFill="1" applyAlignment="1">
      <alignment horizontal="left" vertical="center" indent="4"/>
    </xf>
    <xf numFmtId="0" fontId="2" fillId="2" borderId="0" xfId="4" applyFont="1" applyFill="1" applyAlignment="1">
      <alignment vertical="center"/>
    </xf>
    <xf numFmtId="0" fontId="19" fillId="0" borderId="0" xfId="4" applyFont="1"/>
    <xf numFmtId="0" fontId="20" fillId="0" borderId="0" xfId="4" applyFont="1"/>
    <xf numFmtId="0" fontId="2" fillId="0" borderId="0" xfId="4" applyFont="1"/>
    <xf numFmtId="0" fontId="2" fillId="2" borderId="0" xfId="4" applyFont="1" applyFill="1" applyAlignment="1">
      <alignment horizontal="left" vertical="center" indent="2"/>
    </xf>
    <xf numFmtId="0" fontId="21" fillId="0" borderId="0" xfId="0" applyFont="1" applyAlignment="1">
      <alignment vertical="center"/>
    </xf>
    <xf numFmtId="0" fontId="21" fillId="8" borderId="0" xfId="0" applyFont="1" applyFill="1" applyAlignment="1">
      <alignment vertical="center" wrapText="1"/>
    </xf>
    <xf numFmtId="175" fontId="22" fillId="8" borderId="0" xfId="5" applyNumberFormat="1" applyFont="1" applyFill="1" applyAlignment="1">
      <alignment vertical="center" wrapText="1"/>
    </xf>
    <xf numFmtId="0" fontId="23" fillId="8" borderId="0" xfId="0" applyFont="1" applyFill="1" applyAlignment="1">
      <alignment vertical="center" wrapText="1"/>
    </xf>
    <xf numFmtId="0" fontId="8" fillId="8" borderId="0" xfId="0" applyFont="1" applyFill="1"/>
    <xf numFmtId="0" fontId="21" fillId="8" borderId="0" xfId="0" applyFont="1" applyFill="1" applyAlignment="1">
      <alignment vertical="center"/>
    </xf>
    <xf numFmtId="175" fontId="24" fillId="0" borderId="0" xfId="5" applyNumberFormat="1" applyFont="1" applyAlignment="1">
      <alignment vertical="center" wrapText="1"/>
    </xf>
    <xf numFmtId="175" fontId="24" fillId="0" borderId="0" xfId="5" applyNumberFormat="1" applyFont="1" applyAlignment="1">
      <alignment vertical="center"/>
    </xf>
    <xf numFmtId="175" fontId="22" fillId="0" borderId="0" xfId="5" applyNumberFormat="1" applyFont="1" applyAlignment="1">
      <alignment vertical="center" wrapText="1"/>
    </xf>
    <xf numFmtId="0" fontId="23" fillId="0" borderId="0" xfId="0" applyFont="1" applyAlignment="1">
      <alignment vertical="center" wrapText="1"/>
    </xf>
    <xf numFmtId="176" fontId="24" fillId="0" borderId="4" xfId="5" applyNumberFormat="1" applyFont="1" applyBorder="1" applyAlignment="1">
      <alignment vertical="center" wrapText="1"/>
    </xf>
    <xf numFmtId="0" fontId="21" fillId="0" borderId="0" xfId="0" applyFont="1" applyAlignment="1">
      <alignment vertical="center" wrapText="1"/>
    </xf>
    <xf numFmtId="168" fontId="24" fillId="8" borderId="0" xfId="5" applyNumberFormat="1" applyFont="1" applyFill="1" applyBorder="1" applyAlignment="1">
      <alignment vertical="center" wrapText="1"/>
    </xf>
    <xf numFmtId="168" fontId="24" fillId="0" borderId="0" xfId="5" applyNumberFormat="1" applyFont="1" applyBorder="1" applyAlignment="1">
      <alignment vertical="center" wrapText="1"/>
    </xf>
    <xf numFmtId="0" fontId="25" fillId="0" borderId="0" xfId="0" applyFont="1" applyAlignment="1">
      <alignment vertical="center" wrapText="1"/>
    </xf>
    <xf numFmtId="0" fontId="19" fillId="0" borderId="0" xfId="0" applyFont="1"/>
    <xf numFmtId="175" fontId="24" fillId="8" borderId="0" xfId="5" applyNumberFormat="1" applyFont="1" applyFill="1" applyAlignment="1">
      <alignment vertical="center" wrapText="1"/>
    </xf>
    <xf numFmtId="9" fontId="24" fillId="0" borderId="0" xfId="1" applyFont="1" applyBorder="1" applyAlignment="1">
      <alignment vertical="center" wrapText="1"/>
    </xf>
    <xf numFmtId="172" fontId="24" fillId="0" borderId="0" xfId="5" applyNumberFormat="1" applyFont="1" applyBorder="1" applyAlignment="1">
      <alignment vertical="center" wrapText="1"/>
    </xf>
    <xf numFmtId="172" fontId="24" fillId="0" borderId="0" xfId="5" applyNumberFormat="1" applyFont="1" applyAlignment="1">
      <alignment vertical="center" wrapText="1"/>
    </xf>
    <xf numFmtId="14" fontId="22" fillId="0" borderId="0" xfId="5" applyNumberFormat="1" applyFont="1" applyBorder="1" applyAlignment="1">
      <alignment vertical="center" wrapText="1"/>
    </xf>
    <xf numFmtId="172" fontId="24" fillId="0" borderId="4" xfId="5" applyNumberFormat="1" applyFont="1" applyBorder="1" applyAlignment="1">
      <alignment vertical="center" wrapText="1"/>
    </xf>
    <xf numFmtId="14" fontId="22" fillId="0" borderId="4" xfId="5" applyNumberFormat="1" applyFont="1" applyBorder="1" applyAlignment="1">
      <alignment vertical="center" wrapText="1"/>
    </xf>
    <xf numFmtId="168" fontId="21" fillId="0" borderId="0" xfId="5" applyNumberFormat="1" applyFont="1" applyFill="1" applyAlignment="1">
      <alignment vertical="center" wrapText="1"/>
    </xf>
    <xf numFmtId="168" fontId="24" fillId="0" borderId="0" xfId="5" applyNumberFormat="1" applyFont="1" applyAlignment="1">
      <alignment vertical="center" wrapText="1"/>
    </xf>
    <xf numFmtId="168" fontId="24" fillId="0" borderId="4" xfId="5" applyNumberFormat="1" applyFont="1" applyBorder="1" applyAlignment="1">
      <alignment vertical="center" wrapText="1"/>
    </xf>
    <xf numFmtId="0" fontId="4" fillId="2" borderId="7"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2" fillId="2" borderId="0" xfId="0" applyFont="1" applyFill="1" applyAlignment="1">
      <alignment horizontal="left" vertical="top" wrapText="1"/>
    </xf>
    <xf numFmtId="2" fontId="24" fillId="0" borderId="0" xfId="5" applyNumberFormat="1" applyFont="1" applyBorder="1" applyAlignment="1">
      <alignment vertical="center" wrapText="1"/>
    </xf>
    <xf numFmtId="0" fontId="2" fillId="2" borderId="0" xfId="0" applyFont="1" applyFill="1" applyAlignment="1">
      <alignment wrapText="1"/>
    </xf>
    <xf numFmtId="0" fontId="2" fillId="2" borderId="0" xfId="0" applyFont="1" applyFill="1" applyAlignment="1">
      <alignment horizontal="left"/>
    </xf>
    <xf numFmtId="0" fontId="2" fillId="2" borderId="0" xfId="0" applyFont="1" applyFill="1" applyAlignment="1">
      <alignment horizontal="left" wrapText="1"/>
    </xf>
    <xf numFmtId="177" fontId="3" fillId="0" borderId="0" xfId="0" applyNumberFormat="1" applyFont="1"/>
    <xf numFmtId="164" fontId="2" fillId="2" borderId="3" xfId="0" applyNumberFormat="1" applyFont="1" applyFill="1" applyBorder="1" applyAlignment="1">
      <alignment horizontal="right" vertical="center"/>
    </xf>
    <xf numFmtId="0" fontId="2" fillId="2" borderId="3" xfId="0" applyFont="1" applyFill="1" applyBorder="1"/>
    <xf numFmtId="0" fontId="2" fillId="2" borderId="2" xfId="0" applyFont="1" applyFill="1" applyBorder="1"/>
    <xf numFmtId="0" fontId="2" fillId="2" borderId="1" xfId="0" applyFont="1" applyFill="1" applyBorder="1"/>
    <xf numFmtId="168" fontId="24" fillId="0" borderId="8" xfId="5" applyNumberFormat="1" applyFont="1" applyBorder="1" applyAlignment="1">
      <alignment vertical="center" wrapText="1"/>
    </xf>
    <xf numFmtId="0" fontId="21" fillId="0" borderId="8" xfId="0" applyFont="1" applyBorder="1" applyAlignment="1">
      <alignment vertical="center" wrapText="1"/>
    </xf>
    <xf numFmtId="10" fontId="2" fillId="2" borderId="3" xfId="0" applyNumberFormat="1" applyFont="1" applyFill="1" applyBorder="1" applyAlignment="1">
      <alignment horizontal="right" vertical="center"/>
    </xf>
    <xf numFmtId="10" fontId="24" fillId="0" borderId="8" xfId="1" applyNumberFormat="1" applyFont="1" applyBorder="1" applyAlignment="1">
      <alignment vertical="center" wrapText="1"/>
    </xf>
    <xf numFmtId="10" fontId="21" fillId="0" borderId="8" xfId="0" applyNumberFormat="1" applyFont="1" applyBorder="1" applyAlignment="1">
      <alignment vertical="center" wrapText="1"/>
    </xf>
    <xf numFmtId="0" fontId="4" fillId="2" borderId="0" xfId="0" applyFont="1" applyFill="1"/>
    <xf numFmtId="15" fontId="3" fillId="0" borderId="8" xfId="0" applyNumberFormat="1" applyFont="1" applyBorder="1" applyAlignment="1">
      <alignment horizontal="right"/>
    </xf>
    <xf numFmtId="0" fontId="26" fillId="2" borderId="0" xfId="0" applyFont="1" applyFill="1"/>
    <xf numFmtId="43" fontId="3" fillId="0" borderId="0" xfId="0" applyNumberFormat="1" applyFont="1"/>
    <xf numFmtId="0" fontId="10" fillId="4" borderId="0" xfId="0" applyFont="1" applyFill="1"/>
    <xf numFmtId="166" fontId="3" fillId="0" borderId="0" xfId="5" applyFont="1"/>
    <xf numFmtId="0" fontId="2" fillId="4" borderId="0" xfId="0" applyFont="1" applyFill="1" applyAlignment="1">
      <alignment horizontal="center" vertical="center"/>
    </xf>
    <xf numFmtId="0" fontId="2" fillId="4" borderId="0" xfId="0" applyFont="1" applyFill="1" applyAlignment="1">
      <alignment horizontal="left" vertical="top"/>
    </xf>
    <xf numFmtId="0" fontId="27" fillId="4" borderId="0" xfId="0" applyFont="1" applyFill="1"/>
    <xf numFmtId="0" fontId="10" fillId="3" borderId="0" xfId="0" applyFont="1" applyFill="1" applyAlignment="1">
      <alignment horizontal="left" vertical="top"/>
    </xf>
    <xf numFmtId="168" fontId="10" fillId="4" borderId="0" xfId="0" applyNumberFormat="1" applyFont="1" applyFill="1" applyAlignment="1">
      <alignment horizontal="right"/>
    </xf>
    <xf numFmtId="0" fontId="28" fillId="4" borderId="0" xfId="0" applyFont="1" applyFill="1"/>
    <xf numFmtId="0" fontId="29" fillId="2" borderId="0" xfId="0" applyFont="1" applyFill="1" applyAlignment="1">
      <alignment horizontal="left" wrapText="1"/>
    </xf>
    <xf numFmtId="0" fontId="2" fillId="2" borderId="0" xfId="0" applyFont="1" applyFill="1" applyAlignment="1">
      <alignment horizontal="left" wrapText="1"/>
    </xf>
    <xf numFmtId="0" fontId="30" fillId="4" borderId="0" xfId="0" applyFont="1" applyFill="1"/>
    <xf numFmtId="0" fontId="10" fillId="3" borderId="0" xfId="0" applyFont="1" applyFill="1"/>
    <xf numFmtId="3" fontId="3" fillId="0" borderId="0" xfId="0" applyNumberFormat="1" applyFont="1"/>
    <xf numFmtId="166" fontId="3" fillId="0" borderId="0" xfId="0" applyNumberFormat="1" applyFont="1"/>
    <xf numFmtId="1" fontId="3" fillId="0" borderId="0" xfId="0" applyNumberFormat="1" applyFont="1"/>
    <xf numFmtId="10" fontId="31" fillId="5" borderId="8" xfId="1" applyNumberFormat="1" applyFont="1" applyFill="1" applyBorder="1"/>
    <xf numFmtId="0" fontId="4" fillId="2" borderId="1" xfId="0" applyFont="1" applyFill="1" applyBorder="1"/>
    <xf numFmtId="0" fontId="14" fillId="4" borderId="0" xfId="0" applyFont="1" applyFill="1"/>
    <xf numFmtId="0" fontId="32" fillId="4" borderId="0" xfId="0" applyFont="1" applyFill="1"/>
    <xf numFmtId="178" fontId="3" fillId="0" borderId="0" xfId="0" applyNumberFormat="1" applyFont="1"/>
    <xf numFmtId="0" fontId="2" fillId="3" borderId="8" xfId="0" applyFont="1" applyFill="1" applyBorder="1"/>
    <xf numFmtId="10" fontId="2" fillId="3" borderId="8" xfId="1" applyNumberFormat="1" applyFont="1" applyFill="1" applyBorder="1" applyAlignment="1"/>
    <xf numFmtId="170" fontId="2" fillId="3" borderId="8" xfId="5" applyNumberFormat="1" applyFont="1" applyFill="1" applyBorder="1"/>
    <xf numFmtId="10" fontId="2" fillId="3" borderId="8" xfId="0" applyNumberFormat="1" applyFont="1" applyFill="1" applyBorder="1"/>
    <xf numFmtId="0" fontId="3" fillId="2" borderId="0" xfId="0" applyFont="1" applyFill="1"/>
  </cellXfs>
  <cellStyles count="9">
    <cellStyle name="Comma 2" xfId="2" xr:uid="{7C4E7C3A-D6AA-49B1-B7AD-DED95B31ED3D}"/>
    <cellStyle name="Comma 2 2" xfId="3" xr:uid="{D8FBCC48-7602-419D-BF65-90E5D8EF6887}"/>
    <cellStyle name="Comma 3" xfId="5" xr:uid="{040AF4E3-3E32-4B36-9D50-0D1C6EF0CC8C}"/>
    <cellStyle name="Currency" xfId="6" builtinId="4"/>
    <cellStyle name="Currency 2" xfId="7" xr:uid="{DB4E71BE-F02D-47E0-B7AE-C54076E51BBD}"/>
    <cellStyle name="Normal" xfId="0" builtinId="0"/>
    <cellStyle name="Normal 2" xfId="4" xr:uid="{4BE74D3A-6EA9-4FD9-A565-85C739A55CE4}"/>
    <cellStyle name="Percent" xfId="1" builtinId="5"/>
    <cellStyle name="Percent 2" xfId="8" xr:uid="{4DD9110F-7FF9-4E10-AADC-5E1F190A30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225A-4B20-4F51-BD3F-127643FA720E}">
  <dimension ref="A1:Q130"/>
  <sheetViews>
    <sheetView zoomScaleNormal="100" workbookViewId="0"/>
  </sheetViews>
  <sheetFormatPr defaultColWidth="8.77734375" defaultRowHeight="15.6" x14ac:dyDescent="0.3"/>
  <cols>
    <col min="1" max="1" width="3.5546875" style="6" customWidth="1"/>
    <col min="2" max="2" width="11.21875" style="6" customWidth="1"/>
    <col min="3" max="3" width="28.5546875" style="6" customWidth="1"/>
    <col min="4" max="4" width="21.44140625" style="6" customWidth="1"/>
    <col min="5" max="5" width="16.77734375" style="6" customWidth="1"/>
    <col min="6" max="6" width="15" style="6" customWidth="1"/>
    <col min="7" max="7" width="34.44140625" style="6" bestFit="1" customWidth="1"/>
    <col min="8" max="8" width="24.5546875" style="6" customWidth="1"/>
    <col min="9" max="9" width="26.5546875" style="6" bestFit="1" customWidth="1"/>
    <col min="10" max="10" width="14" style="6" customWidth="1"/>
    <col min="11" max="11" width="12.77734375" style="6" customWidth="1"/>
    <col min="12" max="12" width="8.77734375" style="6"/>
    <col min="13" max="13" width="18.21875" style="6" bestFit="1" customWidth="1"/>
    <col min="14" max="14" width="14.77734375" style="6" customWidth="1"/>
    <col min="15" max="15" width="18.21875" style="6" customWidth="1"/>
    <col min="16" max="16" width="19.44140625" style="6" customWidth="1"/>
    <col min="17" max="16384" width="8.77734375" style="6"/>
  </cols>
  <sheetData>
    <row r="1" spans="1:8" x14ac:dyDescent="0.3">
      <c r="A1" s="1" t="s">
        <v>0</v>
      </c>
      <c r="B1" s="4"/>
      <c r="C1" s="5"/>
      <c r="D1" s="5"/>
      <c r="E1" s="5"/>
      <c r="F1" s="5"/>
      <c r="G1" s="5"/>
      <c r="H1" s="3" t="s">
        <v>0</v>
      </c>
    </row>
    <row r="2" spans="1:8" x14ac:dyDescent="0.3">
      <c r="A2" s="1" t="s">
        <v>1</v>
      </c>
      <c r="B2" s="4"/>
      <c r="C2" s="5"/>
      <c r="D2" s="5"/>
      <c r="E2" s="5"/>
      <c r="F2" s="5"/>
      <c r="G2" s="5"/>
      <c r="H2" s="3" t="s">
        <v>1</v>
      </c>
    </row>
    <row r="3" spans="1:8" x14ac:dyDescent="0.3">
      <c r="A3" s="1"/>
      <c r="B3" s="4"/>
      <c r="C3" s="5"/>
      <c r="D3" s="5"/>
      <c r="E3" s="5"/>
      <c r="F3" s="5"/>
      <c r="G3" s="5"/>
      <c r="H3" s="3"/>
    </row>
    <row r="4" spans="1:8" ht="36" customHeight="1" x14ac:dyDescent="0.3">
      <c r="A4" s="78" t="s">
        <v>2</v>
      </c>
      <c r="B4" s="2"/>
      <c r="C4" s="96" t="s">
        <v>3</v>
      </c>
      <c r="D4" s="96"/>
      <c r="E4" s="96"/>
      <c r="F4" s="96"/>
      <c r="G4" s="96"/>
      <c r="H4" s="3" t="s">
        <v>4</v>
      </c>
    </row>
    <row r="5" spans="1:8" x14ac:dyDescent="0.3">
      <c r="A5" s="7"/>
      <c r="B5" s="2"/>
      <c r="C5" s="8"/>
      <c r="D5" s="8"/>
      <c r="E5" s="8"/>
      <c r="F5" s="8"/>
      <c r="G5" s="8"/>
    </row>
    <row r="6" spans="1:8" x14ac:dyDescent="0.3">
      <c r="A6" s="7"/>
      <c r="B6" s="2"/>
      <c r="C6" s="5" t="s">
        <v>5</v>
      </c>
      <c r="D6" s="8"/>
      <c r="E6" s="8"/>
      <c r="F6" s="8"/>
      <c r="G6" s="8"/>
    </row>
    <row r="7" spans="1:8" x14ac:dyDescent="0.3">
      <c r="A7" s="5"/>
      <c r="B7" s="5"/>
      <c r="C7" s="5"/>
      <c r="D7" s="5"/>
      <c r="E7" s="5"/>
      <c r="F7" s="5"/>
      <c r="G7" s="5"/>
    </row>
    <row r="8" spans="1:8" x14ac:dyDescent="0.3">
      <c r="A8" s="5"/>
      <c r="B8" s="5"/>
      <c r="C8" s="9" t="s">
        <v>6</v>
      </c>
      <c r="D8" s="5"/>
      <c r="E8" s="5"/>
      <c r="F8" s="5"/>
      <c r="G8" s="5"/>
    </row>
    <row r="9" spans="1:8" x14ac:dyDescent="0.3">
      <c r="A9" s="5"/>
      <c r="B9" s="5"/>
      <c r="C9" s="5"/>
      <c r="D9" s="5"/>
      <c r="E9" s="5"/>
      <c r="F9" s="5"/>
      <c r="G9" s="5"/>
    </row>
    <row r="10" spans="1:8" x14ac:dyDescent="0.3">
      <c r="A10" s="5"/>
      <c r="B10" s="5"/>
      <c r="C10" s="10" t="s">
        <v>7</v>
      </c>
      <c r="D10" s="5"/>
      <c r="E10" s="5"/>
      <c r="F10" s="5"/>
      <c r="G10" s="5"/>
    </row>
    <row r="11" spans="1:8" x14ac:dyDescent="0.3">
      <c r="A11" s="5"/>
      <c r="B11" s="5"/>
      <c r="C11" s="10" t="s">
        <v>8</v>
      </c>
      <c r="D11" s="5"/>
      <c r="E11" s="5"/>
      <c r="F11" s="5"/>
      <c r="G11" s="5"/>
    </row>
    <row r="12" spans="1:8" x14ac:dyDescent="0.3">
      <c r="A12" s="5"/>
      <c r="B12" s="5"/>
      <c r="C12" s="5"/>
      <c r="D12" s="5"/>
      <c r="E12" s="5"/>
      <c r="F12" s="5"/>
      <c r="G12" s="5"/>
    </row>
    <row r="13" spans="1:8" x14ac:dyDescent="0.3">
      <c r="A13" s="5"/>
      <c r="B13" s="5"/>
      <c r="C13" s="9" t="s">
        <v>9</v>
      </c>
      <c r="D13" s="5"/>
      <c r="E13" s="5"/>
      <c r="F13" s="5"/>
      <c r="G13" s="5"/>
    </row>
    <row r="14" spans="1:8" x14ac:dyDescent="0.3">
      <c r="A14" s="5"/>
      <c r="B14" s="5"/>
      <c r="C14" s="5"/>
      <c r="D14" s="5"/>
      <c r="E14" s="5"/>
      <c r="F14" s="5"/>
      <c r="G14" s="5"/>
    </row>
    <row r="15" spans="1:8" x14ac:dyDescent="0.3">
      <c r="A15" s="5"/>
      <c r="B15" s="5"/>
      <c r="C15" s="5" t="s">
        <v>72</v>
      </c>
      <c r="D15" s="5"/>
      <c r="E15" s="5"/>
      <c r="F15" s="5"/>
      <c r="G15" s="5"/>
    </row>
    <row r="16" spans="1:8" x14ac:dyDescent="0.3">
      <c r="A16" s="5"/>
      <c r="B16" s="5"/>
      <c r="C16" s="5"/>
      <c r="D16" s="5"/>
      <c r="E16" s="5"/>
      <c r="F16" s="5"/>
      <c r="G16" s="5"/>
    </row>
    <row r="17" spans="1:7" x14ac:dyDescent="0.3">
      <c r="A17" s="5"/>
      <c r="B17" s="5"/>
      <c r="C17" s="11" t="s">
        <v>10</v>
      </c>
      <c r="D17" s="31"/>
      <c r="E17" s="31"/>
      <c r="F17" s="12"/>
      <c r="G17" s="65">
        <v>0.06</v>
      </c>
    </row>
    <row r="18" spans="1:7" x14ac:dyDescent="0.3">
      <c r="A18" s="5"/>
      <c r="B18" s="5"/>
      <c r="C18" s="11" t="s">
        <v>11</v>
      </c>
      <c r="D18" s="31"/>
      <c r="E18" s="31"/>
      <c r="F18" s="12"/>
      <c r="G18" s="65">
        <v>0.02</v>
      </c>
    </row>
    <row r="19" spans="1:7" x14ac:dyDescent="0.3">
      <c r="A19" s="5"/>
      <c r="B19" s="5"/>
      <c r="C19" s="11" t="s">
        <v>12</v>
      </c>
      <c r="D19" s="31"/>
      <c r="E19" s="31"/>
      <c r="F19" s="12"/>
      <c r="G19" s="66">
        <v>75000</v>
      </c>
    </row>
    <row r="20" spans="1:7" x14ac:dyDescent="0.3">
      <c r="A20" s="5"/>
      <c r="B20" s="5"/>
      <c r="C20" s="97" t="s">
        <v>13</v>
      </c>
      <c r="D20" s="98"/>
      <c r="E20" s="25"/>
      <c r="F20" s="16"/>
      <c r="G20" s="67" t="s">
        <v>14</v>
      </c>
    </row>
    <row r="21" spans="1:7" x14ac:dyDescent="0.3">
      <c r="A21" s="5"/>
      <c r="B21" s="5"/>
      <c r="C21" s="9"/>
      <c r="D21" s="5"/>
      <c r="E21" s="5"/>
      <c r="F21" s="5"/>
      <c r="G21" s="5"/>
    </row>
    <row r="22" spans="1:7" ht="15.6" customHeight="1" x14ac:dyDescent="0.3">
      <c r="A22" s="5"/>
      <c r="B22" s="5"/>
      <c r="C22" s="17" t="s">
        <v>15</v>
      </c>
      <c r="D22" s="5"/>
      <c r="E22" s="5"/>
      <c r="F22" s="5"/>
      <c r="G22" s="5"/>
    </row>
    <row r="23" spans="1:7" x14ac:dyDescent="0.3">
      <c r="A23" s="5"/>
      <c r="B23" s="5"/>
      <c r="C23" s="18"/>
      <c r="D23" s="5"/>
      <c r="E23" s="5"/>
      <c r="F23" s="5"/>
      <c r="G23" s="5"/>
    </row>
    <row r="24" spans="1:7" x14ac:dyDescent="0.3">
      <c r="A24" s="5"/>
      <c r="B24" s="5"/>
      <c r="C24" s="19" t="s">
        <v>16</v>
      </c>
      <c r="D24" s="31"/>
      <c r="E24" s="31"/>
      <c r="F24" s="12"/>
      <c r="G24" s="20">
        <v>0.04</v>
      </c>
    </row>
    <row r="25" spans="1:7" x14ac:dyDescent="0.3">
      <c r="A25" s="5"/>
      <c r="B25" s="5"/>
      <c r="C25" s="99" t="s">
        <v>17</v>
      </c>
      <c r="D25" s="100"/>
      <c r="E25" s="68"/>
      <c r="F25" s="56"/>
      <c r="G25" s="21">
        <v>3.5000000000000003E-2</v>
      </c>
    </row>
    <row r="26" spans="1:7" x14ac:dyDescent="0.3">
      <c r="A26" s="5"/>
      <c r="B26" s="5"/>
      <c r="C26" s="22" t="s">
        <v>18</v>
      </c>
      <c r="D26" s="69"/>
      <c r="E26" s="69"/>
      <c r="F26" s="23"/>
      <c r="G26" s="24">
        <v>7.0000000000000007E-2</v>
      </c>
    </row>
    <row r="27" spans="1:7" x14ac:dyDescent="0.3">
      <c r="A27" s="5"/>
      <c r="B27" s="5"/>
      <c r="C27" s="9"/>
      <c r="D27" s="5"/>
      <c r="E27" s="5"/>
      <c r="F27" s="5"/>
      <c r="G27" s="5"/>
    </row>
    <row r="28" spans="1:7" x14ac:dyDescent="0.3">
      <c r="A28" s="5"/>
      <c r="B28" s="5"/>
      <c r="C28" s="5" t="s">
        <v>19</v>
      </c>
      <c r="D28" s="5"/>
      <c r="E28" s="5"/>
      <c r="F28" s="5"/>
      <c r="G28" s="5"/>
    </row>
    <row r="29" spans="1:7" x14ac:dyDescent="0.3">
      <c r="A29" s="5"/>
      <c r="B29" s="5"/>
      <c r="C29" s="5"/>
      <c r="D29" s="5"/>
      <c r="E29" s="5"/>
      <c r="F29" s="5"/>
      <c r="G29" s="5"/>
    </row>
    <row r="30" spans="1:7" x14ac:dyDescent="0.3">
      <c r="A30" s="5"/>
      <c r="B30" s="5"/>
      <c r="C30" s="15" t="s">
        <v>20</v>
      </c>
      <c r="D30" s="25"/>
      <c r="E30" s="25"/>
      <c r="F30" s="25"/>
      <c r="G30" s="16"/>
    </row>
    <row r="31" spans="1:7" x14ac:dyDescent="0.3">
      <c r="A31" s="5"/>
      <c r="B31" s="5"/>
      <c r="C31" s="101" t="s">
        <v>70</v>
      </c>
      <c r="D31" s="102"/>
      <c r="E31" s="55"/>
      <c r="F31" s="57"/>
      <c r="G31" s="26" t="s">
        <v>21</v>
      </c>
    </row>
    <row r="32" spans="1:7" x14ac:dyDescent="0.3">
      <c r="A32" s="5"/>
      <c r="B32" s="5"/>
      <c r="C32" s="103" t="s">
        <v>69</v>
      </c>
      <c r="D32" s="104"/>
      <c r="E32" s="55"/>
      <c r="F32" s="27"/>
      <c r="G32" s="22" t="s">
        <v>22</v>
      </c>
    </row>
    <row r="33" spans="1:7" x14ac:dyDescent="0.3">
      <c r="A33" s="5"/>
      <c r="B33" s="5"/>
      <c r="C33" s="28" t="s">
        <v>23</v>
      </c>
      <c r="D33" s="29"/>
      <c r="E33" s="29"/>
      <c r="F33" s="29"/>
      <c r="G33" s="30"/>
    </row>
    <row r="34" spans="1:7" x14ac:dyDescent="0.3">
      <c r="A34" s="5"/>
      <c r="B34" s="5"/>
      <c r="C34" s="109" t="s">
        <v>70</v>
      </c>
      <c r="D34" s="110"/>
      <c r="E34" s="70"/>
      <c r="F34" s="58"/>
      <c r="G34" s="13">
        <v>4.7199999999999999E-2</v>
      </c>
    </row>
    <row r="35" spans="1:7" ht="16.2" customHeight="1" x14ac:dyDescent="0.3">
      <c r="A35" s="5"/>
      <c r="B35" s="5"/>
      <c r="C35" s="103" t="s">
        <v>69</v>
      </c>
      <c r="D35" s="104"/>
      <c r="E35" s="55"/>
      <c r="F35" s="27"/>
      <c r="G35" s="13">
        <v>1.5100000000000001E-2</v>
      </c>
    </row>
    <row r="36" spans="1:7" x14ac:dyDescent="0.3">
      <c r="A36" s="5"/>
      <c r="B36" s="5"/>
      <c r="C36" s="111" t="s">
        <v>24</v>
      </c>
      <c r="D36" s="104"/>
      <c r="E36" s="55"/>
      <c r="F36" s="55"/>
      <c r="G36" s="14">
        <v>200000</v>
      </c>
    </row>
    <row r="37" spans="1:7" x14ac:dyDescent="0.3">
      <c r="A37" s="5"/>
      <c r="B37" s="5"/>
      <c r="C37" s="9"/>
      <c r="D37" s="5"/>
      <c r="E37" s="5"/>
      <c r="F37" s="5"/>
      <c r="G37" s="5"/>
    </row>
    <row r="38" spans="1:7" x14ac:dyDescent="0.3">
      <c r="A38" s="5"/>
      <c r="B38" s="5"/>
      <c r="C38" s="9" t="s">
        <v>71</v>
      </c>
      <c r="D38" s="4"/>
      <c r="E38" s="4"/>
      <c r="F38" s="4"/>
      <c r="G38" s="5"/>
    </row>
    <row r="39" spans="1:7" x14ac:dyDescent="0.3">
      <c r="A39" s="5"/>
      <c r="B39" s="5"/>
      <c r="C39" s="5"/>
      <c r="D39" s="5"/>
      <c r="E39" s="5"/>
      <c r="F39" s="5"/>
      <c r="G39" s="5"/>
    </row>
    <row r="40" spans="1:7" x14ac:dyDescent="0.3">
      <c r="A40" s="5"/>
      <c r="B40" s="5"/>
      <c r="C40" s="11" t="s">
        <v>25</v>
      </c>
      <c r="D40" s="31"/>
      <c r="E40" s="31"/>
      <c r="F40" s="31"/>
      <c r="G40" s="32">
        <v>28750000</v>
      </c>
    </row>
    <row r="41" spans="1:7" x14ac:dyDescent="0.3">
      <c r="A41" s="5"/>
      <c r="B41" s="5"/>
      <c r="C41" s="11" t="s">
        <v>26</v>
      </c>
      <c r="D41" s="31"/>
      <c r="E41" s="31"/>
      <c r="F41" s="31"/>
      <c r="G41" s="32">
        <v>18500000</v>
      </c>
    </row>
    <row r="42" spans="1:7" x14ac:dyDescent="0.3">
      <c r="A42" s="5"/>
      <c r="B42" s="5"/>
      <c r="C42" s="11" t="s">
        <v>27</v>
      </c>
      <c r="D42" s="31"/>
      <c r="E42" s="31"/>
      <c r="F42" s="31"/>
      <c r="G42" s="32">
        <v>10000000</v>
      </c>
    </row>
    <row r="43" spans="1:7" x14ac:dyDescent="0.3">
      <c r="A43" s="5"/>
      <c r="B43" s="5"/>
      <c r="C43" s="11" t="s">
        <v>28</v>
      </c>
      <c r="D43" s="31"/>
      <c r="E43" s="31"/>
      <c r="F43" s="31"/>
      <c r="G43" s="32">
        <v>15725000</v>
      </c>
    </row>
    <row r="44" spans="1:7" x14ac:dyDescent="0.3">
      <c r="A44" s="5"/>
      <c r="B44" s="5"/>
      <c r="C44" s="11" t="s">
        <v>29</v>
      </c>
      <c r="D44" s="31"/>
      <c r="E44" s="31"/>
      <c r="F44" s="31"/>
      <c r="G44" s="32">
        <v>8500000</v>
      </c>
    </row>
    <row r="45" spans="1:7" x14ac:dyDescent="0.3">
      <c r="A45" s="5"/>
      <c r="B45" s="5"/>
      <c r="C45" s="11" t="s">
        <v>30</v>
      </c>
      <c r="D45" s="31"/>
      <c r="E45" s="31"/>
      <c r="F45" s="31"/>
      <c r="G45" s="32">
        <v>350000</v>
      </c>
    </row>
    <row r="46" spans="1:7" x14ac:dyDescent="0.3">
      <c r="A46" s="5"/>
      <c r="B46" s="5"/>
      <c r="C46" s="11" t="s">
        <v>31</v>
      </c>
      <c r="D46" s="31"/>
      <c r="E46" s="31"/>
      <c r="F46" s="31"/>
      <c r="G46" s="32">
        <v>300000</v>
      </c>
    </row>
    <row r="47" spans="1:7" x14ac:dyDescent="0.3">
      <c r="A47" s="5"/>
      <c r="B47" s="5"/>
      <c r="C47" s="11" t="s">
        <v>32</v>
      </c>
      <c r="D47" s="31"/>
      <c r="E47" s="31"/>
      <c r="F47" s="31"/>
      <c r="G47" s="32">
        <v>12000000</v>
      </c>
    </row>
    <row r="48" spans="1:7" x14ac:dyDescent="0.3">
      <c r="A48" s="5"/>
      <c r="B48" s="5"/>
      <c r="C48" s="11" t="s">
        <v>33</v>
      </c>
      <c r="D48" s="31"/>
      <c r="E48" s="31"/>
      <c r="F48" s="31"/>
      <c r="G48" s="32">
        <v>10000000</v>
      </c>
    </row>
    <row r="49" spans="1:16" x14ac:dyDescent="0.3">
      <c r="A49" s="5"/>
      <c r="B49" s="5"/>
      <c r="C49" s="11" t="s">
        <v>34</v>
      </c>
      <c r="D49" s="31"/>
      <c r="E49" s="31"/>
      <c r="F49" s="31"/>
      <c r="G49" s="32">
        <v>9725000</v>
      </c>
    </row>
    <row r="50" spans="1:16" x14ac:dyDescent="0.3">
      <c r="A50" s="5"/>
      <c r="B50" s="5"/>
      <c r="C50" s="11" t="s">
        <v>35</v>
      </c>
      <c r="D50" s="31"/>
      <c r="E50" s="31"/>
      <c r="F50" s="31"/>
      <c r="G50" s="32">
        <v>15000000</v>
      </c>
    </row>
    <row r="51" spans="1:16" x14ac:dyDescent="0.3">
      <c r="A51" s="5"/>
      <c r="B51" s="5"/>
      <c r="C51" s="11" t="s">
        <v>36</v>
      </c>
      <c r="D51" s="31"/>
      <c r="E51" s="31"/>
      <c r="F51" s="31"/>
      <c r="G51" s="32">
        <v>11000000</v>
      </c>
    </row>
    <row r="52" spans="1:16" x14ac:dyDescent="0.3">
      <c r="A52" s="5"/>
      <c r="B52" s="5"/>
      <c r="C52" s="11" t="s">
        <v>37</v>
      </c>
      <c r="D52" s="31"/>
      <c r="E52" s="31"/>
      <c r="F52" s="31"/>
      <c r="G52" s="32">
        <v>13650000</v>
      </c>
    </row>
    <row r="53" spans="1:16" x14ac:dyDescent="0.3">
      <c r="A53" s="5"/>
      <c r="B53" s="5"/>
      <c r="C53" s="9"/>
      <c r="D53" s="5"/>
      <c r="E53" s="5"/>
      <c r="F53" s="5"/>
      <c r="G53" s="5"/>
    </row>
    <row r="54" spans="1:16" x14ac:dyDescent="0.3">
      <c r="A54" s="5"/>
      <c r="B54" s="33"/>
      <c r="C54" s="33"/>
      <c r="D54" s="33"/>
      <c r="E54" s="33"/>
      <c r="F54" s="33"/>
      <c r="G54" s="33"/>
    </row>
    <row r="55" spans="1:16" ht="35.25" customHeight="1" x14ac:dyDescent="0.3">
      <c r="A55" s="34" t="s">
        <v>38</v>
      </c>
      <c r="B55" s="35" t="s">
        <v>39</v>
      </c>
      <c r="C55" s="108" t="s">
        <v>40</v>
      </c>
      <c r="D55" s="108"/>
      <c r="E55" s="108"/>
      <c r="F55" s="108"/>
      <c r="G55" s="108"/>
      <c r="I55" s="92" t="s">
        <v>123</v>
      </c>
    </row>
    <row r="56" spans="1:16" x14ac:dyDescent="0.3">
      <c r="A56" s="37"/>
      <c r="B56" s="35"/>
      <c r="C56" s="38"/>
      <c r="D56" s="33"/>
      <c r="E56" s="33"/>
      <c r="F56" s="33"/>
      <c r="G56" s="33"/>
      <c r="I56" s="3" t="s">
        <v>87</v>
      </c>
      <c r="J56" s="3"/>
      <c r="K56" s="3"/>
      <c r="L56" s="3"/>
      <c r="M56" s="3"/>
      <c r="N56" s="3"/>
      <c r="O56" s="3"/>
      <c r="P56" s="3"/>
    </row>
    <row r="57" spans="1:16" ht="33" customHeight="1" x14ac:dyDescent="0.3">
      <c r="A57" s="37"/>
      <c r="B57" s="35"/>
      <c r="C57" s="105" t="s">
        <v>41</v>
      </c>
      <c r="D57" s="106"/>
      <c r="E57" s="106"/>
      <c r="F57" s="106"/>
      <c r="G57" s="107"/>
      <c r="I57" s="3" t="s">
        <v>88</v>
      </c>
      <c r="J57" s="3"/>
      <c r="K57" s="3"/>
      <c r="L57" s="3"/>
      <c r="M57" s="3"/>
      <c r="N57" s="3"/>
      <c r="O57" s="3"/>
      <c r="P57" s="3"/>
    </row>
    <row r="58" spans="1:16" x14ac:dyDescent="0.3">
      <c r="A58" s="37"/>
      <c r="B58" s="35"/>
      <c r="C58" s="38"/>
      <c r="D58" s="33"/>
      <c r="E58" s="33"/>
      <c r="F58" s="33"/>
      <c r="G58" s="33"/>
      <c r="I58" s="3">
        <v>1</v>
      </c>
      <c r="J58" s="79">
        <f>G24</f>
        <v>0.04</v>
      </c>
      <c r="K58" s="3"/>
      <c r="L58" s="3"/>
      <c r="M58" s="80">
        <v>2025</v>
      </c>
      <c r="N58" s="3" t="s">
        <v>106</v>
      </c>
      <c r="O58" s="3" t="s">
        <v>107</v>
      </c>
      <c r="P58" s="3"/>
    </row>
    <row r="59" spans="1:16" x14ac:dyDescent="0.3">
      <c r="A59" s="5"/>
      <c r="B59" s="7"/>
      <c r="C59" s="39" t="s">
        <v>42</v>
      </c>
      <c r="D59" s="2"/>
      <c r="E59" s="2"/>
      <c r="F59" s="2"/>
      <c r="G59" s="2"/>
      <c r="I59" s="3">
        <v>2</v>
      </c>
      <c r="J59" s="79">
        <f>G25</f>
        <v>3.5000000000000003E-2</v>
      </c>
      <c r="K59" s="3"/>
      <c r="L59" s="3"/>
      <c r="M59" s="3" t="s">
        <v>30</v>
      </c>
      <c r="N59" s="81">
        <f>G45</f>
        <v>350000</v>
      </c>
      <c r="O59" s="81">
        <f>G46</f>
        <v>300000</v>
      </c>
      <c r="P59" s="3"/>
    </row>
    <row r="60" spans="1:16" x14ac:dyDescent="0.3">
      <c r="A60" s="5"/>
      <c r="B60" s="7"/>
      <c r="C60" s="2" t="s">
        <v>43</v>
      </c>
      <c r="D60" s="2"/>
      <c r="E60" s="2"/>
      <c r="F60" s="2"/>
      <c r="G60" s="40">
        <f>N62</f>
        <v>453125</v>
      </c>
      <c r="I60" s="3">
        <v>3</v>
      </c>
      <c r="J60" s="79">
        <f>MAX(0,G17-G26)</f>
        <v>0</v>
      </c>
      <c r="K60" s="3"/>
      <c r="L60" s="3"/>
      <c r="M60" s="3" t="s">
        <v>89</v>
      </c>
      <c r="N60" s="81">
        <f>G19</f>
        <v>75000</v>
      </c>
      <c r="O60" s="3"/>
      <c r="P60" s="3"/>
    </row>
    <row r="61" spans="1:16" x14ac:dyDescent="0.3">
      <c r="A61" s="5"/>
      <c r="B61" s="7"/>
      <c r="C61" s="2" t="s">
        <v>44</v>
      </c>
      <c r="D61" s="2"/>
      <c r="E61" s="2"/>
      <c r="F61" s="2"/>
      <c r="G61" s="40">
        <v>0</v>
      </c>
      <c r="I61" s="3" t="s">
        <v>87</v>
      </c>
      <c r="J61" s="79">
        <f>SUM(J58:J60)</f>
        <v>7.5000000000000011E-2</v>
      </c>
      <c r="K61" s="3"/>
      <c r="L61" s="3"/>
      <c r="M61" s="3" t="s">
        <v>120</v>
      </c>
      <c r="N61" s="82">
        <f>(N60+O59)*J61</f>
        <v>28125.000000000004</v>
      </c>
      <c r="O61" s="3"/>
      <c r="P61" s="3"/>
    </row>
    <row r="62" spans="1:16" x14ac:dyDescent="0.3">
      <c r="A62" s="5"/>
      <c r="B62" s="7"/>
      <c r="C62" s="1" t="s">
        <v>45</v>
      </c>
      <c r="D62" s="2"/>
      <c r="E62" s="2"/>
      <c r="F62" s="2"/>
      <c r="G62" s="41">
        <f>G60+G61</f>
        <v>453125</v>
      </c>
      <c r="I62" s="3"/>
      <c r="J62" s="3"/>
      <c r="K62" s="3"/>
      <c r="L62" s="3"/>
      <c r="M62" s="3" t="s">
        <v>121</v>
      </c>
      <c r="N62" s="81">
        <f>SUM(N59:N61)</f>
        <v>453125</v>
      </c>
      <c r="O62" s="3"/>
      <c r="P62" s="3"/>
    </row>
    <row r="63" spans="1:16" x14ac:dyDescent="0.3">
      <c r="A63" s="5"/>
      <c r="B63" s="7"/>
      <c r="C63" s="1"/>
      <c r="D63" s="2"/>
      <c r="E63" s="2"/>
      <c r="F63" s="2"/>
      <c r="G63" s="41"/>
      <c r="I63" s="3"/>
      <c r="J63" s="3"/>
      <c r="K63" s="3"/>
      <c r="L63" s="3"/>
      <c r="M63" s="3"/>
      <c r="N63" s="82"/>
      <c r="O63" s="3"/>
      <c r="P63" s="3"/>
    </row>
    <row r="64" spans="1:16" x14ac:dyDescent="0.3">
      <c r="A64" s="5"/>
      <c r="B64" s="7"/>
      <c r="C64" s="39" t="s">
        <v>46</v>
      </c>
      <c r="D64" s="39"/>
      <c r="E64" s="39"/>
      <c r="F64" s="39"/>
      <c r="G64" s="40">
        <f>-MIN(N67:N69)+G60</f>
        <v>11553125</v>
      </c>
      <c r="I64" s="3" t="s">
        <v>91</v>
      </c>
      <c r="J64" s="83">
        <f>G40</f>
        <v>28750000</v>
      </c>
      <c r="K64" s="3"/>
      <c r="L64" s="3"/>
      <c r="M64" s="3" t="s">
        <v>92</v>
      </c>
      <c r="N64" s="82">
        <v>0</v>
      </c>
      <c r="O64" s="3" t="s">
        <v>93</v>
      </c>
      <c r="P64" s="3"/>
    </row>
    <row r="65" spans="1:16" x14ac:dyDescent="0.3">
      <c r="A65" s="5"/>
      <c r="B65" s="7"/>
      <c r="C65" s="1"/>
      <c r="D65" s="2"/>
      <c r="E65" s="2"/>
      <c r="F65" s="2"/>
      <c r="G65" s="41"/>
      <c r="I65" s="3" t="s">
        <v>117</v>
      </c>
      <c r="J65" s="83">
        <f>G41+G42</f>
        <v>28500000</v>
      </c>
      <c r="K65" s="3"/>
      <c r="L65" s="3"/>
      <c r="M65" s="3"/>
      <c r="N65" s="3"/>
      <c r="O65" s="3"/>
      <c r="P65" s="3"/>
    </row>
    <row r="66" spans="1:16" x14ac:dyDescent="0.3">
      <c r="A66" s="5"/>
      <c r="B66" s="7"/>
      <c r="C66" s="39" t="s">
        <v>73</v>
      </c>
      <c r="D66" s="2"/>
      <c r="E66" s="2"/>
      <c r="F66" s="2"/>
      <c r="G66" s="2"/>
      <c r="I66" s="3" t="s">
        <v>87</v>
      </c>
      <c r="J66" s="83">
        <f>(G43+G44)*J61</f>
        <v>1816875.0000000002</v>
      </c>
      <c r="K66" s="3"/>
      <c r="L66" s="3"/>
      <c r="M66" s="91" t="s">
        <v>94</v>
      </c>
      <c r="N66" s="91"/>
      <c r="O66" s="3"/>
      <c r="P66" s="3"/>
    </row>
    <row r="67" spans="1:16" s="64" customFormat="1" ht="30.75" customHeight="1" x14ac:dyDescent="0.3">
      <c r="A67" s="8"/>
      <c r="B67" s="63"/>
      <c r="C67" s="71" t="s">
        <v>74</v>
      </c>
      <c r="D67" s="71" t="s">
        <v>75</v>
      </c>
      <c r="E67" s="71" t="s">
        <v>76</v>
      </c>
      <c r="F67" s="71" t="s">
        <v>77</v>
      </c>
      <c r="G67" s="71" t="s">
        <v>78</v>
      </c>
      <c r="I67" s="3" t="s">
        <v>118</v>
      </c>
      <c r="J67" s="90">
        <f>SUM(J65:J66)</f>
        <v>30316875</v>
      </c>
      <c r="K67" s="3"/>
      <c r="L67" s="3"/>
      <c r="M67" s="3" t="s">
        <v>95</v>
      </c>
      <c r="N67" s="83">
        <f>J68</f>
        <v>-1566875</v>
      </c>
      <c r="O67" s="3"/>
      <c r="P67" s="3"/>
    </row>
    <row r="68" spans="1:16" x14ac:dyDescent="0.3">
      <c r="A68" s="5"/>
      <c r="B68" s="7"/>
      <c r="C68" s="59" t="s">
        <v>104</v>
      </c>
      <c r="D68" s="93">
        <f>N74/12</f>
        <v>18306.970721771242</v>
      </c>
      <c r="E68" s="85">
        <v>45657</v>
      </c>
      <c r="F68" s="85">
        <v>46023</v>
      </c>
      <c r="G68" s="85">
        <v>49674</v>
      </c>
      <c r="I68" s="3" t="s">
        <v>97</v>
      </c>
      <c r="J68" s="83">
        <f>J64-J67</f>
        <v>-1566875</v>
      </c>
      <c r="K68" s="3"/>
      <c r="L68" s="3"/>
      <c r="M68" s="3" t="s">
        <v>96</v>
      </c>
      <c r="N68" s="83">
        <f>J73</f>
        <v>-3175000</v>
      </c>
      <c r="O68" s="3"/>
      <c r="P68" s="3"/>
    </row>
    <row r="69" spans="1:16" x14ac:dyDescent="0.3">
      <c r="A69" s="42"/>
      <c r="B69" s="7"/>
      <c r="C69" s="59"/>
      <c r="D69" s="60"/>
      <c r="E69" s="61"/>
      <c r="F69" s="62"/>
      <c r="G69" s="61"/>
      <c r="I69" s="3"/>
      <c r="J69" s="83"/>
      <c r="K69" s="3"/>
      <c r="L69" s="3"/>
      <c r="M69" s="3" t="s">
        <v>98</v>
      </c>
      <c r="N69" s="83">
        <f>J78</f>
        <v>-11100000</v>
      </c>
      <c r="O69" s="3"/>
      <c r="P69" s="3"/>
    </row>
    <row r="70" spans="1:16" x14ac:dyDescent="0.3">
      <c r="A70" s="42"/>
      <c r="B70" s="7"/>
      <c r="C70" s="59"/>
      <c r="D70" s="60"/>
      <c r="E70" s="61"/>
      <c r="F70" s="62"/>
      <c r="G70" s="61"/>
      <c r="I70" s="3"/>
      <c r="J70" s="83"/>
      <c r="K70" s="3"/>
      <c r="L70" s="3"/>
      <c r="M70" s="3"/>
      <c r="N70" s="3"/>
      <c r="O70" s="3"/>
      <c r="P70" s="3"/>
    </row>
    <row r="71" spans="1:16" x14ac:dyDescent="0.3">
      <c r="A71" s="42"/>
      <c r="B71" s="7"/>
      <c r="C71" s="33"/>
      <c r="D71" s="33"/>
      <c r="E71" s="33"/>
      <c r="F71" s="33"/>
      <c r="G71" s="33"/>
      <c r="I71" s="3" t="s">
        <v>56</v>
      </c>
      <c r="J71" s="83">
        <f>J64-G36</f>
        <v>28550000</v>
      </c>
      <c r="K71" s="3"/>
      <c r="L71" s="3"/>
      <c r="M71" s="91" t="s">
        <v>99</v>
      </c>
      <c r="N71" s="91"/>
      <c r="O71" s="3"/>
      <c r="P71" s="3"/>
    </row>
    <row r="72" spans="1:16" x14ac:dyDescent="0.3">
      <c r="A72" s="42"/>
      <c r="B72" s="7"/>
      <c r="C72" s="43" t="s">
        <v>5</v>
      </c>
      <c r="D72" s="43"/>
      <c r="E72" s="43"/>
      <c r="F72" s="43"/>
      <c r="G72" s="43"/>
      <c r="I72" s="3" t="s">
        <v>57</v>
      </c>
      <c r="J72" s="90">
        <f>SUM(G47:G49)</f>
        <v>31725000</v>
      </c>
      <c r="K72" s="3"/>
      <c r="L72" s="3"/>
      <c r="M72" s="3" t="s">
        <v>95</v>
      </c>
      <c r="N72" s="3"/>
      <c r="O72" s="81"/>
      <c r="P72" s="3"/>
    </row>
    <row r="73" spans="1:16" x14ac:dyDescent="0.3">
      <c r="A73" s="42"/>
      <c r="B73" s="7"/>
      <c r="C73" s="33"/>
      <c r="D73" s="33"/>
      <c r="E73" s="33"/>
      <c r="F73" s="33"/>
      <c r="G73" s="33"/>
      <c r="I73" s="3" t="s">
        <v>100</v>
      </c>
      <c r="J73" s="83">
        <f>J71-J72</f>
        <v>-3175000</v>
      </c>
      <c r="K73" s="84">
        <f>(J71+D41)/J72</f>
        <v>0.89992119779353819</v>
      </c>
      <c r="L73" s="3"/>
      <c r="M73" s="3" t="s">
        <v>122</v>
      </c>
      <c r="N73" s="86">
        <f>(1+G17)^(1/12)-1</f>
        <v>4.8675505653430484E-3</v>
      </c>
      <c r="O73" s="81"/>
      <c r="P73" s="3"/>
    </row>
    <row r="74" spans="1:16" x14ac:dyDescent="0.3">
      <c r="A74" s="42"/>
      <c r="B74" s="7"/>
      <c r="C74" s="38" t="s">
        <v>79</v>
      </c>
      <c r="D74" s="33"/>
      <c r="E74" s="33"/>
      <c r="F74" s="33"/>
      <c r="G74" s="44"/>
      <c r="I74" s="3"/>
      <c r="J74" s="83"/>
      <c r="K74" s="3"/>
      <c r="L74" s="84"/>
      <c r="M74" s="3" t="s">
        <v>101</v>
      </c>
      <c r="N74" s="82">
        <f>-PMT(N73,10*12,-N67)*12*1.06</f>
        <v>219683.64866125491</v>
      </c>
      <c r="O74" s="3"/>
      <c r="P74" s="3"/>
    </row>
    <row r="75" spans="1:16" x14ac:dyDescent="0.3">
      <c r="A75" s="42"/>
      <c r="B75" s="7"/>
      <c r="C75" s="45" t="s">
        <v>80</v>
      </c>
      <c r="D75" s="69"/>
      <c r="E75" s="69"/>
      <c r="F75" s="23"/>
      <c r="G75" s="73">
        <v>33750000</v>
      </c>
      <c r="I75" s="3"/>
      <c r="J75" s="83"/>
      <c r="K75" s="3"/>
      <c r="L75" s="3"/>
      <c r="M75" s="3"/>
      <c r="N75" s="81"/>
      <c r="O75" s="81"/>
      <c r="P75" s="3"/>
    </row>
    <row r="76" spans="1:16" x14ac:dyDescent="0.3">
      <c r="A76" s="42"/>
      <c r="B76" s="7"/>
      <c r="C76" s="46" t="s">
        <v>81</v>
      </c>
      <c r="D76" s="72"/>
      <c r="E76" s="72"/>
      <c r="F76" s="47"/>
      <c r="G76" s="73">
        <v>200000</v>
      </c>
      <c r="I76" s="3" t="s">
        <v>102</v>
      </c>
      <c r="J76" s="83">
        <f>J71</f>
        <v>28550000</v>
      </c>
      <c r="K76" s="3"/>
      <c r="L76" s="3"/>
      <c r="M76" s="3"/>
      <c r="N76" s="3"/>
      <c r="O76" s="3"/>
      <c r="P76" s="3"/>
    </row>
    <row r="77" spans="1:16" x14ac:dyDescent="0.3">
      <c r="A77" s="42"/>
      <c r="B77" s="7"/>
      <c r="C77" s="33"/>
      <c r="D77" s="33"/>
      <c r="E77" s="33"/>
      <c r="F77" s="33"/>
      <c r="G77" s="74"/>
      <c r="I77" s="3" t="s">
        <v>103</v>
      </c>
      <c r="J77" s="90">
        <f>SUM(G50:G52)</f>
        <v>39650000</v>
      </c>
      <c r="K77" s="3"/>
      <c r="L77" s="3"/>
      <c r="M77" s="3"/>
      <c r="N77" s="3"/>
      <c r="O77" s="3"/>
      <c r="P77" s="3"/>
    </row>
    <row r="78" spans="1:16" x14ac:dyDescent="0.3">
      <c r="A78" s="42"/>
      <c r="B78" s="7"/>
      <c r="C78" s="38" t="s">
        <v>83</v>
      </c>
      <c r="D78" s="33"/>
      <c r="E78" s="33"/>
      <c r="F78" s="33"/>
      <c r="G78" s="74"/>
      <c r="I78" s="3" t="s">
        <v>119</v>
      </c>
      <c r="J78" s="83">
        <f>J76-J77</f>
        <v>-11100000</v>
      </c>
      <c r="K78" s="84">
        <f>G40/J77</f>
        <v>0.72509457755359397</v>
      </c>
      <c r="L78" s="3"/>
      <c r="M78" s="3"/>
      <c r="N78" s="3"/>
      <c r="O78" s="3"/>
      <c r="P78" s="3"/>
    </row>
    <row r="79" spans="1:16" x14ac:dyDescent="0.3">
      <c r="A79" s="42"/>
      <c r="B79" s="7"/>
      <c r="C79" s="45" t="s">
        <v>82</v>
      </c>
      <c r="D79" s="69"/>
      <c r="E79" s="69"/>
      <c r="F79" s="23"/>
      <c r="G79" s="75">
        <v>550000</v>
      </c>
      <c r="M79" s="3"/>
      <c r="N79" s="3"/>
      <c r="O79" s="3"/>
      <c r="P79" s="3"/>
    </row>
    <row r="80" spans="1:16" x14ac:dyDescent="0.3">
      <c r="A80" s="42"/>
      <c r="B80" s="7"/>
      <c r="C80" s="45" t="s">
        <v>47</v>
      </c>
      <c r="D80" s="69"/>
      <c r="E80" s="69"/>
      <c r="F80" s="23"/>
      <c r="G80" s="76" t="s">
        <v>48</v>
      </c>
    </row>
    <row r="81" spans="1:12" x14ac:dyDescent="0.3">
      <c r="A81" s="42"/>
      <c r="B81" s="7"/>
      <c r="C81" s="45" t="s">
        <v>49</v>
      </c>
      <c r="D81" s="69"/>
      <c r="E81" s="69"/>
      <c r="F81" s="23"/>
      <c r="G81" s="77">
        <v>0.02</v>
      </c>
    </row>
    <row r="82" spans="1:12" x14ac:dyDescent="0.3">
      <c r="A82" s="42"/>
      <c r="B82" s="7"/>
      <c r="C82" s="36"/>
      <c r="D82" s="33"/>
      <c r="E82" s="33"/>
      <c r="F82" s="33"/>
      <c r="G82" s="48"/>
    </row>
    <row r="83" spans="1:12" x14ac:dyDescent="0.3">
      <c r="A83" s="34" t="s">
        <v>50</v>
      </c>
      <c r="B83" s="35" t="s">
        <v>51</v>
      </c>
      <c r="C83" s="36" t="s">
        <v>52</v>
      </c>
      <c r="D83" s="33"/>
      <c r="E83" s="33"/>
      <c r="F83" s="33"/>
      <c r="G83" s="48"/>
    </row>
    <row r="84" spans="1:12" x14ac:dyDescent="0.3">
      <c r="A84" s="34"/>
      <c r="B84" s="35"/>
      <c r="C84" s="36"/>
      <c r="D84" s="33"/>
      <c r="E84" s="33"/>
      <c r="F84" s="33"/>
      <c r="G84" s="48"/>
    </row>
    <row r="85" spans="1:12" ht="33" customHeight="1" x14ac:dyDescent="0.3">
      <c r="A85" s="37"/>
      <c r="B85" s="35"/>
      <c r="C85" s="105" t="s">
        <v>41</v>
      </c>
      <c r="D85" s="106"/>
      <c r="E85" s="106"/>
      <c r="F85" s="106"/>
      <c r="G85" s="107"/>
      <c r="I85" s="92" t="s">
        <v>105</v>
      </c>
      <c r="J85" s="3" t="s">
        <v>124</v>
      </c>
      <c r="K85" s="3"/>
      <c r="L85" s="3"/>
    </row>
    <row r="86" spans="1:12" x14ac:dyDescent="0.3">
      <c r="A86" s="42"/>
      <c r="B86" s="7"/>
      <c r="C86" s="36"/>
      <c r="D86" s="33"/>
      <c r="E86" s="33"/>
      <c r="F86" s="33"/>
      <c r="G86" s="48"/>
      <c r="I86" s="3" t="s">
        <v>108</v>
      </c>
      <c r="J86" s="3" t="s">
        <v>106</v>
      </c>
      <c r="K86" s="3" t="s">
        <v>107</v>
      </c>
      <c r="L86" s="3"/>
    </row>
    <row r="87" spans="1:12" x14ac:dyDescent="0.3">
      <c r="A87" s="42"/>
      <c r="B87" s="7"/>
      <c r="C87" s="38" t="s">
        <v>53</v>
      </c>
      <c r="D87" s="33"/>
      <c r="E87" s="33"/>
      <c r="F87" s="33"/>
      <c r="G87" s="40">
        <f>G75</f>
        <v>33750000</v>
      </c>
      <c r="I87" s="3" t="s">
        <v>117</v>
      </c>
      <c r="J87" s="81">
        <f>(J65+N59)*(1+G17)-G76*(1+G17/2)</f>
        <v>30375000</v>
      </c>
      <c r="K87" s="81">
        <f>(G43+G44+O59)*(1+G17)-G76*(1+G17/2)</f>
        <v>25790500</v>
      </c>
      <c r="L87" s="81"/>
    </row>
    <row r="88" spans="1:12" x14ac:dyDescent="0.3">
      <c r="A88" s="42"/>
      <c r="B88" s="7"/>
      <c r="C88" s="38"/>
      <c r="D88" s="33"/>
      <c r="E88" s="33"/>
      <c r="F88" s="33"/>
      <c r="G88" s="50"/>
      <c r="I88" s="3" t="s">
        <v>87</v>
      </c>
      <c r="J88" s="3"/>
      <c r="K88" s="81">
        <f>K87*J61</f>
        <v>1934287.5000000002</v>
      </c>
      <c r="L88" s="81"/>
    </row>
    <row r="89" spans="1:12" x14ac:dyDescent="0.3">
      <c r="A89" s="42"/>
      <c r="B89" s="7"/>
      <c r="C89" s="38" t="s">
        <v>54</v>
      </c>
      <c r="D89" s="33"/>
      <c r="E89" s="33"/>
      <c r="F89" s="33"/>
      <c r="G89" s="40">
        <f>J89</f>
        <v>32309287.5</v>
      </c>
      <c r="I89" s="3" t="s">
        <v>118</v>
      </c>
      <c r="J89" s="81">
        <f>J87+K88</f>
        <v>32309287.5</v>
      </c>
      <c r="K89" s="3"/>
      <c r="L89" s="3"/>
    </row>
    <row r="90" spans="1:12" x14ac:dyDescent="0.3">
      <c r="A90" s="42"/>
      <c r="B90" s="7"/>
      <c r="C90" s="48"/>
      <c r="D90" s="48"/>
      <c r="E90" s="48"/>
      <c r="F90" s="48"/>
      <c r="G90" s="48"/>
      <c r="I90" s="3"/>
      <c r="J90" s="3"/>
      <c r="K90" s="3"/>
      <c r="L90" s="3"/>
    </row>
    <row r="91" spans="1:12" x14ac:dyDescent="0.3">
      <c r="A91" s="42"/>
      <c r="B91" s="7"/>
      <c r="C91" s="38" t="s">
        <v>55</v>
      </c>
      <c r="D91" s="33"/>
      <c r="E91" s="33"/>
      <c r="F91" s="33"/>
      <c r="G91" s="49">
        <f>G87-G89</f>
        <v>1440712.5</v>
      </c>
      <c r="I91" s="3" t="s">
        <v>125</v>
      </c>
      <c r="J91" s="86">
        <f>(G47*3.9%+SUM(G48:G49)*G34)/SUM(G47:G49)</f>
        <v>4.4098345153664301E-2</v>
      </c>
      <c r="K91" s="3"/>
      <c r="L91" s="3"/>
    </row>
    <row r="92" spans="1:12" x14ac:dyDescent="0.3">
      <c r="A92" s="42"/>
      <c r="B92" s="7"/>
      <c r="C92" s="38"/>
      <c r="D92" s="33"/>
      <c r="E92" s="33"/>
      <c r="F92" s="33"/>
      <c r="G92" s="48"/>
      <c r="I92" s="3" t="s">
        <v>57</v>
      </c>
      <c r="J92" s="81">
        <f>(J72+G79)*(1+J91)-G76*(1+J91/2)</f>
        <v>33493864.255319145</v>
      </c>
      <c r="K92" s="3"/>
      <c r="L92" s="3"/>
    </row>
    <row r="93" spans="1:12" x14ac:dyDescent="0.3">
      <c r="A93" s="42"/>
      <c r="B93" s="7"/>
      <c r="C93" s="38"/>
      <c r="D93" s="33"/>
      <c r="E93" s="33"/>
      <c r="F93" s="33"/>
      <c r="G93" s="48"/>
    </row>
    <row r="94" spans="1:12" x14ac:dyDescent="0.3">
      <c r="A94" s="42"/>
      <c r="B94" s="7"/>
      <c r="C94" s="38" t="s">
        <v>56</v>
      </c>
      <c r="D94" s="33"/>
      <c r="E94" s="33"/>
      <c r="F94" s="33"/>
      <c r="G94" s="40">
        <f>G87-G36</f>
        <v>33550000</v>
      </c>
    </row>
    <row r="95" spans="1:12" x14ac:dyDescent="0.3">
      <c r="A95" s="42"/>
      <c r="B95" s="7"/>
      <c r="C95" s="38"/>
      <c r="D95" s="33"/>
      <c r="E95" s="33"/>
      <c r="F95" s="33"/>
      <c r="G95" s="48"/>
    </row>
    <row r="96" spans="1:12" x14ac:dyDescent="0.3">
      <c r="A96" s="42"/>
      <c r="B96" s="7"/>
      <c r="C96" s="38" t="s">
        <v>57</v>
      </c>
      <c r="D96" s="33"/>
      <c r="E96" s="33"/>
      <c r="F96" s="33"/>
      <c r="G96" s="40">
        <f>J92</f>
        <v>33493864.255319145</v>
      </c>
    </row>
    <row r="97" spans="1:8" x14ac:dyDescent="0.3">
      <c r="A97" s="42"/>
      <c r="B97" s="7"/>
      <c r="C97" s="38"/>
      <c r="D97" s="33"/>
      <c r="E97" s="33"/>
      <c r="F97" s="33"/>
      <c r="G97" s="48"/>
    </row>
    <row r="98" spans="1:8" x14ac:dyDescent="0.3">
      <c r="A98" s="42"/>
      <c r="B98" s="7"/>
      <c r="C98" s="38" t="s">
        <v>58</v>
      </c>
      <c r="D98" s="33"/>
      <c r="E98" s="33"/>
      <c r="F98" s="33"/>
      <c r="G98" s="50">
        <f>G94-G96</f>
        <v>56135.744680855423</v>
      </c>
    </row>
    <row r="99" spans="1:8" x14ac:dyDescent="0.3">
      <c r="A99" s="42"/>
      <c r="B99" s="7"/>
      <c r="C99" s="38" t="s">
        <v>59</v>
      </c>
      <c r="D99" s="33"/>
      <c r="E99" s="33"/>
      <c r="F99" s="33"/>
      <c r="G99" s="51">
        <f>G87/G96</f>
        <v>1.0076472437676456</v>
      </c>
      <c r="H99" s="94" t="s">
        <v>126</v>
      </c>
    </row>
    <row r="100" spans="1:8" x14ac:dyDescent="0.3">
      <c r="A100" s="42"/>
      <c r="B100" s="7"/>
      <c r="C100" s="36"/>
      <c r="D100" s="33"/>
      <c r="E100" s="33"/>
      <c r="F100" s="33"/>
      <c r="G100" s="48"/>
    </row>
    <row r="101" spans="1:8" ht="40.200000000000003" customHeight="1" x14ac:dyDescent="0.3">
      <c r="A101" s="42"/>
      <c r="B101" s="7"/>
      <c r="C101" s="96" t="s">
        <v>60</v>
      </c>
      <c r="D101" s="96"/>
      <c r="E101" s="96"/>
      <c r="F101" s="96"/>
      <c r="G101" s="96"/>
    </row>
    <row r="102" spans="1:8" x14ac:dyDescent="0.3">
      <c r="A102" s="42"/>
      <c r="B102" s="7"/>
      <c r="C102" s="7"/>
      <c r="D102" s="33"/>
      <c r="E102" s="33"/>
      <c r="F102" s="33"/>
      <c r="G102" s="48"/>
    </row>
    <row r="103" spans="1:8" x14ac:dyDescent="0.3">
      <c r="A103" s="42"/>
      <c r="B103" s="7"/>
      <c r="C103" s="33" t="s">
        <v>5</v>
      </c>
      <c r="D103" s="33"/>
      <c r="E103" s="33"/>
      <c r="F103" s="33"/>
      <c r="G103" s="48"/>
    </row>
    <row r="104" spans="1:8" x14ac:dyDescent="0.3">
      <c r="A104" s="42"/>
      <c r="B104" s="7"/>
      <c r="C104" s="7"/>
      <c r="D104" s="33"/>
      <c r="E104" s="33"/>
      <c r="F104" s="33"/>
      <c r="G104" s="48"/>
    </row>
    <row r="105" spans="1:8" x14ac:dyDescent="0.3">
      <c r="A105" s="42"/>
      <c r="B105" s="7"/>
      <c r="C105" s="38" t="s">
        <v>61</v>
      </c>
      <c r="D105" s="33"/>
      <c r="E105" s="33"/>
      <c r="F105" s="33"/>
      <c r="G105" s="48"/>
    </row>
    <row r="106" spans="1:8" x14ac:dyDescent="0.3">
      <c r="A106" s="42"/>
      <c r="B106" s="7"/>
      <c r="C106" s="11" t="s">
        <v>62</v>
      </c>
      <c r="D106" s="69"/>
      <c r="E106" s="69"/>
      <c r="F106" s="23"/>
      <c r="G106" s="52">
        <v>2028000</v>
      </c>
    </row>
    <row r="107" spans="1:8" x14ac:dyDescent="0.3">
      <c r="A107" s="42"/>
      <c r="B107" s="7"/>
      <c r="C107" s="11" t="s">
        <v>63</v>
      </c>
      <c r="D107" s="69"/>
      <c r="E107" s="69"/>
      <c r="F107" s="23"/>
      <c r="G107" s="52">
        <v>1722000</v>
      </c>
    </row>
    <row r="108" spans="1:8" x14ac:dyDescent="0.3">
      <c r="A108" s="42"/>
      <c r="B108" s="7"/>
      <c r="C108" s="11" t="s">
        <v>64</v>
      </c>
      <c r="D108" s="69"/>
      <c r="E108" s="69"/>
      <c r="F108" s="23"/>
      <c r="G108" s="52">
        <v>50000</v>
      </c>
    </row>
    <row r="109" spans="1:8" x14ac:dyDescent="0.3">
      <c r="A109" s="42"/>
      <c r="B109" s="7"/>
      <c r="C109" s="45" t="s">
        <v>65</v>
      </c>
      <c r="D109" s="69"/>
      <c r="E109" s="69"/>
      <c r="F109" s="23"/>
      <c r="G109" s="52">
        <v>2258000</v>
      </c>
    </row>
    <row r="110" spans="1:8" x14ac:dyDescent="0.3">
      <c r="A110" s="42"/>
      <c r="B110" s="7"/>
      <c r="C110" s="11" t="s">
        <v>66</v>
      </c>
      <c r="D110" s="72"/>
      <c r="E110" s="72"/>
      <c r="F110" s="47"/>
      <c r="G110" s="52">
        <v>2822000</v>
      </c>
    </row>
    <row r="111" spans="1:8" x14ac:dyDescent="0.3">
      <c r="A111" s="42"/>
      <c r="B111" s="7"/>
      <c r="C111" s="7"/>
      <c r="D111" s="33"/>
      <c r="E111" s="33"/>
      <c r="F111" s="33"/>
      <c r="G111" s="48"/>
    </row>
    <row r="112" spans="1:8" x14ac:dyDescent="0.3">
      <c r="A112" s="34" t="s">
        <v>67</v>
      </c>
      <c r="B112" s="35" t="s">
        <v>39</v>
      </c>
      <c r="C112" s="36" t="s">
        <v>68</v>
      </c>
      <c r="D112" s="33"/>
      <c r="E112" s="33"/>
      <c r="F112" s="33"/>
      <c r="G112" s="33"/>
    </row>
    <row r="113" spans="1:17" x14ac:dyDescent="0.3">
      <c r="A113" s="42"/>
      <c r="B113" s="7"/>
      <c r="C113" s="33"/>
      <c r="D113" s="33"/>
      <c r="E113" s="33"/>
      <c r="F113" s="33"/>
      <c r="G113" s="33"/>
      <c r="I113" s="92" t="s">
        <v>109</v>
      </c>
      <c r="J113" s="3"/>
      <c r="K113" s="3"/>
      <c r="L113" s="3"/>
      <c r="M113" s="80">
        <v>2026</v>
      </c>
      <c r="N113" s="3" t="s">
        <v>106</v>
      </c>
      <c r="O113" s="3" t="s">
        <v>107</v>
      </c>
      <c r="P113" s="3"/>
      <c r="Q113" s="3"/>
    </row>
    <row r="114" spans="1:17" x14ac:dyDescent="0.3">
      <c r="A114" s="42"/>
      <c r="B114" s="33"/>
      <c r="C114" s="39" t="s">
        <v>84</v>
      </c>
      <c r="D114" s="2"/>
      <c r="E114" s="2"/>
      <c r="F114" s="2"/>
      <c r="G114" s="2"/>
      <c r="I114" s="3" t="s">
        <v>115</v>
      </c>
      <c r="J114" s="3"/>
      <c r="K114" s="3"/>
      <c r="L114" s="3"/>
      <c r="M114" s="3" t="s">
        <v>30</v>
      </c>
      <c r="N114" s="81">
        <f>N59*(1+$G$17)+G108</f>
        <v>421000</v>
      </c>
      <c r="O114" s="81">
        <f>O59*(1+$G$17)+G108</f>
        <v>368000</v>
      </c>
      <c r="P114" s="3"/>
      <c r="Q114" s="3"/>
    </row>
    <row r="115" spans="1:17" x14ac:dyDescent="0.3">
      <c r="A115" s="42"/>
      <c r="B115" s="33"/>
      <c r="C115" s="2" t="s">
        <v>43</v>
      </c>
      <c r="D115" s="2"/>
      <c r="E115" s="2"/>
      <c r="F115" s="2"/>
      <c r="G115" s="40">
        <f>N117</f>
        <v>529225</v>
      </c>
      <c r="I115" s="3"/>
      <c r="J115" s="3"/>
      <c r="K115" s="3"/>
      <c r="L115" s="3"/>
      <c r="M115" s="3" t="s">
        <v>89</v>
      </c>
      <c r="N115" s="81">
        <f>N60</f>
        <v>75000</v>
      </c>
      <c r="O115" s="3"/>
      <c r="P115" s="3"/>
      <c r="Q115" s="3"/>
    </row>
    <row r="116" spans="1:17" x14ac:dyDescent="0.3">
      <c r="A116" s="42"/>
      <c r="B116" s="33"/>
      <c r="C116" s="2" t="s">
        <v>44</v>
      </c>
      <c r="D116" s="2"/>
      <c r="E116" s="2"/>
      <c r="F116" s="2"/>
      <c r="G116" s="40">
        <f>SUM(D121:D122)*12</f>
        <v>331452</v>
      </c>
      <c r="I116" s="3" t="s">
        <v>91</v>
      </c>
      <c r="J116" s="83">
        <f>G87</f>
        <v>33750000</v>
      </c>
      <c r="K116" s="3"/>
      <c r="L116" s="3"/>
      <c r="M116" s="3" t="s">
        <v>128</v>
      </c>
      <c r="N116" s="95">
        <f>(N115+O114)*J61</f>
        <v>33225.000000000007</v>
      </c>
      <c r="O116" s="3"/>
      <c r="P116" s="3"/>
      <c r="Q116" s="3"/>
    </row>
    <row r="117" spans="1:17" x14ac:dyDescent="0.3">
      <c r="A117" s="42"/>
      <c r="B117" s="33"/>
      <c r="C117" s="1" t="s">
        <v>85</v>
      </c>
      <c r="D117" s="2"/>
      <c r="E117" s="2"/>
      <c r="F117" s="2"/>
      <c r="G117" s="41">
        <f>G115+G116</f>
        <v>860677</v>
      </c>
      <c r="I117" s="3"/>
      <c r="J117" s="3" t="s">
        <v>106</v>
      </c>
      <c r="K117" s="3" t="s">
        <v>107</v>
      </c>
      <c r="L117" s="3"/>
      <c r="M117" s="3" t="s">
        <v>90</v>
      </c>
      <c r="N117" s="81">
        <f>SUM(N114:N116)</f>
        <v>529225</v>
      </c>
      <c r="O117" s="3"/>
      <c r="P117" s="3"/>
      <c r="Q117" s="3"/>
    </row>
    <row r="118" spans="1:17" x14ac:dyDescent="0.3">
      <c r="A118" s="53"/>
      <c r="B118" s="54"/>
      <c r="C118" s="1"/>
      <c r="D118" s="2"/>
      <c r="E118" s="2"/>
      <c r="F118" s="2"/>
      <c r="G118" s="41"/>
      <c r="I118" s="3" t="s">
        <v>117</v>
      </c>
      <c r="J118" s="83">
        <f>J87+G106</f>
        <v>32403000</v>
      </c>
      <c r="K118" s="81">
        <f>K87+G107</f>
        <v>27512500</v>
      </c>
      <c r="L118" s="81"/>
      <c r="P118" s="3"/>
      <c r="Q118" s="3"/>
    </row>
    <row r="119" spans="1:17" x14ac:dyDescent="0.3">
      <c r="A119" s="53"/>
      <c r="B119" s="54"/>
      <c r="C119" s="39" t="s">
        <v>86</v>
      </c>
      <c r="D119" s="2"/>
      <c r="E119" s="2"/>
      <c r="F119" s="2"/>
      <c r="G119" s="2"/>
      <c r="I119" s="3" t="s">
        <v>87</v>
      </c>
      <c r="J119" s="3"/>
      <c r="K119" s="83">
        <f>K118*J61</f>
        <v>2063437.5000000002</v>
      </c>
      <c r="L119" s="83"/>
      <c r="P119" s="3"/>
      <c r="Q119" s="3"/>
    </row>
    <row r="120" spans="1:17" ht="31.2" x14ac:dyDescent="0.3">
      <c r="A120" s="53"/>
      <c r="B120" s="54"/>
      <c r="C120" s="71" t="s">
        <v>74</v>
      </c>
      <c r="D120" s="71" t="s">
        <v>75</v>
      </c>
      <c r="E120" s="71" t="s">
        <v>76</v>
      </c>
      <c r="F120" s="71" t="s">
        <v>77</v>
      </c>
      <c r="G120" s="71" t="s">
        <v>78</v>
      </c>
      <c r="I120" s="3" t="s">
        <v>127</v>
      </c>
      <c r="J120" s="90">
        <f>J118+K119</f>
        <v>34466437.5</v>
      </c>
      <c r="K120" s="3"/>
      <c r="L120" s="3"/>
      <c r="P120" s="3"/>
      <c r="Q120" s="3"/>
    </row>
    <row r="121" spans="1:17" x14ac:dyDescent="0.3">
      <c r="A121" s="53"/>
      <c r="B121" s="54"/>
      <c r="C121" s="59" t="str">
        <f>C68</f>
        <v>Going Concern</v>
      </c>
      <c r="D121" s="88">
        <f>ROUND(D68,0)</f>
        <v>18307</v>
      </c>
      <c r="E121" s="85">
        <f t="shared" ref="E121:G121" si="0">E68</f>
        <v>45657</v>
      </c>
      <c r="F121" s="85">
        <f t="shared" si="0"/>
        <v>46023</v>
      </c>
      <c r="G121" s="85">
        <f t="shared" si="0"/>
        <v>49674</v>
      </c>
      <c r="I121" s="3" t="s">
        <v>97</v>
      </c>
      <c r="J121" s="83">
        <f>J116-J120</f>
        <v>-716437.5</v>
      </c>
      <c r="K121" s="3"/>
      <c r="L121" s="3"/>
      <c r="P121" s="3"/>
      <c r="Q121" s="3"/>
    </row>
    <row r="122" spans="1:17" x14ac:dyDescent="0.3">
      <c r="A122" s="53"/>
      <c r="B122" s="54"/>
      <c r="C122" s="59" t="s">
        <v>114</v>
      </c>
      <c r="D122" s="88">
        <f>ROUND(N129/12,0)</f>
        <v>9314</v>
      </c>
      <c r="E122" s="85">
        <v>46023</v>
      </c>
      <c r="F122" s="85">
        <v>46023</v>
      </c>
      <c r="G122" s="85">
        <v>48944</v>
      </c>
      <c r="I122" s="3" t="s">
        <v>113</v>
      </c>
      <c r="J122" s="86">
        <f>J116/J120</f>
        <v>0.97921347397740188</v>
      </c>
      <c r="K122" s="3"/>
      <c r="L122" s="3"/>
      <c r="M122" s="3"/>
      <c r="N122" s="3"/>
      <c r="O122" s="3"/>
      <c r="P122" s="3"/>
      <c r="Q122" s="3"/>
    </row>
    <row r="123" spans="1:17" x14ac:dyDescent="0.3">
      <c r="A123" s="53"/>
      <c r="B123" s="54"/>
      <c r="C123" s="59"/>
      <c r="D123" s="60"/>
      <c r="E123" s="61"/>
      <c r="F123" s="62"/>
      <c r="G123" s="61"/>
      <c r="I123" s="3"/>
      <c r="J123" s="3"/>
      <c r="K123" s="3"/>
      <c r="L123" s="3"/>
      <c r="M123" s="3"/>
      <c r="N123" s="3"/>
      <c r="O123" s="3"/>
      <c r="P123" s="3"/>
      <c r="Q123" s="3"/>
    </row>
    <row r="124" spans="1:17" x14ac:dyDescent="0.3">
      <c r="A124" s="53"/>
      <c r="B124" s="54"/>
      <c r="C124" s="1"/>
      <c r="D124" s="2"/>
      <c r="E124" s="2"/>
      <c r="F124" s="2"/>
      <c r="G124" s="41"/>
      <c r="I124" s="3"/>
      <c r="J124" s="3"/>
      <c r="K124" s="3"/>
      <c r="L124" s="3"/>
      <c r="M124" s="3"/>
      <c r="N124" s="3"/>
      <c r="O124" s="3"/>
      <c r="P124" s="3"/>
      <c r="Q124" s="3"/>
    </row>
    <row r="125" spans="1:17" x14ac:dyDescent="0.3">
      <c r="I125" s="3" t="s">
        <v>56</v>
      </c>
      <c r="J125" s="83">
        <f>J116-G36</f>
        <v>33550000</v>
      </c>
      <c r="K125" s="3"/>
      <c r="L125" s="3"/>
      <c r="M125" s="3" t="s">
        <v>99</v>
      </c>
      <c r="N125" s="3"/>
      <c r="O125" s="3"/>
      <c r="P125" s="3"/>
      <c r="Q125" s="3"/>
    </row>
    <row r="126" spans="1:17" x14ac:dyDescent="0.3">
      <c r="I126" s="3" t="s">
        <v>57</v>
      </c>
      <c r="J126" s="83">
        <f>G96+G109</f>
        <v>35751864.255319148</v>
      </c>
      <c r="K126" s="3"/>
      <c r="L126" s="3"/>
      <c r="M126" s="3" t="s">
        <v>95</v>
      </c>
      <c r="N126" s="87">
        <f>-J121</f>
        <v>716437.5</v>
      </c>
      <c r="O126" s="3" t="s">
        <v>110</v>
      </c>
      <c r="P126" s="3"/>
      <c r="Q126" s="3"/>
    </row>
    <row r="127" spans="1:17" x14ac:dyDescent="0.3">
      <c r="I127" s="3" t="s">
        <v>100</v>
      </c>
      <c r="J127" s="83">
        <f>J125-J126</f>
        <v>-2201864.2553191483</v>
      </c>
      <c r="K127" s="3"/>
      <c r="L127" s="3"/>
      <c r="M127" s="3" t="s">
        <v>111</v>
      </c>
      <c r="N127" s="3">
        <v>0</v>
      </c>
      <c r="O127" s="3" t="s">
        <v>112</v>
      </c>
      <c r="P127" s="3"/>
      <c r="Q127" s="3"/>
    </row>
    <row r="128" spans="1:17" x14ac:dyDescent="0.3">
      <c r="I128" s="3" t="s">
        <v>113</v>
      </c>
      <c r="J128" s="86">
        <f>J116/J126</f>
        <v>0.94400671693585003</v>
      </c>
      <c r="K128" s="3"/>
      <c r="L128" s="3"/>
      <c r="M128" s="3" t="s">
        <v>122</v>
      </c>
      <c r="N128" s="86">
        <f>N73</f>
        <v>4.8675505653430484E-3</v>
      </c>
      <c r="O128" s="3"/>
      <c r="P128" s="3"/>
      <c r="Q128" s="3"/>
    </row>
    <row r="129" spans="9:17" x14ac:dyDescent="0.3">
      <c r="I129" s="3"/>
      <c r="J129" s="3"/>
      <c r="K129" s="3"/>
      <c r="L129" s="3"/>
      <c r="M129" s="3" t="s">
        <v>101</v>
      </c>
      <c r="N129" s="82">
        <f>PMT(N128,8*12,-N126,,1)*12</f>
        <v>111771.93638939597</v>
      </c>
      <c r="O129" s="3"/>
      <c r="P129" s="3"/>
      <c r="Q129" s="3"/>
    </row>
    <row r="130" spans="9:17" x14ac:dyDescent="0.3">
      <c r="I130" s="3" t="s">
        <v>116</v>
      </c>
      <c r="J130" s="3">
        <f>MAX(0,(80%-J122)*J120,(80%-J128)*J126)</f>
        <v>0</v>
      </c>
      <c r="K130" s="3"/>
      <c r="L130" s="3"/>
      <c r="M130" s="3"/>
      <c r="N130" s="3"/>
      <c r="O130" s="3"/>
      <c r="P130" s="3"/>
      <c r="Q130" s="3"/>
    </row>
  </sheetData>
  <mergeCells count="12">
    <mergeCell ref="C85:G85"/>
    <mergeCell ref="C101:G101"/>
    <mergeCell ref="C55:G55"/>
    <mergeCell ref="C34:D34"/>
    <mergeCell ref="C35:D35"/>
    <mergeCell ref="C36:D36"/>
    <mergeCell ref="C57:G57"/>
    <mergeCell ref="C4:G4"/>
    <mergeCell ref="C20:D20"/>
    <mergeCell ref="C25:D25"/>
    <mergeCell ref="C31:D31"/>
    <mergeCell ref="C32:D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4707-890F-4372-87F4-45A2FF6D6983}">
  <dimension ref="A1:Q37"/>
  <sheetViews>
    <sheetView workbookViewId="0"/>
  </sheetViews>
  <sheetFormatPr defaultRowHeight="15" x14ac:dyDescent="0.25"/>
  <cols>
    <col min="1" max="1" width="4.21875" style="112" customWidth="1"/>
    <col min="2" max="2" width="13.5546875" style="112" customWidth="1"/>
    <col min="3" max="3" width="28.5546875" style="113" customWidth="1"/>
    <col min="4" max="4" width="38.21875" style="113" customWidth="1"/>
    <col min="5" max="5" width="32.5546875" style="113" customWidth="1"/>
    <col min="6" max="7" width="32.77734375" style="113" customWidth="1"/>
    <col min="8" max="8" width="15.77734375" style="113" bestFit="1" customWidth="1"/>
    <col min="9" max="9" width="8.88671875" style="112"/>
    <col min="10" max="10" width="28.5546875" style="112" customWidth="1"/>
    <col min="11" max="11" width="18" style="112" customWidth="1"/>
    <col min="12" max="12" width="19.21875" style="112" customWidth="1"/>
    <col min="13" max="13" width="11.21875" style="112" customWidth="1"/>
    <col min="14" max="14" width="24" style="112" customWidth="1"/>
    <col min="15" max="15" width="12.44140625" style="112" customWidth="1"/>
    <col min="16" max="16384" width="8.88671875" style="112"/>
  </cols>
  <sheetData>
    <row r="1" spans="1:17" ht="15.6" x14ac:dyDescent="0.3">
      <c r="A1" s="149" t="s">
        <v>0</v>
      </c>
      <c r="B1" s="149"/>
      <c r="C1" s="134"/>
      <c r="D1" s="134"/>
      <c r="E1" s="134"/>
      <c r="F1" s="134"/>
      <c r="G1" s="134"/>
      <c r="H1" s="127"/>
      <c r="J1" s="135" t="s">
        <v>0</v>
      </c>
      <c r="K1" s="167"/>
    </row>
    <row r="2" spans="1:17" ht="15.6" x14ac:dyDescent="0.3">
      <c r="A2" s="149" t="s">
        <v>170</v>
      </c>
      <c r="B2" s="149"/>
      <c r="C2" s="134"/>
      <c r="D2" s="134"/>
      <c r="E2" s="134"/>
      <c r="F2" s="134"/>
      <c r="G2" s="134"/>
      <c r="H2" s="127"/>
      <c r="J2" s="135" t="s">
        <v>170</v>
      </c>
      <c r="K2" s="167"/>
    </row>
    <row r="3" spans="1:17" ht="15.6" x14ac:dyDescent="0.3">
      <c r="A3" s="149"/>
      <c r="B3" s="149"/>
      <c r="C3" s="134"/>
      <c r="D3" s="134"/>
      <c r="E3" s="134"/>
      <c r="F3" s="134"/>
      <c r="G3" s="134"/>
      <c r="H3" s="127"/>
      <c r="J3" s="135"/>
      <c r="K3" s="167"/>
    </row>
    <row r="4" spans="1:17" ht="15.6" x14ac:dyDescent="0.3">
      <c r="A4" s="149"/>
      <c r="B4" s="123" t="s">
        <v>169</v>
      </c>
      <c r="C4" s="164" t="s">
        <v>168</v>
      </c>
      <c r="D4" s="134"/>
      <c r="E4" s="134"/>
      <c r="F4" s="134"/>
      <c r="G4" s="134"/>
      <c r="H4" s="127"/>
      <c r="J4" s="135"/>
      <c r="K4" s="167"/>
    </row>
    <row r="5" spans="1:17" ht="15.6" x14ac:dyDescent="0.3">
      <c r="A5" s="149"/>
      <c r="B5" s="149"/>
      <c r="C5" s="168"/>
      <c r="D5" s="134"/>
      <c r="E5" s="134"/>
      <c r="F5" s="134"/>
      <c r="G5" s="134"/>
      <c r="H5" s="127"/>
      <c r="J5" s="135"/>
      <c r="K5" s="167"/>
    </row>
    <row r="6" spans="1:17" ht="15.6" x14ac:dyDescent="0.3">
      <c r="A6" s="149"/>
      <c r="B6" s="149"/>
      <c r="C6" s="156" t="s">
        <v>167</v>
      </c>
      <c r="D6" s="134"/>
      <c r="E6" s="134"/>
      <c r="F6" s="134"/>
      <c r="G6" s="134"/>
      <c r="H6" s="127"/>
      <c r="J6" s="133"/>
      <c r="K6" s="166"/>
      <c r="L6" s="132"/>
      <c r="M6" s="132"/>
      <c r="N6" s="132"/>
      <c r="O6" s="132"/>
      <c r="P6" s="132"/>
      <c r="Q6" s="132"/>
    </row>
    <row r="7" spans="1:17" ht="15.6" x14ac:dyDescent="0.3">
      <c r="A7" s="149"/>
      <c r="B7" s="149"/>
      <c r="C7" s="156" t="s">
        <v>166</v>
      </c>
      <c r="D7" s="134"/>
      <c r="E7" s="134"/>
      <c r="F7" s="134"/>
      <c r="G7" s="134"/>
      <c r="H7" s="127"/>
      <c r="J7" s="165" t="s">
        <v>165</v>
      </c>
      <c r="K7" s="135"/>
      <c r="L7" s="135"/>
      <c r="M7" s="135"/>
      <c r="N7" s="135"/>
      <c r="O7" s="135"/>
      <c r="P7" s="132"/>
      <c r="Q7" s="132"/>
    </row>
    <row r="8" spans="1:17" ht="15.6" x14ac:dyDescent="0.3">
      <c r="A8" s="149"/>
      <c r="B8" s="149"/>
      <c r="C8" s="134"/>
      <c r="D8" s="134"/>
      <c r="E8" s="134"/>
      <c r="F8" s="134"/>
      <c r="G8" s="134"/>
      <c r="H8" s="127"/>
      <c r="J8" s="165"/>
      <c r="K8" s="135"/>
      <c r="L8" s="135"/>
      <c r="M8" s="135"/>
      <c r="N8" s="135"/>
      <c r="O8" s="135"/>
      <c r="P8" s="132"/>
      <c r="Q8" s="132"/>
    </row>
    <row r="9" spans="1:17" ht="15.6" x14ac:dyDescent="0.3">
      <c r="A9" s="149"/>
      <c r="B9" s="149"/>
      <c r="C9" s="148"/>
      <c r="D9" s="148"/>
      <c r="E9" s="148"/>
      <c r="F9" s="134"/>
      <c r="G9" s="134"/>
      <c r="H9" s="127"/>
      <c r="J9" s="142"/>
      <c r="K9" s="135"/>
      <c r="L9" s="135"/>
      <c r="M9" s="135"/>
      <c r="N9" s="135"/>
      <c r="O9" s="135"/>
      <c r="P9" s="132"/>
      <c r="Q9" s="132"/>
    </row>
    <row r="10" spans="1:17" ht="16.2" thickBot="1" x14ac:dyDescent="0.35">
      <c r="A10" s="141" t="s">
        <v>38</v>
      </c>
      <c r="B10" s="123" t="s">
        <v>51</v>
      </c>
      <c r="C10" s="164" t="s">
        <v>164</v>
      </c>
      <c r="D10" s="148"/>
      <c r="E10" s="148"/>
      <c r="F10" s="134"/>
      <c r="G10" s="134"/>
      <c r="H10" s="127"/>
      <c r="O10" s="135"/>
      <c r="P10" s="132"/>
      <c r="Q10" s="132"/>
    </row>
    <row r="11" spans="1:17" ht="16.2" thickBot="1" x14ac:dyDescent="0.35">
      <c r="A11" s="149"/>
      <c r="B11" s="149"/>
      <c r="C11" s="163"/>
      <c r="D11" s="148"/>
      <c r="E11" s="148"/>
      <c r="F11" s="134"/>
      <c r="G11" s="134"/>
      <c r="H11" s="127"/>
      <c r="J11" s="162" t="s">
        <v>163</v>
      </c>
      <c r="K11" s="161" t="s">
        <v>162</v>
      </c>
      <c r="L11" s="160"/>
      <c r="M11" s="158"/>
      <c r="N11" s="157" t="s">
        <v>161</v>
      </c>
      <c r="O11" s="135"/>
      <c r="P11" s="132"/>
      <c r="Q11" s="132"/>
    </row>
    <row r="12" spans="1:17" ht="16.2" thickBot="1" x14ac:dyDescent="0.35">
      <c r="A12" s="149"/>
      <c r="B12" s="149"/>
      <c r="C12" s="156" t="s">
        <v>160</v>
      </c>
      <c r="D12" s="148"/>
      <c r="E12" s="148"/>
      <c r="F12" s="134"/>
      <c r="G12" s="134"/>
      <c r="H12" s="127"/>
      <c r="J12" s="159" t="s">
        <v>159</v>
      </c>
      <c r="K12" s="157" t="s">
        <v>158</v>
      </c>
      <c r="L12" s="157" t="s">
        <v>157</v>
      </c>
      <c r="M12" s="158"/>
      <c r="N12" s="157" t="s">
        <v>156</v>
      </c>
      <c r="O12" s="135"/>
      <c r="P12" s="132"/>
      <c r="Q12" s="132"/>
    </row>
    <row r="13" spans="1:17" ht="16.2" thickBot="1" x14ac:dyDescent="0.35">
      <c r="A13" s="149"/>
      <c r="B13" s="149"/>
      <c r="C13" s="156" t="s">
        <v>155</v>
      </c>
      <c r="D13" s="148"/>
      <c r="E13" s="148"/>
      <c r="F13" s="134"/>
      <c r="G13" s="134"/>
      <c r="H13" s="127"/>
      <c r="J13" s="147" t="s">
        <v>13</v>
      </c>
      <c r="K13" s="155">
        <f>D24</f>
        <v>200</v>
      </c>
      <c r="L13" s="155">
        <f>E24</f>
        <v>380</v>
      </c>
      <c r="M13" s="145"/>
      <c r="N13" s="154">
        <f>K13+L13</f>
        <v>580</v>
      </c>
      <c r="O13" s="135"/>
      <c r="P13" s="132"/>
      <c r="Q13" s="132"/>
    </row>
    <row r="14" spans="1:17" ht="16.2" thickBot="1" x14ac:dyDescent="0.35">
      <c r="A14" s="149"/>
      <c r="B14" s="149"/>
      <c r="C14" s="148"/>
      <c r="D14" s="148"/>
      <c r="E14" s="148"/>
      <c r="F14" s="134"/>
      <c r="G14" s="134"/>
      <c r="H14" s="127"/>
      <c r="J14" s="147" t="s">
        <v>154</v>
      </c>
      <c r="K14" s="155">
        <f>D25+D26</f>
        <v>250</v>
      </c>
      <c r="L14" s="155">
        <f>E25+E26</f>
        <v>400</v>
      </c>
      <c r="M14" s="145"/>
      <c r="N14" s="154">
        <f>K14+L14</f>
        <v>650</v>
      </c>
      <c r="O14" s="135"/>
      <c r="P14" s="132"/>
      <c r="Q14" s="132"/>
    </row>
    <row r="15" spans="1:17" ht="31.8" thickBot="1" x14ac:dyDescent="0.35">
      <c r="A15" s="149"/>
      <c r="B15" s="149"/>
      <c r="C15" s="121" t="s">
        <v>129</v>
      </c>
      <c r="D15" s="120"/>
      <c r="E15" s="120"/>
      <c r="F15" s="120"/>
      <c r="G15" s="119"/>
      <c r="H15" s="127"/>
      <c r="J15" s="147" t="s">
        <v>153</v>
      </c>
      <c r="K15" s="144">
        <f>ROUND(K13/K14,3)</f>
        <v>0.8</v>
      </c>
      <c r="L15" s="144">
        <f>ROUND(L13/L14,3)</f>
        <v>0.95</v>
      </c>
      <c r="M15" s="153"/>
      <c r="N15" s="144">
        <f>ROUND(N13/N14,3)</f>
        <v>0.89200000000000002</v>
      </c>
      <c r="O15" s="135"/>
      <c r="P15" s="132"/>
      <c r="Q15" s="132"/>
    </row>
    <row r="16" spans="1:17" ht="16.2" thickBot="1" x14ac:dyDescent="0.35">
      <c r="A16" s="149"/>
      <c r="B16" s="149"/>
      <c r="C16" s="117"/>
      <c r="D16" s="116"/>
      <c r="E16" s="116"/>
      <c r="F16" s="116"/>
      <c r="G16" s="115"/>
      <c r="H16" s="127"/>
      <c r="J16" s="152" t="s">
        <v>152</v>
      </c>
      <c r="K16" s="145"/>
      <c r="L16" s="146"/>
      <c r="M16" s="145"/>
      <c r="N16" s="151">
        <v>5</v>
      </c>
      <c r="O16" s="135"/>
      <c r="P16" s="150"/>
      <c r="Q16" s="132"/>
    </row>
    <row r="17" spans="1:17" ht="31.8" thickBot="1" x14ac:dyDescent="0.35">
      <c r="A17" s="149"/>
      <c r="B17" s="149"/>
      <c r="C17" s="148"/>
      <c r="D17" s="148"/>
      <c r="E17" s="148"/>
      <c r="F17" s="134"/>
      <c r="G17" s="134"/>
      <c r="H17" s="127"/>
      <c r="J17" s="147" t="s">
        <v>151</v>
      </c>
      <c r="K17" s="145"/>
      <c r="L17" s="146"/>
      <c r="M17" s="145"/>
      <c r="N17" s="144">
        <f>ROUND((N13+N16)/N14,3)</f>
        <v>0.9</v>
      </c>
      <c r="O17" s="143">
        <f>L15-0.05</f>
        <v>0.89999999999999991</v>
      </c>
      <c r="P17" s="132" t="s">
        <v>150</v>
      </c>
      <c r="Q17" s="132"/>
    </row>
    <row r="18" spans="1:17" ht="15.6" x14ac:dyDescent="0.3">
      <c r="A18" s="127"/>
      <c r="B18" s="127"/>
      <c r="C18" s="140" t="s">
        <v>149</v>
      </c>
      <c r="D18" s="140"/>
      <c r="E18" s="140"/>
      <c r="F18" s="140"/>
      <c r="G18" s="140"/>
      <c r="H18" s="127"/>
      <c r="J18" s="135"/>
      <c r="K18" s="135"/>
      <c r="L18" s="135"/>
      <c r="M18" s="135"/>
      <c r="N18" s="135"/>
      <c r="O18" s="135"/>
      <c r="P18" s="132"/>
      <c r="Q18" s="132"/>
    </row>
    <row r="19" spans="1:17" ht="15.6" x14ac:dyDescent="0.3">
      <c r="A19" s="127"/>
      <c r="B19" s="127"/>
      <c r="C19" s="134"/>
      <c r="D19" s="134"/>
      <c r="E19" s="134"/>
      <c r="F19" s="134"/>
      <c r="G19" s="134"/>
      <c r="H19" s="127"/>
      <c r="J19" s="142" t="s">
        <v>148</v>
      </c>
      <c r="K19" s="135"/>
      <c r="L19" s="135"/>
      <c r="M19" s="135"/>
      <c r="N19" s="135"/>
      <c r="O19" s="135"/>
      <c r="P19" s="132"/>
      <c r="Q19" s="132"/>
    </row>
    <row r="20" spans="1:17" ht="15.6" x14ac:dyDescent="0.3">
      <c r="A20" s="141" t="s">
        <v>50</v>
      </c>
      <c r="B20" s="123" t="s">
        <v>51</v>
      </c>
      <c r="C20" s="140" t="s">
        <v>147</v>
      </c>
      <c r="D20" s="140"/>
      <c r="E20" s="140"/>
      <c r="F20" s="140"/>
      <c r="G20" s="140"/>
      <c r="H20" s="127"/>
      <c r="J20" s="135" t="s">
        <v>146</v>
      </c>
      <c r="K20" s="135"/>
      <c r="L20" s="135"/>
      <c r="M20" s="135"/>
      <c r="N20" s="135"/>
      <c r="O20" s="135"/>
      <c r="P20" s="132"/>
      <c r="Q20" s="132"/>
    </row>
    <row r="21" spans="1:17" ht="15.6" x14ac:dyDescent="0.3">
      <c r="A21" s="127"/>
      <c r="B21" s="127"/>
      <c r="C21" s="134" t="s">
        <v>145</v>
      </c>
      <c r="D21" s="134"/>
      <c r="E21" s="134"/>
      <c r="F21" s="134"/>
      <c r="G21" s="134"/>
      <c r="H21" s="127"/>
      <c r="J21" s="139" t="s">
        <v>144</v>
      </c>
      <c r="K21" s="135"/>
      <c r="L21" s="135"/>
      <c r="M21" s="135"/>
      <c r="N21" s="135"/>
      <c r="O21" s="135"/>
      <c r="P21" s="132"/>
      <c r="Q21" s="132"/>
    </row>
    <row r="22" spans="1:17" ht="15.75" customHeight="1" x14ac:dyDescent="0.3">
      <c r="A22" s="127"/>
      <c r="B22" s="127"/>
      <c r="C22" s="134"/>
      <c r="D22" s="134"/>
      <c r="E22" s="134"/>
      <c r="F22" s="134"/>
      <c r="G22" s="134"/>
      <c r="H22" s="127"/>
      <c r="J22" s="139" t="s">
        <v>143</v>
      </c>
      <c r="K22" s="135"/>
      <c r="L22" s="135"/>
      <c r="M22" s="135"/>
      <c r="N22" s="135"/>
      <c r="O22" s="135"/>
      <c r="P22" s="132"/>
      <c r="Q22" s="132"/>
    </row>
    <row r="23" spans="1:17" ht="15.6" x14ac:dyDescent="0.3">
      <c r="A23" s="127"/>
      <c r="B23" s="127"/>
      <c r="C23" s="137" t="s">
        <v>142</v>
      </c>
      <c r="D23" s="138" t="s">
        <v>141</v>
      </c>
      <c r="E23" s="138" t="s">
        <v>140</v>
      </c>
      <c r="F23" s="134"/>
      <c r="G23" s="134"/>
      <c r="H23" s="127"/>
      <c r="J23" s="135" t="s">
        <v>139</v>
      </c>
      <c r="K23" s="135"/>
      <c r="L23" s="135"/>
      <c r="M23" s="135"/>
      <c r="N23" s="135"/>
      <c r="O23" s="135"/>
      <c r="P23" s="132"/>
      <c r="Q23" s="132"/>
    </row>
    <row r="24" spans="1:17" ht="15.6" x14ac:dyDescent="0.3">
      <c r="A24" s="127"/>
      <c r="B24" s="127"/>
      <c r="C24" s="137" t="s">
        <v>13</v>
      </c>
      <c r="D24" s="136">
        <v>200</v>
      </c>
      <c r="E24" s="136">
        <v>380</v>
      </c>
      <c r="F24" s="134"/>
      <c r="G24" s="134"/>
      <c r="H24" s="127"/>
      <c r="J24" s="135" t="s">
        <v>138</v>
      </c>
      <c r="K24" s="135"/>
      <c r="L24" s="135"/>
      <c r="M24" s="135"/>
      <c r="N24" s="135"/>
      <c r="O24" s="135"/>
      <c r="P24" s="132"/>
      <c r="Q24" s="132"/>
    </row>
    <row r="25" spans="1:17" ht="15.6" x14ac:dyDescent="0.3">
      <c r="A25" s="127"/>
      <c r="B25" s="127"/>
      <c r="C25" s="137" t="s">
        <v>137</v>
      </c>
      <c r="D25" s="136">
        <f>150</f>
        <v>150</v>
      </c>
      <c r="E25" s="136">
        <f>150</f>
        <v>150</v>
      </c>
      <c r="F25" s="134"/>
      <c r="G25" s="134"/>
      <c r="H25" s="127"/>
      <c r="J25" s="135" t="s">
        <v>136</v>
      </c>
      <c r="K25" s="135"/>
      <c r="L25" s="135"/>
      <c r="M25" s="135"/>
      <c r="N25" s="135"/>
      <c r="O25" s="135"/>
      <c r="P25" s="132"/>
      <c r="Q25" s="132"/>
    </row>
    <row r="26" spans="1:17" ht="15.6" x14ac:dyDescent="0.3">
      <c r="A26" s="127"/>
      <c r="B26" s="127"/>
      <c r="C26" s="137" t="s">
        <v>135</v>
      </c>
      <c r="D26" s="136">
        <f>100</f>
        <v>100</v>
      </c>
      <c r="E26" s="136">
        <v>250</v>
      </c>
      <c r="F26" s="134"/>
      <c r="G26" s="134"/>
      <c r="H26" s="127"/>
      <c r="J26" s="135" t="s">
        <v>134</v>
      </c>
      <c r="K26" s="135"/>
      <c r="L26" s="135"/>
      <c r="M26" s="135"/>
      <c r="N26" s="135"/>
      <c r="O26" s="135"/>
      <c r="P26" s="132"/>
      <c r="Q26" s="132"/>
    </row>
    <row r="27" spans="1:17" ht="15.6" x14ac:dyDescent="0.3">
      <c r="A27" s="127"/>
      <c r="B27" s="127"/>
      <c r="C27" s="134"/>
      <c r="D27" s="134"/>
      <c r="E27" s="134"/>
      <c r="F27" s="134"/>
      <c r="G27" s="134"/>
      <c r="H27" s="127"/>
      <c r="J27" s="135" t="s">
        <v>133</v>
      </c>
      <c r="K27" s="135"/>
      <c r="L27" s="135"/>
      <c r="M27" s="135"/>
      <c r="N27" s="135"/>
      <c r="O27" s="135"/>
      <c r="P27" s="132"/>
      <c r="Q27" s="132"/>
    </row>
    <row r="28" spans="1:17" ht="15.6" x14ac:dyDescent="0.3">
      <c r="A28" s="127"/>
      <c r="B28" s="127"/>
      <c r="C28" s="134"/>
      <c r="D28" s="134"/>
      <c r="E28" s="134"/>
      <c r="F28" s="134"/>
      <c r="G28" s="134"/>
      <c r="H28" s="127"/>
      <c r="J28" s="133"/>
      <c r="K28" s="133"/>
      <c r="L28" s="133"/>
      <c r="M28" s="133"/>
      <c r="N28" s="133"/>
      <c r="O28" s="133"/>
      <c r="P28" s="132"/>
      <c r="Q28" s="132"/>
    </row>
    <row r="29" spans="1:17" ht="15.6" x14ac:dyDescent="0.3">
      <c r="A29" s="127"/>
      <c r="B29" s="127"/>
      <c r="C29" s="131" t="s">
        <v>41</v>
      </c>
      <c r="D29" s="130"/>
      <c r="E29" s="130"/>
      <c r="F29" s="130"/>
      <c r="G29" s="129"/>
      <c r="H29" s="127"/>
      <c r="J29" s="128"/>
      <c r="K29" s="113"/>
      <c r="L29" s="113"/>
      <c r="M29" s="113"/>
      <c r="N29" s="113"/>
      <c r="O29" s="113"/>
    </row>
    <row r="30" spans="1:17" ht="15.6" x14ac:dyDescent="0.3">
      <c r="A30" s="127"/>
      <c r="B30" s="127"/>
      <c r="C30" s="127"/>
      <c r="D30" s="127"/>
      <c r="E30" s="127"/>
      <c r="F30" s="127"/>
      <c r="G30" s="127"/>
      <c r="H30" s="127"/>
      <c r="J30" s="113"/>
      <c r="K30" s="113"/>
      <c r="L30" s="113"/>
      <c r="M30" s="113"/>
      <c r="N30" s="113"/>
      <c r="O30" s="113"/>
    </row>
    <row r="31" spans="1:17" ht="15.6" x14ac:dyDescent="0.3">
      <c r="A31" s="125"/>
      <c r="B31" s="125"/>
      <c r="C31" s="124" t="s">
        <v>132</v>
      </c>
      <c r="D31" s="125"/>
      <c r="E31" s="126">
        <f>N16</f>
        <v>5</v>
      </c>
      <c r="F31" s="125"/>
      <c r="G31" s="125"/>
      <c r="H31" s="125"/>
      <c r="K31" s="113"/>
      <c r="L31" s="113"/>
      <c r="M31" s="113"/>
      <c r="N31" s="113"/>
      <c r="O31" s="113"/>
    </row>
    <row r="32" spans="1:17" ht="15.6" x14ac:dyDescent="0.3">
      <c r="A32" s="125"/>
      <c r="B32" s="125"/>
      <c r="C32" s="125"/>
      <c r="D32" s="125"/>
      <c r="E32" s="125"/>
      <c r="F32" s="125"/>
      <c r="G32" s="125"/>
      <c r="H32" s="125"/>
      <c r="K32" s="113"/>
      <c r="L32" s="113"/>
      <c r="M32" s="113"/>
      <c r="N32" s="113"/>
      <c r="O32" s="113"/>
    </row>
    <row r="33" spans="1:15" ht="15.6" x14ac:dyDescent="0.3">
      <c r="A33" s="124" t="s">
        <v>131</v>
      </c>
      <c r="B33" s="123" t="s">
        <v>39</v>
      </c>
      <c r="C33" s="122" t="s">
        <v>130</v>
      </c>
      <c r="D33" s="122"/>
      <c r="E33" s="122"/>
      <c r="F33" s="122"/>
      <c r="G33" s="122"/>
      <c r="H33" s="114"/>
      <c r="K33" s="113"/>
      <c r="L33" s="113"/>
      <c r="M33" s="113"/>
      <c r="N33" s="113"/>
      <c r="O33" s="113"/>
    </row>
    <row r="34" spans="1:15" x14ac:dyDescent="0.25">
      <c r="A34" s="118"/>
      <c r="B34" s="118"/>
      <c r="C34" s="114"/>
      <c r="D34" s="114"/>
      <c r="E34" s="114"/>
      <c r="F34" s="114"/>
      <c r="G34" s="114"/>
      <c r="H34" s="114"/>
      <c r="K34" s="113"/>
      <c r="L34" s="113"/>
      <c r="M34" s="113"/>
      <c r="N34" s="113"/>
      <c r="O34" s="113"/>
    </row>
    <row r="35" spans="1:15" x14ac:dyDescent="0.25">
      <c r="A35" s="118"/>
      <c r="B35" s="118"/>
      <c r="C35" s="121" t="s">
        <v>129</v>
      </c>
      <c r="D35" s="120"/>
      <c r="E35" s="120"/>
      <c r="F35" s="120"/>
      <c r="G35" s="119"/>
      <c r="H35" s="114"/>
      <c r="K35" s="113"/>
      <c r="L35" s="113"/>
      <c r="M35" s="113"/>
      <c r="N35" s="113"/>
      <c r="O35" s="113"/>
    </row>
    <row r="36" spans="1:15" x14ac:dyDescent="0.25">
      <c r="A36" s="118"/>
      <c r="B36" s="118"/>
      <c r="C36" s="117"/>
      <c r="D36" s="116"/>
      <c r="E36" s="116"/>
      <c r="F36" s="116"/>
      <c r="G36" s="115"/>
      <c r="H36" s="114"/>
      <c r="K36" s="113"/>
      <c r="L36" s="113"/>
      <c r="M36" s="113"/>
      <c r="N36" s="113"/>
      <c r="O36" s="113"/>
    </row>
    <row r="37" spans="1:15" x14ac:dyDescent="0.25">
      <c r="K37" s="113"/>
      <c r="L37" s="113"/>
      <c r="M37" s="113"/>
      <c r="N37" s="113"/>
      <c r="O37" s="113"/>
    </row>
  </sheetData>
  <mergeCells count="6">
    <mergeCell ref="C35:G36"/>
    <mergeCell ref="K11:L11"/>
    <mergeCell ref="C20:G20"/>
    <mergeCell ref="C18:G18"/>
    <mergeCell ref="C15:G16"/>
    <mergeCell ref="C33:G33"/>
  </mergeCells>
  <pageMargins left="0.7" right="0.7" top="0.75" bottom="0.75" header="0.3" footer="0.3"/>
  <customProperties>
    <customPr name="watsonwyatt_sheetdata"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A479-75E4-4B3A-B5C0-C1952AE1B067}">
  <dimension ref="A1:O103"/>
  <sheetViews>
    <sheetView workbookViewId="0">
      <selection activeCell="B1" sqref="B1"/>
    </sheetView>
  </sheetViews>
  <sheetFormatPr defaultColWidth="8.77734375" defaultRowHeight="15.6" x14ac:dyDescent="0.3"/>
  <cols>
    <col min="1" max="1" width="3.5546875" style="2" customWidth="1"/>
    <col min="2" max="2" width="11.21875" style="2" customWidth="1"/>
    <col min="3" max="3" width="16" style="2" customWidth="1"/>
    <col min="4" max="5" width="12.77734375" style="2" customWidth="1"/>
    <col min="6" max="6" width="12" style="2" customWidth="1"/>
    <col min="7" max="7" width="8.21875" style="2" customWidth="1"/>
    <col min="8" max="8" width="23.21875" style="2" customWidth="1"/>
    <col min="9" max="9" width="13.109375" style="2" bestFit="1" customWidth="1"/>
    <col min="10" max="10" width="8.109375" style="2" customWidth="1"/>
    <col min="11" max="11" width="14.5546875" style="3" bestFit="1" customWidth="1"/>
    <col min="12" max="12" width="48.21875" style="3" customWidth="1"/>
    <col min="13" max="13" width="24.33203125" style="3" bestFit="1" customWidth="1"/>
    <col min="14" max="14" width="13.6640625" style="3" customWidth="1"/>
    <col min="15" max="15" width="44.77734375" style="3" customWidth="1"/>
    <col min="16" max="16384" width="8.77734375" style="3"/>
  </cols>
  <sheetData>
    <row r="1" spans="1:14" x14ac:dyDescent="0.3">
      <c r="A1" s="1" t="s">
        <v>258</v>
      </c>
      <c r="B1" s="1"/>
      <c r="K1" s="3" t="s">
        <v>258</v>
      </c>
    </row>
    <row r="2" spans="1:14" x14ac:dyDescent="0.3">
      <c r="A2" s="1" t="s">
        <v>257</v>
      </c>
      <c r="B2" s="1"/>
      <c r="K2" s="3" t="s">
        <v>257</v>
      </c>
    </row>
    <row r="3" spans="1:14" ht="18.45" customHeight="1" x14ac:dyDescent="0.3">
      <c r="A3" s="218"/>
      <c r="K3" s="3" t="s">
        <v>4</v>
      </c>
    </row>
    <row r="4" spans="1:14" ht="18.45" customHeight="1" x14ac:dyDescent="0.3">
      <c r="A4" s="1">
        <v>6</v>
      </c>
      <c r="M4" s="217">
        <v>45657</v>
      </c>
      <c r="N4" s="217">
        <v>46023</v>
      </c>
    </row>
    <row r="5" spans="1:14" ht="26.55" customHeight="1" x14ac:dyDescent="0.3">
      <c r="A5" s="1"/>
      <c r="B5" s="216" t="s">
        <v>256</v>
      </c>
      <c r="C5" s="205" t="s">
        <v>255</v>
      </c>
      <c r="D5" s="205"/>
      <c r="E5" s="205"/>
      <c r="F5" s="205"/>
      <c r="G5" s="205"/>
      <c r="H5" s="205"/>
      <c r="I5" s="205"/>
      <c r="L5" s="212" t="s">
        <v>249</v>
      </c>
      <c r="M5" s="215">
        <f>I11</f>
        <v>5.2499999999999998E-2</v>
      </c>
      <c r="N5" s="215">
        <f>M5</f>
        <v>5.2499999999999998E-2</v>
      </c>
    </row>
    <row r="6" spans="1:14" x14ac:dyDescent="0.3">
      <c r="C6" s="205"/>
      <c r="D6" s="205"/>
      <c r="E6" s="205"/>
      <c r="F6" s="205"/>
      <c r="G6" s="205"/>
      <c r="H6" s="205"/>
      <c r="I6" s="205"/>
      <c r="L6" s="212" t="s">
        <v>247</v>
      </c>
      <c r="M6" s="215">
        <f>I12</f>
        <v>9.5000000000000001E-2</v>
      </c>
      <c r="N6" s="215">
        <f>M6</f>
        <v>9.5000000000000001E-2</v>
      </c>
    </row>
    <row r="7" spans="1:14" x14ac:dyDescent="0.3">
      <c r="C7" s="205"/>
      <c r="D7" s="205"/>
      <c r="E7" s="205"/>
      <c r="F7" s="205"/>
      <c r="G7" s="205"/>
      <c r="H7" s="205"/>
      <c r="I7" s="205"/>
      <c r="L7" s="212" t="s">
        <v>254</v>
      </c>
      <c r="M7" s="214">
        <f>I13</f>
        <v>4.6300000000000001E-2</v>
      </c>
      <c r="N7" s="214">
        <f>M7</f>
        <v>4.6300000000000001E-2</v>
      </c>
    </row>
    <row r="8" spans="1:14" ht="15.6" customHeight="1" x14ac:dyDescent="0.3">
      <c r="L8" s="212" t="s">
        <v>253</v>
      </c>
      <c r="M8" s="211">
        <f>I15</f>
        <v>32500000</v>
      </c>
      <c r="N8" s="182"/>
    </row>
    <row r="9" spans="1:14" ht="15.6" customHeight="1" x14ac:dyDescent="0.3">
      <c r="C9" s="2" t="s">
        <v>252</v>
      </c>
      <c r="L9" s="212" t="s">
        <v>251</v>
      </c>
      <c r="M9" s="211">
        <f>I16</f>
        <v>24300000</v>
      </c>
      <c r="N9" s="182"/>
    </row>
    <row r="10" spans="1:14" ht="27.6" x14ac:dyDescent="0.3">
      <c r="L10" s="212" t="s">
        <v>250</v>
      </c>
      <c r="M10" s="211">
        <f>I18</f>
        <v>800000</v>
      </c>
      <c r="N10" s="182"/>
    </row>
    <row r="11" spans="1:14" ht="15.45" customHeight="1" x14ac:dyDescent="0.3">
      <c r="C11" s="210" t="s">
        <v>249</v>
      </c>
      <c r="D11" s="209"/>
      <c r="E11" s="209"/>
      <c r="F11" s="209"/>
      <c r="G11" s="209"/>
      <c r="H11" s="208"/>
      <c r="I11" s="213">
        <v>5.2499999999999998E-2</v>
      </c>
      <c r="L11" s="212" t="s">
        <v>248</v>
      </c>
      <c r="M11" s="211">
        <f>I19</f>
        <v>815000</v>
      </c>
      <c r="N11" s="182"/>
    </row>
    <row r="12" spans="1:14" x14ac:dyDescent="0.3">
      <c r="C12" s="210" t="s">
        <v>247</v>
      </c>
      <c r="D12" s="209"/>
      <c r="E12" s="209"/>
      <c r="F12" s="209"/>
      <c r="G12" s="209"/>
      <c r="H12" s="208"/>
      <c r="I12" s="213">
        <v>9.5000000000000001E-2</v>
      </c>
      <c r="L12" s="212" t="s">
        <v>234</v>
      </c>
      <c r="M12" s="211">
        <f>I20</f>
        <v>100000</v>
      </c>
      <c r="N12" s="182"/>
    </row>
    <row r="13" spans="1:14" ht="15.45" customHeight="1" x14ac:dyDescent="0.3">
      <c r="C13" s="210" t="s">
        <v>246</v>
      </c>
      <c r="D13" s="209"/>
      <c r="E13" s="209"/>
      <c r="F13" s="209"/>
      <c r="G13" s="209"/>
      <c r="H13" s="208"/>
      <c r="I13" s="213">
        <v>4.6300000000000001E-2</v>
      </c>
      <c r="L13" s="212" t="s">
        <v>245</v>
      </c>
      <c r="M13" s="211">
        <f>I24</f>
        <v>160000</v>
      </c>
      <c r="N13" s="182"/>
    </row>
    <row r="14" spans="1:14" x14ac:dyDescent="0.3">
      <c r="C14" s="210" t="s">
        <v>244</v>
      </c>
      <c r="D14" s="209"/>
      <c r="E14" s="209"/>
      <c r="F14" s="209"/>
      <c r="G14" s="209"/>
      <c r="H14" s="208"/>
      <c r="I14" s="207">
        <v>450000</v>
      </c>
      <c r="L14" s="212" t="s">
        <v>243</v>
      </c>
      <c r="M14" s="211">
        <f>I25</f>
        <v>166000</v>
      </c>
      <c r="N14" s="182"/>
    </row>
    <row r="15" spans="1:14" x14ac:dyDescent="0.3">
      <c r="C15" s="210" t="s">
        <v>242</v>
      </c>
      <c r="D15" s="209"/>
      <c r="E15" s="209"/>
      <c r="F15" s="209"/>
      <c r="G15" s="209"/>
      <c r="H15" s="208"/>
      <c r="I15" s="207">
        <v>32500000</v>
      </c>
      <c r="L15" s="212" t="s">
        <v>57</v>
      </c>
      <c r="M15" s="211">
        <f>I17</f>
        <v>26600000</v>
      </c>
      <c r="N15" s="182"/>
    </row>
    <row r="16" spans="1:14" x14ac:dyDescent="0.3">
      <c r="C16" s="210" t="s">
        <v>241</v>
      </c>
      <c r="D16" s="209"/>
      <c r="E16" s="209"/>
      <c r="F16" s="209"/>
      <c r="G16" s="209"/>
      <c r="H16" s="208"/>
      <c r="I16" s="207">
        <v>24300000</v>
      </c>
      <c r="L16" s="212" t="s">
        <v>240</v>
      </c>
      <c r="M16" s="211">
        <f>I14</f>
        <v>450000</v>
      </c>
      <c r="N16" s="182"/>
    </row>
    <row r="17" spans="3:14" x14ac:dyDescent="0.3">
      <c r="C17" s="210" t="s">
        <v>239</v>
      </c>
      <c r="D17" s="209"/>
      <c r="E17" s="209"/>
      <c r="F17" s="209"/>
      <c r="G17" s="209"/>
      <c r="H17" s="208"/>
      <c r="I17" s="207">
        <v>26600000</v>
      </c>
      <c r="L17" s="212" t="s">
        <v>238</v>
      </c>
      <c r="M17" s="211">
        <f>I21</f>
        <v>875000</v>
      </c>
      <c r="N17" s="182"/>
    </row>
    <row r="18" spans="3:14" x14ac:dyDescent="0.3">
      <c r="C18" s="210" t="s">
        <v>237</v>
      </c>
      <c r="D18" s="209"/>
      <c r="E18" s="209"/>
      <c r="F18" s="209"/>
      <c r="G18" s="209"/>
      <c r="H18" s="208"/>
      <c r="I18" s="207">
        <v>800000</v>
      </c>
      <c r="N18" s="182"/>
    </row>
    <row r="19" spans="3:14" x14ac:dyDescent="0.3">
      <c r="C19" s="210" t="s">
        <v>236</v>
      </c>
      <c r="D19" s="209"/>
      <c r="E19" s="209"/>
      <c r="F19" s="209"/>
      <c r="G19" s="209"/>
      <c r="H19" s="208"/>
      <c r="I19" s="207">
        <v>815000</v>
      </c>
      <c r="L19" s="178" t="s">
        <v>235</v>
      </c>
      <c r="N19" s="182"/>
    </row>
    <row r="20" spans="3:14" x14ac:dyDescent="0.3">
      <c r="C20" s="210" t="s">
        <v>234</v>
      </c>
      <c r="D20" s="209"/>
      <c r="E20" s="209"/>
      <c r="F20" s="209"/>
      <c r="G20" s="209"/>
      <c r="H20" s="208"/>
      <c r="I20" s="207">
        <v>100000</v>
      </c>
      <c r="L20" s="212" t="s">
        <v>233</v>
      </c>
      <c r="M20" s="211">
        <f>I30</f>
        <v>675000</v>
      </c>
      <c r="N20" s="182"/>
    </row>
    <row r="21" spans="3:14" x14ac:dyDescent="0.3">
      <c r="C21" s="210" t="s">
        <v>232</v>
      </c>
      <c r="D21" s="209"/>
      <c r="E21" s="209"/>
      <c r="F21" s="209"/>
      <c r="G21" s="209"/>
      <c r="H21" s="208"/>
      <c r="I21" s="207">
        <v>875000</v>
      </c>
      <c r="L21" s="212" t="s">
        <v>231</v>
      </c>
      <c r="M21" s="211">
        <f>I31</f>
        <v>160000</v>
      </c>
      <c r="N21" s="182"/>
    </row>
    <row r="22" spans="3:14" x14ac:dyDescent="0.3">
      <c r="C22" s="210" t="s">
        <v>230</v>
      </c>
      <c r="D22" s="209"/>
      <c r="E22" s="209"/>
      <c r="F22" s="209"/>
      <c r="G22" s="209"/>
      <c r="H22" s="208"/>
      <c r="I22" s="207">
        <v>0</v>
      </c>
      <c r="L22" s="212" t="s">
        <v>229</v>
      </c>
      <c r="M22" s="211">
        <f>I32</f>
        <v>0</v>
      </c>
    </row>
    <row r="23" spans="3:14" x14ac:dyDescent="0.3">
      <c r="C23" s="210" t="s">
        <v>228</v>
      </c>
      <c r="D23" s="209"/>
      <c r="E23" s="209"/>
      <c r="F23" s="209"/>
      <c r="G23" s="209"/>
      <c r="H23" s="208"/>
      <c r="I23" s="207">
        <v>0</v>
      </c>
      <c r="L23" s="212"/>
      <c r="M23" s="211"/>
    </row>
    <row r="24" spans="3:14" x14ac:dyDescent="0.3">
      <c r="C24" s="210" t="s">
        <v>227</v>
      </c>
      <c r="D24" s="209"/>
      <c r="E24" s="209"/>
      <c r="F24" s="209"/>
      <c r="G24" s="209"/>
      <c r="H24" s="208"/>
      <c r="I24" s="207">
        <v>160000</v>
      </c>
      <c r="L24" s="212" t="s">
        <v>226</v>
      </c>
      <c r="M24" s="211">
        <f>I29</f>
        <v>31500000</v>
      </c>
      <c r="N24" s="182"/>
    </row>
    <row r="25" spans="3:14" x14ac:dyDescent="0.3">
      <c r="C25" s="210" t="s">
        <v>225</v>
      </c>
      <c r="D25" s="209"/>
      <c r="E25" s="209"/>
      <c r="F25" s="209"/>
      <c r="G25" s="209"/>
      <c r="H25" s="208"/>
      <c r="I25" s="207">
        <v>166000</v>
      </c>
      <c r="N25" s="182"/>
    </row>
    <row r="26" spans="3:14" x14ac:dyDescent="0.3">
      <c r="L26" s="184" t="s">
        <v>224</v>
      </c>
      <c r="M26" s="182"/>
      <c r="N26" s="182"/>
    </row>
    <row r="27" spans="3:14" x14ac:dyDescent="0.3">
      <c r="C27" s="2" t="s">
        <v>223</v>
      </c>
      <c r="L27" s="183" t="s">
        <v>222</v>
      </c>
      <c r="M27" s="182"/>
      <c r="N27" s="182"/>
    </row>
    <row r="28" spans="3:14" x14ac:dyDescent="0.3">
      <c r="L28" s="183"/>
      <c r="M28" s="191">
        <v>45657</v>
      </c>
      <c r="N28" s="182"/>
    </row>
    <row r="29" spans="3:14" x14ac:dyDescent="0.3">
      <c r="C29" s="210" t="s">
        <v>221</v>
      </c>
      <c r="D29" s="209"/>
      <c r="E29" s="209"/>
      <c r="F29" s="209"/>
      <c r="G29" s="209"/>
      <c r="H29" s="208"/>
      <c r="I29" s="207">
        <v>31500000</v>
      </c>
      <c r="L29" s="180" t="s">
        <v>201</v>
      </c>
      <c r="M29" s="182">
        <f>M8</f>
        <v>32500000</v>
      </c>
      <c r="N29" s="182"/>
    </row>
    <row r="30" spans="3:14" x14ac:dyDescent="0.3">
      <c r="C30" s="210" t="s">
        <v>220</v>
      </c>
      <c r="D30" s="209"/>
      <c r="E30" s="209"/>
      <c r="F30" s="209"/>
      <c r="G30" s="209"/>
      <c r="H30" s="208"/>
      <c r="I30" s="207">
        <v>675000</v>
      </c>
      <c r="L30" s="180" t="s">
        <v>200</v>
      </c>
      <c r="M30" s="182">
        <f>M9</f>
        <v>24300000</v>
      </c>
      <c r="N30" s="182"/>
    </row>
    <row r="31" spans="3:14" x14ac:dyDescent="0.3">
      <c r="C31" s="210" t="s">
        <v>219</v>
      </c>
      <c r="D31" s="209"/>
      <c r="E31" s="209"/>
      <c r="F31" s="209"/>
      <c r="G31" s="209"/>
      <c r="H31" s="208"/>
      <c r="I31" s="207">
        <v>160000</v>
      </c>
      <c r="K31" s="206"/>
      <c r="L31" s="180" t="s">
        <v>198</v>
      </c>
      <c r="M31" s="182">
        <f>M30*M6</f>
        <v>2308500</v>
      </c>
      <c r="N31" s="182"/>
    </row>
    <row r="32" spans="3:14" x14ac:dyDescent="0.3">
      <c r="C32" s="210" t="s">
        <v>218</v>
      </c>
      <c r="D32" s="209"/>
      <c r="E32" s="209"/>
      <c r="F32" s="209"/>
      <c r="G32" s="209"/>
      <c r="H32" s="208"/>
      <c r="I32" s="207">
        <v>0</v>
      </c>
      <c r="K32" s="206"/>
      <c r="L32" s="180" t="s">
        <v>197</v>
      </c>
      <c r="M32" s="194">
        <f>M30+M31</f>
        <v>26608500</v>
      </c>
      <c r="N32" s="182"/>
    </row>
    <row r="33" spans="3:14" ht="17.55" customHeight="1" x14ac:dyDescent="0.3">
      <c r="K33" s="206"/>
      <c r="L33" s="180" t="s">
        <v>196</v>
      </c>
      <c r="M33" s="182">
        <f>M29-M32</f>
        <v>5891500</v>
      </c>
      <c r="N33" s="182"/>
    </row>
    <row r="34" spans="3:14" ht="15.45" customHeight="1" x14ac:dyDescent="0.3">
      <c r="C34" s="2" t="s">
        <v>217</v>
      </c>
      <c r="L34" s="178" t="s">
        <v>113</v>
      </c>
      <c r="M34" s="186">
        <f>M29/M32</f>
        <v>1.2214142097450063</v>
      </c>
      <c r="N34" s="182"/>
    </row>
    <row r="35" spans="3:14" x14ac:dyDescent="0.3">
      <c r="L35" s="180"/>
      <c r="M35" s="182"/>
      <c r="N35" s="182"/>
    </row>
    <row r="36" spans="3:14" x14ac:dyDescent="0.3">
      <c r="C36" s="2" t="s">
        <v>216</v>
      </c>
      <c r="L36" s="180"/>
      <c r="M36" s="191">
        <v>45657</v>
      </c>
      <c r="N36" s="182"/>
    </row>
    <row r="37" spans="3:14" x14ac:dyDescent="0.3">
      <c r="C37" s="2" t="s">
        <v>215</v>
      </c>
      <c r="L37" s="180"/>
      <c r="M37" s="189"/>
      <c r="N37" s="182"/>
    </row>
    <row r="38" spans="3:14" x14ac:dyDescent="0.3">
      <c r="C38" s="205" t="s">
        <v>214</v>
      </c>
      <c r="D38" s="205"/>
      <c r="E38" s="205"/>
      <c r="F38" s="205"/>
      <c r="G38" s="205"/>
      <c r="H38" s="205"/>
      <c r="I38" s="205"/>
      <c r="J38" s="205"/>
      <c r="L38" s="180" t="s">
        <v>56</v>
      </c>
      <c r="M38" s="188">
        <f>M29</f>
        <v>32500000</v>
      </c>
      <c r="N38" s="186"/>
    </row>
    <row r="39" spans="3:14" x14ac:dyDescent="0.3">
      <c r="C39" s="204" t="s">
        <v>213</v>
      </c>
      <c r="L39" s="180" t="s">
        <v>195</v>
      </c>
      <c r="M39" s="190">
        <f>-M16</f>
        <v>-450000</v>
      </c>
      <c r="N39" s="189"/>
    </row>
    <row r="40" spans="3:14" x14ac:dyDescent="0.3">
      <c r="C40" s="204"/>
      <c r="L40" s="180" t="s">
        <v>194</v>
      </c>
      <c r="M40" s="187">
        <f>M38+M39</f>
        <v>32050000</v>
      </c>
      <c r="N40" s="189"/>
    </row>
    <row r="41" spans="3:14" x14ac:dyDescent="0.3">
      <c r="C41" s="2" t="s">
        <v>212</v>
      </c>
      <c r="L41" s="180" t="s">
        <v>57</v>
      </c>
      <c r="M41" s="187">
        <f>M15</f>
        <v>26600000</v>
      </c>
      <c r="N41" s="189"/>
    </row>
    <row r="42" spans="3:14" x14ac:dyDescent="0.3">
      <c r="D42" s="203"/>
      <c r="E42" s="203"/>
      <c r="F42" s="203"/>
      <c r="G42" s="203"/>
      <c r="H42" s="203"/>
      <c r="I42" s="203"/>
      <c r="L42" s="180" t="s">
        <v>191</v>
      </c>
      <c r="M42" s="187">
        <f>M40-M41</f>
        <v>5450000</v>
      </c>
      <c r="N42" s="189"/>
    </row>
    <row r="43" spans="3:14" x14ac:dyDescent="0.3">
      <c r="C43" s="2" t="s">
        <v>211</v>
      </c>
      <c r="L43" s="180" t="s">
        <v>190</v>
      </c>
      <c r="M43" s="202">
        <f>M38/M41</f>
        <v>1.2218045112781954</v>
      </c>
      <c r="N43" s="189"/>
    </row>
    <row r="44" spans="3:14" x14ac:dyDescent="0.3">
      <c r="N44" s="187"/>
    </row>
    <row r="45" spans="3:14" ht="15.45" customHeight="1" x14ac:dyDescent="0.3">
      <c r="C45" s="201" t="s">
        <v>210</v>
      </c>
      <c r="D45" s="201"/>
      <c r="E45" s="201"/>
      <c r="F45" s="201"/>
      <c r="G45" s="201"/>
      <c r="H45" s="201"/>
      <c r="I45" s="201"/>
      <c r="L45" s="180" t="s">
        <v>209</v>
      </c>
      <c r="M45" s="182">
        <f>M33</f>
        <v>5891500</v>
      </c>
      <c r="N45" s="187"/>
    </row>
    <row r="46" spans="3:14" x14ac:dyDescent="0.3">
      <c r="L46" s="180" t="s">
        <v>208</v>
      </c>
      <c r="M46" s="182">
        <f>M38-M41*1.05</f>
        <v>4570000</v>
      </c>
      <c r="N46" s="187"/>
    </row>
    <row r="47" spans="3:14" ht="31.5" customHeight="1" x14ac:dyDescent="0.3">
      <c r="C47" s="200" t="s">
        <v>207</v>
      </c>
      <c r="D47" s="199"/>
      <c r="E47" s="199"/>
      <c r="F47" s="199"/>
      <c r="G47" s="199"/>
      <c r="H47" s="199"/>
      <c r="I47" s="198"/>
      <c r="N47" s="186"/>
    </row>
    <row r="48" spans="3:14" x14ac:dyDescent="0.3">
      <c r="C48" s="197"/>
      <c r="D48" s="196"/>
      <c r="E48" s="196"/>
      <c r="F48" s="196"/>
      <c r="G48" s="196"/>
      <c r="H48" s="196"/>
      <c r="I48" s="195"/>
      <c r="L48" s="180" t="s">
        <v>206</v>
      </c>
      <c r="M48" s="182">
        <f>MAX(0,MIN(M45,M46))</f>
        <v>4570000</v>
      </c>
      <c r="N48" s="187"/>
    </row>
    <row r="49" spans="12:14" x14ac:dyDescent="0.3">
      <c r="N49" s="182"/>
    </row>
    <row r="50" spans="12:14" ht="15.45" customHeight="1" x14ac:dyDescent="0.3">
      <c r="L50" s="180" t="s">
        <v>205</v>
      </c>
      <c r="M50" s="175">
        <f>(M10+M12)*(1+M6)-M13</f>
        <v>825500</v>
      </c>
      <c r="N50" s="182"/>
    </row>
    <row r="51" spans="12:14" x14ac:dyDescent="0.3">
      <c r="L51" s="180" t="s">
        <v>204</v>
      </c>
      <c r="M51" s="175">
        <f>M22</f>
        <v>0</v>
      </c>
    </row>
    <row r="52" spans="12:14" ht="17.55" customHeight="1" x14ac:dyDescent="0.3">
      <c r="M52" s="175"/>
      <c r="N52" s="175"/>
    </row>
    <row r="53" spans="12:14" x14ac:dyDescent="0.3">
      <c r="L53" s="178" t="s">
        <v>203</v>
      </c>
      <c r="M53" s="177">
        <f>M48-M50+M51</f>
        <v>3744500</v>
      </c>
    </row>
    <row r="54" spans="12:14" x14ac:dyDescent="0.3">
      <c r="N54" s="175"/>
    </row>
    <row r="55" spans="12:14" ht="31.5" customHeight="1" x14ac:dyDescent="0.3">
      <c r="L55" s="183" t="s">
        <v>202</v>
      </c>
      <c r="M55" s="175"/>
      <c r="N55" s="175"/>
    </row>
    <row r="56" spans="12:14" ht="15.45" customHeight="1" x14ac:dyDescent="0.3">
      <c r="L56" s="180"/>
      <c r="M56" s="191">
        <v>46023</v>
      </c>
      <c r="N56" s="175"/>
    </row>
    <row r="57" spans="12:14" ht="15.45" customHeight="1" x14ac:dyDescent="0.3">
      <c r="L57" s="180" t="s">
        <v>201</v>
      </c>
      <c r="M57" s="193">
        <f>M24</f>
        <v>31500000</v>
      </c>
      <c r="N57" s="175"/>
    </row>
    <row r="58" spans="12:14" x14ac:dyDescent="0.3">
      <c r="L58" s="180"/>
      <c r="M58" s="193"/>
      <c r="N58" s="175"/>
    </row>
    <row r="59" spans="12:14" x14ac:dyDescent="0.3">
      <c r="L59" s="180" t="s">
        <v>200</v>
      </c>
      <c r="M59" s="192">
        <f>(M30+M10)*(1+N5)-M20*(1+N5/2)</f>
        <v>25725031.25</v>
      </c>
      <c r="N59" s="177"/>
    </row>
    <row r="60" spans="12:14" ht="15.45" customHeight="1" x14ac:dyDescent="0.3">
      <c r="L60" s="180" t="s">
        <v>199</v>
      </c>
      <c r="M60" s="192">
        <f>M59*0.05</f>
        <v>1286251.5625</v>
      </c>
    </row>
    <row r="61" spans="12:14" ht="45" customHeight="1" x14ac:dyDescent="0.3">
      <c r="L61" s="180" t="s">
        <v>198</v>
      </c>
      <c r="M61" s="194">
        <f>(M59+M60)*N6</f>
        <v>2566071.8671875</v>
      </c>
      <c r="N61" s="175"/>
    </row>
    <row r="62" spans="12:14" x14ac:dyDescent="0.3">
      <c r="L62" s="180" t="s">
        <v>197</v>
      </c>
      <c r="M62" s="194">
        <f>SUM(M59:M61)</f>
        <v>29577354.6796875</v>
      </c>
      <c r="N62" s="189"/>
    </row>
    <row r="63" spans="12:14" x14ac:dyDescent="0.3">
      <c r="L63" s="180"/>
      <c r="M63" s="182"/>
      <c r="N63" s="193"/>
    </row>
    <row r="64" spans="12:14" x14ac:dyDescent="0.3">
      <c r="L64" s="180" t="s">
        <v>196</v>
      </c>
      <c r="M64" s="182">
        <f>M57-M62</f>
        <v>1922645.3203125</v>
      </c>
      <c r="N64" s="193"/>
    </row>
    <row r="65" spans="12:14" x14ac:dyDescent="0.3">
      <c r="L65" s="178" t="s">
        <v>113</v>
      </c>
      <c r="M65" s="186">
        <f>M57/M62</f>
        <v>1.065003964726869</v>
      </c>
      <c r="N65" s="192"/>
    </row>
    <row r="66" spans="12:14" x14ac:dyDescent="0.3">
      <c r="M66" s="175"/>
      <c r="N66" s="192"/>
    </row>
    <row r="67" spans="12:14" x14ac:dyDescent="0.3">
      <c r="L67" s="180"/>
      <c r="M67" s="191">
        <v>46023</v>
      </c>
      <c r="N67" s="182"/>
    </row>
    <row r="68" spans="12:14" x14ac:dyDescent="0.3">
      <c r="L68" s="180" t="s">
        <v>56</v>
      </c>
      <c r="M68" s="188">
        <f>M57</f>
        <v>31500000</v>
      </c>
      <c r="N68" s="182"/>
    </row>
    <row r="69" spans="12:14" x14ac:dyDescent="0.3">
      <c r="L69" s="180" t="s">
        <v>195</v>
      </c>
      <c r="M69" s="190">
        <f>-M16</f>
        <v>-450000</v>
      </c>
      <c r="N69" s="182"/>
    </row>
    <row r="70" spans="12:14" x14ac:dyDescent="0.3">
      <c r="L70" s="180" t="s">
        <v>194</v>
      </c>
      <c r="M70" s="187">
        <f>M68+M69</f>
        <v>31050000</v>
      </c>
      <c r="N70" s="182"/>
    </row>
    <row r="71" spans="12:14" x14ac:dyDescent="0.3">
      <c r="L71" s="180"/>
      <c r="M71" s="187"/>
      <c r="N71" s="186"/>
    </row>
    <row r="72" spans="12:14" x14ac:dyDescent="0.3">
      <c r="L72" s="180" t="s">
        <v>57</v>
      </c>
      <c r="M72" s="187">
        <f>(M41+M17)*(1+N7)-M20*(1+N7/2)</f>
        <v>28056466.25</v>
      </c>
      <c r="N72" s="175"/>
    </row>
    <row r="73" spans="12:14" x14ac:dyDescent="0.3">
      <c r="L73" s="180" t="s">
        <v>193</v>
      </c>
      <c r="M73" s="190">
        <f>M72*0.05</f>
        <v>1402823.3125</v>
      </c>
      <c r="N73" s="189"/>
    </row>
    <row r="74" spans="12:14" x14ac:dyDescent="0.3">
      <c r="L74" s="180" t="s">
        <v>192</v>
      </c>
      <c r="M74" s="187">
        <f>M72+M73</f>
        <v>29459289.5625</v>
      </c>
      <c r="N74" s="188"/>
    </row>
    <row r="75" spans="12:14" x14ac:dyDescent="0.3">
      <c r="L75" s="180"/>
      <c r="M75" s="187"/>
      <c r="N75" s="187"/>
    </row>
    <row r="76" spans="12:14" x14ac:dyDescent="0.3">
      <c r="L76" s="180" t="s">
        <v>191</v>
      </c>
      <c r="M76" s="187">
        <f>M70-M74</f>
        <v>1590710.4375</v>
      </c>
      <c r="N76" s="187"/>
    </row>
    <row r="77" spans="12:14" x14ac:dyDescent="0.3">
      <c r="L77" s="178" t="s">
        <v>190</v>
      </c>
      <c r="M77" s="186">
        <f>M68/M74</f>
        <v>1.0692722216932791</v>
      </c>
      <c r="N77" s="187"/>
    </row>
    <row r="78" spans="12:14" x14ac:dyDescent="0.3">
      <c r="N78" s="187"/>
    </row>
    <row r="79" spans="12:14" x14ac:dyDescent="0.3">
      <c r="L79" s="180" t="s">
        <v>189</v>
      </c>
      <c r="M79" s="182">
        <f>M64</f>
        <v>1922645.3203125</v>
      </c>
      <c r="N79" s="187"/>
    </row>
    <row r="80" spans="12:14" x14ac:dyDescent="0.3">
      <c r="L80" s="180" t="s">
        <v>188</v>
      </c>
      <c r="M80" s="182">
        <f>M68-M74*1.05</f>
        <v>567745.95937499776</v>
      </c>
      <c r="N80" s="187"/>
    </row>
    <row r="81" spans="12:15" x14ac:dyDescent="0.3">
      <c r="N81" s="187"/>
    </row>
    <row r="82" spans="12:15" x14ac:dyDescent="0.3">
      <c r="L82" s="170" t="s">
        <v>187</v>
      </c>
      <c r="M82" s="185">
        <f>MAX(0,MIN(M79,M80))</f>
        <v>567745.95937499776</v>
      </c>
      <c r="N82" s="187"/>
    </row>
    <row r="83" spans="12:15" x14ac:dyDescent="0.3">
      <c r="L83" s="170" t="s">
        <v>186</v>
      </c>
      <c r="M83" s="181">
        <f>MIN(M53,M82)</f>
        <v>567745.95937499776</v>
      </c>
      <c r="N83" s="186"/>
      <c r="O83" s="185" t="s">
        <v>185</v>
      </c>
    </row>
    <row r="84" spans="12:15" x14ac:dyDescent="0.3">
      <c r="L84" s="184" t="s">
        <v>184</v>
      </c>
      <c r="M84" s="175"/>
    </row>
    <row r="85" spans="12:15" x14ac:dyDescent="0.3">
      <c r="L85" s="183" t="s">
        <v>183</v>
      </c>
      <c r="M85" s="175"/>
      <c r="N85" s="182"/>
    </row>
    <row r="86" spans="12:15" x14ac:dyDescent="0.3">
      <c r="M86" s="175"/>
      <c r="N86" s="182"/>
    </row>
    <row r="87" spans="12:15" x14ac:dyDescent="0.3">
      <c r="L87" s="180" t="s">
        <v>182</v>
      </c>
      <c r="M87" s="175"/>
    </row>
    <row r="88" spans="12:15" x14ac:dyDescent="0.3">
      <c r="L88" s="180" t="s">
        <v>181</v>
      </c>
      <c r="M88" s="175">
        <f>M11</f>
        <v>815000</v>
      </c>
    </row>
    <row r="89" spans="12:15" ht="41.4" x14ac:dyDescent="0.3">
      <c r="L89" s="180" t="s">
        <v>180</v>
      </c>
      <c r="M89" s="175">
        <f>M12</f>
        <v>100000</v>
      </c>
      <c r="O89" s="181" t="s">
        <v>179</v>
      </c>
    </row>
    <row r="90" spans="12:15" x14ac:dyDescent="0.3">
      <c r="L90" s="180" t="s">
        <v>87</v>
      </c>
      <c r="M90" s="175">
        <f>(M88+M89)*N6</f>
        <v>86925</v>
      </c>
      <c r="N90" s="175"/>
      <c r="O90" s="175"/>
    </row>
    <row r="91" spans="12:15" x14ac:dyDescent="0.3">
      <c r="L91" s="180" t="s">
        <v>178</v>
      </c>
      <c r="M91" s="179">
        <f>-M14</f>
        <v>-166000</v>
      </c>
      <c r="N91" s="175"/>
    </row>
    <row r="92" spans="12:15" x14ac:dyDescent="0.3">
      <c r="L92" s="178" t="s">
        <v>177</v>
      </c>
      <c r="M92" s="177">
        <f>SUM(M88:M91)</f>
        <v>835925</v>
      </c>
      <c r="N92" s="176"/>
      <c r="O92" s="176" t="s">
        <v>176</v>
      </c>
    </row>
    <row r="93" spans="12:15" x14ac:dyDescent="0.3">
      <c r="N93" s="175"/>
    </row>
    <row r="94" spans="12:15" x14ac:dyDescent="0.3">
      <c r="L94" s="174" t="s">
        <v>175</v>
      </c>
      <c r="M94" s="170"/>
      <c r="N94" s="170"/>
      <c r="O94" s="170"/>
    </row>
    <row r="95" spans="12:15" x14ac:dyDescent="0.3">
      <c r="L95" s="172"/>
      <c r="M95" s="170"/>
      <c r="N95" s="170"/>
      <c r="O95" s="170"/>
    </row>
    <row r="96" spans="12:15" x14ac:dyDescent="0.3">
      <c r="L96" s="172" t="s">
        <v>174</v>
      </c>
      <c r="M96" s="171">
        <f>M92-M83</f>
        <v>268179.04062500224</v>
      </c>
      <c r="N96" s="170"/>
      <c r="O96" s="170" t="s">
        <v>173</v>
      </c>
    </row>
    <row r="97" spans="12:15" x14ac:dyDescent="0.3">
      <c r="L97" s="172"/>
      <c r="M97" s="173"/>
      <c r="N97" s="170"/>
      <c r="O97" s="170"/>
    </row>
    <row r="98" spans="12:15" ht="41.4" x14ac:dyDescent="0.3">
      <c r="L98" s="172" t="s">
        <v>172</v>
      </c>
      <c r="M98" s="171">
        <f>M92</f>
        <v>835925</v>
      </c>
      <c r="N98" s="170"/>
      <c r="O98" s="170" t="s">
        <v>171</v>
      </c>
    </row>
    <row r="103" spans="12:15" x14ac:dyDescent="0.3">
      <c r="O103" s="169"/>
    </row>
  </sheetData>
  <mergeCells count="4">
    <mergeCell ref="C47:I48"/>
    <mergeCell ref="C38:J38"/>
    <mergeCell ref="C5:I7"/>
    <mergeCell ref="C45:I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17368-FAAE-4010-B900-637B1C959C47}">
  <dimension ref="A1:N76"/>
  <sheetViews>
    <sheetView tabSelected="1" zoomScaleNormal="100" workbookViewId="0">
      <selection activeCell="J33" sqref="J33"/>
    </sheetView>
  </sheetViews>
  <sheetFormatPr defaultColWidth="8.88671875" defaultRowHeight="15.6" x14ac:dyDescent="0.3"/>
  <cols>
    <col min="1" max="1" width="4.109375" style="3" customWidth="1"/>
    <col min="2" max="2" width="13.5546875" style="3" customWidth="1"/>
    <col min="3" max="3" width="37.88671875" style="3" customWidth="1"/>
    <col min="4" max="4" width="28.88671875" style="3" customWidth="1"/>
    <col min="5" max="7" width="32.88671875" style="3" customWidth="1"/>
    <col min="8" max="8" width="15.88671875" style="3" bestFit="1" customWidth="1"/>
    <col min="9" max="9" width="6.109375" style="3" customWidth="1"/>
    <col min="10" max="10" width="21.33203125" style="3" customWidth="1"/>
    <col min="11" max="11" width="16.5546875" style="3" customWidth="1"/>
    <col min="12" max="12" width="15.6640625" style="3" customWidth="1"/>
    <col min="13" max="13" width="21.33203125" style="3" customWidth="1"/>
    <col min="14" max="14" width="19" style="3" customWidth="1"/>
    <col min="15" max="15" width="17.109375" style="3" customWidth="1"/>
    <col min="16" max="16" width="14" style="3" customWidth="1"/>
    <col min="17" max="17" width="13.6640625" style="3" customWidth="1"/>
    <col min="18" max="18" width="10" style="3" bestFit="1" customWidth="1"/>
    <col min="19" max="20" width="13" style="3" bestFit="1" customWidth="1"/>
    <col min="21" max="21" width="11.44140625" style="3" bestFit="1" customWidth="1"/>
    <col min="22" max="22" width="13.109375" style="3" bestFit="1" customWidth="1"/>
    <col min="23" max="23" width="8.88671875" style="3"/>
    <col min="24" max="24" width="14.109375" style="3" customWidth="1"/>
    <col min="25" max="25" width="14.6640625" style="3" customWidth="1"/>
    <col min="26" max="27" width="8.88671875" style="3"/>
    <col min="28" max="28" width="26.109375" style="3" bestFit="1" customWidth="1"/>
    <col min="29" max="29" width="12" style="3" bestFit="1" customWidth="1"/>
    <col min="30" max="16384" width="8.88671875" style="3"/>
  </cols>
  <sheetData>
    <row r="1" spans="1:10" x14ac:dyDescent="0.3">
      <c r="A1" s="1" t="s">
        <v>293</v>
      </c>
      <c r="B1" s="4"/>
      <c r="C1" s="231"/>
      <c r="D1" s="231"/>
      <c r="E1" s="231"/>
      <c r="F1" s="231"/>
      <c r="G1" s="231"/>
      <c r="H1" s="231"/>
      <c r="J1" s="3" t="s">
        <v>293</v>
      </c>
    </row>
    <row r="2" spans="1:10" x14ac:dyDescent="0.3">
      <c r="A2" s="1" t="s">
        <v>292</v>
      </c>
      <c r="B2" s="4"/>
      <c r="C2" s="231"/>
      <c r="D2" s="231"/>
      <c r="E2" s="231"/>
      <c r="F2" s="231"/>
      <c r="G2" s="231"/>
      <c r="H2" s="231"/>
      <c r="J2" s="3" t="s">
        <v>292</v>
      </c>
    </row>
    <row r="3" spans="1:10" x14ac:dyDescent="0.3">
      <c r="A3" s="1"/>
      <c r="B3" s="4"/>
      <c r="C3" s="231"/>
      <c r="D3" s="231"/>
      <c r="E3" s="231"/>
      <c r="F3" s="231"/>
      <c r="G3" s="231"/>
      <c r="H3" s="231"/>
    </row>
    <row r="4" spans="1:10" x14ac:dyDescent="0.3">
      <c r="A4" s="7" t="s">
        <v>169</v>
      </c>
      <c r="B4" s="244"/>
      <c r="C4" s="96" t="s">
        <v>291</v>
      </c>
      <c r="D4" s="96"/>
      <c r="E4" s="96"/>
      <c r="F4" s="96"/>
      <c r="G4" s="96"/>
      <c r="H4" s="8"/>
      <c r="J4" s="3" t="s">
        <v>4</v>
      </c>
    </row>
    <row r="5" spans="1:10" x14ac:dyDescent="0.3">
      <c r="A5" s="7"/>
      <c r="B5" s="244"/>
      <c r="C5" s="96"/>
      <c r="D5" s="96"/>
      <c r="E5" s="96"/>
      <c r="F5" s="96"/>
      <c r="G5" s="96"/>
      <c r="H5" s="8"/>
    </row>
    <row r="6" spans="1:10" x14ac:dyDescent="0.3">
      <c r="A6" s="7"/>
      <c r="B6" s="244"/>
      <c r="C6" s="89"/>
      <c r="D6" s="89"/>
      <c r="E6" s="89"/>
      <c r="F6" s="89"/>
      <c r="G6" s="89"/>
      <c r="H6" s="8"/>
    </row>
    <row r="7" spans="1:10" x14ac:dyDescent="0.3">
      <c r="A7" s="7"/>
      <c r="B7" s="244"/>
      <c r="C7" s="5" t="s">
        <v>290</v>
      </c>
      <c r="D7" s="5"/>
      <c r="E7" s="5"/>
      <c r="F7" s="5"/>
      <c r="G7" s="8"/>
      <c r="H7" s="8"/>
    </row>
    <row r="8" spans="1:10" x14ac:dyDescent="0.3">
      <c r="A8" s="7"/>
      <c r="B8" s="244"/>
      <c r="C8" s="5"/>
      <c r="D8" s="5"/>
      <c r="E8" s="5"/>
      <c r="F8" s="5"/>
      <c r="G8" s="8"/>
      <c r="H8" s="8"/>
    </row>
    <row r="9" spans="1:10" x14ac:dyDescent="0.3">
      <c r="A9" s="231"/>
      <c r="B9" s="231"/>
      <c r="C9" s="10" t="s">
        <v>289</v>
      </c>
      <c r="D9" s="5"/>
      <c r="E9" s="5"/>
      <c r="F9" s="5"/>
      <c r="G9" s="5"/>
      <c r="H9" s="231"/>
    </row>
    <row r="10" spans="1:10" x14ac:dyDescent="0.3">
      <c r="A10" s="231"/>
      <c r="B10" s="231"/>
      <c r="C10" s="10" t="s">
        <v>288</v>
      </c>
      <c r="D10" s="5"/>
      <c r="E10" s="5"/>
      <c r="F10" s="5"/>
      <c r="G10" s="5"/>
      <c r="H10" s="231"/>
    </row>
    <row r="11" spans="1:10" x14ac:dyDescent="0.3">
      <c r="A11" s="231"/>
      <c r="B11" s="231"/>
      <c r="C11" s="5"/>
      <c r="D11" s="5"/>
      <c r="E11" s="5"/>
      <c r="F11" s="5"/>
      <c r="G11" s="5"/>
      <c r="H11" s="231"/>
    </row>
    <row r="12" spans="1:10" x14ac:dyDescent="0.3">
      <c r="A12" s="231"/>
      <c r="B12" s="231"/>
      <c r="C12" s="5" t="s">
        <v>287</v>
      </c>
      <c r="D12" s="5"/>
      <c r="E12" s="5"/>
      <c r="F12" s="5"/>
      <c r="G12" s="5"/>
      <c r="H12" s="231"/>
    </row>
    <row r="13" spans="1:10" x14ac:dyDescent="0.3">
      <c r="A13" s="231"/>
      <c r="B13" s="231"/>
      <c r="C13" s="5"/>
      <c r="D13" s="5"/>
      <c r="E13" s="5"/>
      <c r="F13" s="5"/>
      <c r="G13" s="5"/>
      <c r="H13" s="231"/>
    </row>
    <row r="14" spans="1:10" x14ac:dyDescent="0.3">
      <c r="A14" s="231"/>
      <c r="B14" s="231"/>
      <c r="C14" s="240" t="s">
        <v>286</v>
      </c>
      <c r="D14" s="243">
        <v>4.9200000000000001E-2</v>
      </c>
      <c r="E14" s="243">
        <v>4.9299999999999997E-2</v>
      </c>
      <c r="F14" s="5"/>
      <c r="G14" s="5"/>
      <c r="H14" s="231"/>
    </row>
    <row r="15" spans="1:10" x14ac:dyDescent="0.3">
      <c r="A15" s="231"/>
      <c r="B15" s="231"/>
      <c r="C15" s="240" t="s">
        <v>239</v>
      </c>
      <c r="D15" s="242">
        <v>45038000</v>
      </c>
      <c r="E15" s="242">
        <v>45000000</v>
      </c>
      <c r="F15" s="5"/>
      <c r="G15" s="5"/>
      <c r="H15" s="231"/>
    </row>
    <row r="16" spans="1:10" x14ac:dyDescent="0.3">
      <c r="A16" s="231"/>
      <c r="B16" s="231"/>
      <c r="C16" s="5"/>
      <c r="D16" s="5"/>
      <c r="E16" s="5"/>
      <c r="F16" s="5"/>
      <c r="G16" s="5"/>
      <c r="H16" s="231"/>
    </row>
    <row r="17" spans="1:14" x14ac:dyDescent="0.3">
      <c r="A17" s="231"/>
      <c r="B17" s="231"/>
      <c r="C17" s="5" t="s">
        <v>285</v>
      </c>
      <c r="D17" s="5"/>
      <c r="E17" s="5"/>
      <c r="F17" s="5"/>
      <c r="G17" s="5"/>
      <c r="H17" s="231"/>
    </row>
    <row r="18" spans="1:14" x14ac:dyDescent="0.3">
      <c r="A18" s="231"/>
      <c r="B18" s="231"/>
      <c r="C18" s="5"/>
      <c r="D18" s="5"/>
      <c r="E18" s="5"/>
      <c r="F18" s="5"/>
      <c r="G18" s="5"/>
      <c r="H18" s="231"/>
    </row>
    <row r="19" spans="1:14" x14ac:dyDescent="0.3">
      <c r="A19" s="231"/>
      <c r="B19" s="231"/>
      <c r="C19" s="240" t="s">
        <v>284</v>
      </c>
      <c r="D19" s="240" t="s">
        <v>275</v>
      </c>
      <c r="E19" s="240" t="s">
        <v>283</v>
      </c>
      <c r="F19" s="240" t="s">
        <v>282</v>
      </c>
      <c r="G19" s="5"/>
      <c r="H19" s="231"/>
    </row>
    <row r="20" spans="1:14" x14ac:dyDescent="0.3">
      <c r="A20" s="231"/>
      <c r="B20" s="231"/>
      <c r="C20" s="240" t="s">
        <v>281</v>
      </c>
      <c r="D20" s="240">
        <v>7.7</v>
      </c>
      <c r="E20" s="241">
        <v>3.4200000000000001E-2</v>
      </c>
      <c r="F20" s="240" t="s">
        <v>280</v>
      </c>
      <c r="G20" s="5"/>
      <c r="H20" s="231"/>
    </row>
    <row r="21" spans="1:14" x14ac:dyDescent="0.3">
      <c r="A21" s="231"/>
      <c r="B21" s="231"/>
      <c r="C21" s="240" t="s">
        <v>279</v>
      </c>
      <c r="D21" s="240">
        <v>9.6999999999999993</v>
      </c>
      <c r="E21" s="241">
        <v>3.4200000000000001E-2</v>
      </c>
      <c r="F21" s="240" t="s">
        <v>277</v>
      </c>
      <c r="G21" s="5"/>
      <c r="H21" s="231"/>
      <c r="M21" s="87"/>
    </row>
    <row r="22" spans="1:14" x14ac:dyDescent="0.3">
      <c r="A22" s="231"/>
      <c r="B22" s="231"/>
      <c r="C22" s="240" t="s">
        <v>278</v>
      </c>
      <c r="D22" s="240">
        <v>11.7</v>
      </c>
      <c r="E22" s="241">
        <v>3.4200000000000001E-2</v>
      </c>
      <c r="F22" s="240" t="s">
        <v>277</v>
      </c>
      <c r="G22" s="5"/>
      <c r="H22" s="231"/>
      <c r="J22" s="92" t="s">
        <v>123</v>
      </c>
    </row>
    <row r="23" spans="1:14" x14ac:dyDescent="0.3">
      <c r="A23" s="231"/>
      <c r="B23" s="231"/>
      <c r="C23" s="5"/>
      <c r="D23" s="5"/>
      <c r="E23" s="5"/>
      <c r="F23" s="5"/>
      <c r="G23" s="5"/>
      <c r="H23" s="231"/>
    </row>
    <row r="24" spans="1:14" x14ac:dyDescent="0.3">
      <c r="A24" s="231"/>
      <c r="B24" s="231"/>
      <c r="C24" s="5" t="s">
        <v>276</v>
      </c>
      <c r="D24" s="5"/>
      <c r="E24" s="5"/>
      <c r="F24" s="5"/>
      <c r="G24" s="5"/>
      <c r="H24" s="231"/>
      <c r="J24" s="3" t="s">
        <v>275</v>
      </c>
      <c r="K24" s="239">
        <f>((D15/E15)-1)/0.01%</f>
        <v>8.4444444444442546</v>
      </c>
    </row>
    <row r="25" spans="1:14" x14ac:dyDescent="0.3">
      <c r="A25" s="231"/>
      <c r="B25" s="238"/>
      <c r="C25" s="237"/>
      <c r="D25" s="237"/>
      <c r="E25" s="237"/>
      <c r="F25" s="237"/>
      <c r="G25" s="237"/>
      <c r="H25" s="237"/>
    </row>
    <row r="26" spans="1:14" x14ac:dyDescent="0.3">
      <c r="A26" s="231"/>
      <c r="B26" s="220"/>
      <c r="C26" s="220"/>
      <c r="D26" s="220"/>
      <c r="E26" s="220"/>
      <c r="F26" s="220"/>
      <c r="G26" s="220"/>
      <c r="H26" s="220"/>
      <c r="J26" s="3" t="s">
        <v>274</v>
      </c>
      <c r="K26" s="3">
        <v>160</v>
      </c>
    </row>
    <row r="27" spans="1:14" x14ac:dyDescent="0.3">
      <c r="A27" s="34" t="s">
        <v>38</v>
      </c>
      <c r="B27" s="35" t="s">
        <v>264</v>
      </c>
      <c r="C27" s="5" t="s">
        <v>273</v>
      </c>
      <c r="D27" s="220"/>
      <c r="E27" s="220"/>
      <c r="F27" s="220"/>
      <c r="G27" s="220"/>
      <c r="H27" s="220"/>
      <c r="J27" s="3" t="s">
        <v>272</v>
      </c>
      <c r="K27" s="3">
        <v>150</v>
      </c>
    </row>
    <row r="28" spans="1:14" x14ac:dyDescent="0.3">
      <c r="A28" s="34"/>
      <c r="B28" s="35"/>
      <c r="C28" s="38"/>
      <c r="D28" s="220"/>
      <c r="E28" s="220"/>
      <c r="F28" s="220"/>
      <c r="G28" s="220"/>
      <c r="H28" s="220"/>
      <c r="J28" s="3" t="s">
        <v>271</v>
      </c>
      <c r="K28" s="3">
        <f>D20</f>
        <v>7.7</v>
      </c>
      <c r="N28" s="219"/>
    </row>
    <row r="29" spans="1:14" x14ac:dyDescent="0.3">
      <c r="A29" s="34"/>
      <c r="B29" s="35"/>
      <c r="C29" s="236" t="s">
        <v>41</v>
      </c>
      <c r="D29" s="209"/>
      <c r="E29" s="209"/>
      <c r="F29" s="209"/>
      <c r="G29" s="208"/>
      <c r="H29" s="220"/>
      <c r="J29" s="3" t="s">
        <v>270</v>
      </c>
      <c r="K29" s="3">
        <f>D21</f>
        <v>9.6999999999999993</v>
      </c>
    </row>
    <row r="30" spans="1:14" x14ac:dyDescent="0.3">
      <c r="A30" s="231"/>
      <c r="B30" s="230"/>
      <c r="C30" s="220"/>
      <c r="D30" s="220"/>
      <c r="E30" s="220"/>
      <c r="F30" s="220"/>
      <c r="G30" s="220"/>
      <c r="H30" s="220"/>
    </row>
    <row r="31" spans="1:14" x14ac:dyDescent="0.3">
      <c r="A31" s="231"/>
      <c r="B31" s="230"/>
      <c r="C31" s="38" t="s">
        <v>269</v>
      </c>
      <c r="D31" s="220"/>
      <c r="E31" s="235">
        <f>K33</f>
        <v>4.9827777777777874E-2</v>
      </c>
      <c r="F31" s="220"/>
      <c r="G31" s="220"/>
      <c r="H31" s="220"/>
      <c r="J31" s="3" t="s">
        <v>268</v>
      </c>
      <c r="K31" s="234">
        <f>(K26*(K29-K24)+K27*(K24-K28))/(K29-K28)</f>
        <v>156.27777777777871</v>
      </c>
    </row>
    <row r="32" spans="1:14" x14ac:dyDescent="0.3">
      <c r="A32" s="231"/>
      <c r="B32" s="230"/>
      <c r="C32" s="36"/>
      <c r="D32" s="220"/>
      <c r="E32" s="220"/>
      <c r="F32" s="220"/>
      <c r="G32" s="220"/>
      <c r="H32" s="220"/>
      <c r="J32" s="3" t="s">
        <v>267</v>
      </c>
      <c r="K32" s="79">
        <f>E20</f>
        <v>3.4200000000000001E-2</v>
      </c>
      <c r="L32" s="233"/>
      <c r="M32" s="233"/>
    </row>
    <row r="33" spans="1:13" x14ac:dyDescent="0.3">
      <c r="A33" s="231"/>
      <c r="B33" s="230"/>
      <c r="C33" s="36" t="s">
        <v>266</v>
      </c>
      <c r="D33" s="220"/>
      <c r="E33" s="220"/>
      <c r="F33" s="220"/>
      <c r="G33" s="220"/>
      <c r="H33" s="220"/>
      <c r="J33" s="3" t="s">
        <v>10</v>
      </c>
      <c r="K33" s="79">
        <f>K32+K31/10000</f>
        <v>4.9827777777777874E-2</v>
      </c>
      <c r="L33" s="233"/>
      <c r="M33" s="233"/>
    </row>
    <row r="34" spans="1:13" x14ac:dyDescent="0.3">
      <c r="A34" s="231"/>
      <c r="B34" s="230"/>
      <c r="C34" s="36"/>
      <c r="D34" s="220"/>
      <c r="E34" s="220"/>
      <c r="F34" s="220"/>
      <c r="G34" s="220"/>
      <c r="H34" s="220"/>
      <c r="L34" s="233"/>
      <c r="M34" s="233"/>
    </row>
    <row r="35" spans="1:13" x14ac:dyDescent="0.3">
      <c r="A35" s="34" t="s">
        <v>50</v>
      </c>
      <c r="B35" s="35" t="s">
        <v>51</v>
      </c>
      <c r="C35" s="5" t="s">
        <v>265</v>
      </c>
      <c r="D35" s="220"/>
      <c r="E35" s="220"/>
      <c r="F35" s="220"/>
      <c r="G35" s="224"/>
      <c r="H35" s="220"/>
      <c r="J35" s="232"/>
    </row>
    <row r="36" spans="1:13" x14ac:dyDescent="0.3">
      <c r="A36" s="37"/>
      <c r="B36" s="35"/>
      <c r="C36" s="38"/>
      <c r="D36" s="220"/>
      <c r="E36" s="220"/>
      <c r="F36" s="220"/>
      <c r="G36" s="220"/>
      <c r="H36" s="220"/>
      <c r="J36" s="232"/>
    </row>
    <row r="37" spans="1:13" ht="15.75" customHeight="1" x14ac:dyDescent="0.3">
      <c r="A37" s="37"/>
      <c r="B37" s="35"/>
      <c r="C37" s="200" t="s">
        <v>129</v>
      </c>
      <c r="D37" s="199"/>
      <c r="E37" s="199"/>
      <c r="F37" s="199"/>
      <c r="G37" s="198"/>
      <c r="H37" s="220"/>
    </row>
    <row r="38" spans="1:13" x14ac:dyDescent="0.3">
      <c r="A38" s="231"/>
      <c r="B38" s="230"/>
      <c r="C38" s="197"/>
      <c r="D38" s="196"/>
      <c r="E38" s="196"/>
      <c r="F38" s="196"/>
      <c r="G38" s="195"/>
      <c r="H38" s="220"/>
    </row>
    <row r="39" spans="1:13" x14ac:dyDescent="0.3">
      <c r="A39" s="231"/>
      <c r="B39" s="230"/>
      <c r="C39" s="36"/>
      <c r="D39" s="220"/>
      <c r="E39" s="220"/>
      <c r="F39" s="220"/>
      <c r="G39" s="220"/>
      <c r="H39" s="220"/>
    </row>
    <row r="40" spans="1:13" x14ac:dyDescent="0.3">
      <c r="A40" s="231"/>
      <c r="B40" s="230"/>
      <c r="C40" s="36"/>
      <c r="D40" s="220"/>
      <c r="E40" s="220"/>
      <c r="F40" s="220"/>
      <c r="G40" s="220"/>
      <c r="H40" s="220"/>
    </row>
    <row r="41" spans="1:13" x14ac:dyDescent="0.3">
      <c r="A41" s="225"/>
      <c r="B41" s="227"/>
      <c r="C41" s="5"/>
      <c r="D41" s="224"/>
      <c r="E41" s="224"/>
      <c r="F41" s="224"/>
      <c r="G41" s="224"/>
      <c r="H41" s="220"/>
    </row>
    <row r="42" spans="1:13" x14ac:dyDescent="0.3">
      <c r="A42" s="225"/>
      <c r="B42" s="227"/>
      <c r="C42" s="5"/>
      <c r="D42" s="224"/>
      <c r="E42" s="224"/>
      <c r="F42" s="224"/>
      <c r="G42" s="224"/>
      <c r="H42" s="220"/>
    </row>
    <row r="43" spans="1:13" x14ac:dyDescent="0.3">
      <c r="A43" s="34" t="s">
        <v>67</v>
      </c>
      <c r="B43" s="35" t="s">
        <v>264</v>
      </c>
      <c r="C43" s="5" t="s">
        <v>263</v>
      </c>
      <c r="D43" s="224"/>
      <c r="E43" s="224"/>
      <c r="F43" s="224"/>
      <c r="G43" s="224"/>
      <c r="H43" s="220"/>
    </row>
    <row r="44" spans="1:13" x14ac:dyDescent="0.3">
      <c r="A44" s="225"/>
      <c r="B44" s="227"/>
      <c r="C44" s="5"/>
      <c r="D44" s="224"/>
      <c r="E44" s="224"/>
      <c r="F44" s="224"/>
      <c r="G44" s="224"/>
      <c r="H44" s="220"/>
    </row>
    <row r="45" spans="1:13" ht="15.75" customHeight="1" x14ac:dyDescent="0.3">
      <c r="A45" s="225"/>
      <c r="B45" s="227"/>
      <c r="C45" s="200" t="s">
        <v>129</v>
      </c>
      <c r="D45" s="199"/>
      <c r="E45" s="199"/>
      <c r="F45" s="199"/>
      <c r="G45" s="198"/>
      <c r="H45" s="220"/>
    </row>
    <row r="46" spans="1:13" x14ac:dyDescent="0.3">
      <c r="A46" s="225"/>
      <c r="B46" s="227"/>
      <c r="C46" s="197"/>
      <c r="D46" s="196"/>
      <c r="E46" s="196"/>
      <c r="F46" s="196"/>
      <c r="G46" s="195"/>
      <c r="H46" s="220"/>
    </row>
    <row r="47" spans="1:13" x14ac:dyDescent="0.3">
      <c r="A47" s="225"/>
      <c r="B47" s="227"/>
      <c r="C47" s="36"/>
      <c r="D47" s="224"/>
      <c r="E47" s="226"/>
      <c r="F47" s="226"/>
      <c r="G47" s="224"/>
      <c r="H47" s="220"/>
    </row>
    <row r="48" spans="1:13" x14ac:dyDescent="0.3">
      <c r="A48" s="34"/>
      <c r="B48" s="35"/>
      <c r="C48" s="205"/>
      <c r="D48" s="205"/>
      <c r="E48" s="205"/>
      <c r="F48" s="205"/>
      <c r="G48" s="205"/>
      <c r="H48" s="220"/>
    </row>
    <row r="49" spans="1:8" x14ac:dyDescent="0.3">
      <c r="A49" s="34"/>
      <c r="B49" s="35"/>
      <c r="C49" s="205"/>
      <c r="D49" s="205"/>
      <c r="E49" s="205"/>
      <c r="F49" s="205"/>
      <c r="G49" s="205"/>
      <c r="H49" s="220"/>
    </row>
    <row r="50" spans="1:8" x14ac:dyDescent="0.3">
      <c r="A50" s="34"/>
      <c r="B50" s="35"/>
      <c r="C50" s="229" t="s">
        <v>262</v>
      </c>
      <c r="D50" s="229"/>
      <c r="E50" s="229"/>
      <c r="F50" s="229"/>
      <c r="G50" s="229"/>
      <c r="H50" s="220"/>
    </row>
    <row r="51" spans="1:8" x14ac:dyDescent="0.3">
      <c r="A51" s="34"/>
      <c r="B51" s="35"/>
      <c r="C51" s="229"/>
      <c r="D51" s="229"/>
      <c r="E51" s="229"/>
      <c r="F51" s="229"/>
      <c r="G51" s="229"/>
      <c r="H51" s="220"/>
    </row>
    <row r="52" spans="1:8" ht="76.5" customHeight="1" x14ac:dyDescent="0.3">
      <c r="A52" s="34"/>
      <c r="B52" s="35"/>
      <c r="C52" s="205" t="s">
        <v>261</v>
      </c>
      <c r="D52" s="205"/>
      <c r="E52" s="205"/>
      <c r="F52" s="205"/>
      <c r="G52" s="205"/>
      <c r="H52" s="220"/>
    </row>
    <row r="53" spans="1:8" x14ac:dyDescent="0.3">
      <c r="A53" s="34"/>
      <c r="B53" s="35"/>
      <c r="C53" s="229"/>
      <c r="D53" s="229"/>
      <c r="E53" s="229"/>
      <c r="F53" s="229"/>
      <c r="G53" s="229"/>
      <c r="H53" s="220"/>
    </row>
    <row r="54" spans="1:8" x14ac:dyDescent="0.3">
      <c r="A54" s="34" t="s">
        <v>260</v>
      </c>
      <c r="B54" s="35" t="s">
        <v>39</v>
      </c>
      <c r="C54" s="205" t="s">
        <v>259</v>
      </c>
      <c r="D54" s="205"/>
      <c r="E54" s="205"/>
      <c r="F54" s="205"/>
      <c r="G54" s="205"/>
      <c r="H54" s="220"/>
    </row>
    <row r="55" spans="1:8" x14ac:dyDescent="0.3">
      <c r="A55" s="34"/>
      <c r="B55" s="35"/>
      <c r="C55" s="229"/>
      <c r="D55" s="229"/>
      <c r="E55" s="229"/>
      <c r="F55" s="229"/>
      <c r="G55" s="229"/>
      <c r="H55" s="220"/>
    </row>
    <row r="56" spans="1:8" x14ac:dyDescent="0.3">
      <c r="A56" s="34"/>
      <c r="B56" s="35"/>
      <c r="C56" s="228"/>
      <c r="D56" s="228"/>
      <c r="E56" s="228"/>
      <c r="F56" s="228"/>
      <c r="G56" s="228"/>
      <c r="H56" s="220"/>
    </row>
    <row r="57" spans="1:8" x14ac:dyDescent="0.3">
      <c r="A57" s="34"/>
      <c r="B57" s="35"/>
      <c r="C57" s="228"/>
      <c r="D57" s="228"/>
      <c r="E57" s="228"/>
      <c r="F57" s="228"/>
      <c r="G57" s="228"/>
      <c r="H57" s="220"/>
    </row>
    <row r="58" spans="1:8" x14ac:dyDescent="0.3">
      <c r="A58" s="34"/>
      <c r="B58" s="35"/>
      <c r="C58" s="36"/>
      <c r="D58" s="224"/>
      <c r="E58" s="226"/>
      <c r="F58" s="226"/>
      <c r="G58" s="224"/>
      <c r="H58" s="220"/>
    </row>
    <row r="59" spans="1:8" ht="15.75" customHeight="1" x14ac:dyDescent="0.3">
      <c r="A59" s="225"/>
      <c r="B59" s="227"/>
      <c r="C59" s="200" t="s">
        <v>129</v>
      </c>
      <c r="D59" s="199"/>
      <c r="E59" s="199"/>
      <c r="F59" s="199"/>
      <c r="G59" s="198"/>
      <c r="H59" s="220"/>
    </row>
    <row r="60" spans="1:8" x14ac:dyDescent="0.3">
      <c r="A60" s="225"/>
      <c r="B60" s="227"/>
      <c r="C60" s="197"/>
      <c r="D60" s="196"/>
      <c r="E60" s="196"/>
      <c r="F60" s="196"/>
      <c r="G60" s="195"/>
      <c r="H60" s="220"/>
    </row>
    <row r="61" spans="1:8" x14ac:dyDescent="0.3">
      <c r="A61" s="225"/>
      <c r="B61" s="227"/>
      <c r="C61" s="38"/>
      <c r="D61" s="224"/>
      <c r="E61" s="50"/>
      <c r="F61" s="226"/>
      <c r="G61" s="224"/>
      <c r="H61" s="220"/>
    </row>
    <row r="62" spans="1:8" x14ac:dyDescent="0.3">
      <c r="A62" s="225"/>
      <c r="B62" s="227"/>
      <c r="C62" s="36"/>
      <c r="D62" s="224"/>
      <c r="E62" s="226"/>
      <c r="F62" s="226"/>
      <c r="G62" s="224"/>
      <c r="H62" s="220"/>
    </row>
    <row r="63" spans="1:8" x14ac:dyDescent="0.3">
      <c r="A63" s="225"/>
      <c r="B63" s="224"/>
      <c r="C63" s="224"/>
      <c r="D63" s="224"/>
      <c r="E63" s="224"/>
      <c r="F63" s="224"/>
      <c r="G63" s="224"/>
      <c r="H63" s="220"/>
    </row>
    <row r="64" spans="1:8" x14ac:dyDescent="0.3">
      <c r="A64" s="225"/>
      <c r="B64" s="224"/>
      <c r="C64" s="224"/>
      <c r="D64" s="224"/>
      <c r="E64" s="224"/>
      <c r="F64" s="224"/>
      <c r="G64" s="224"/>
      <c r="H64" s="220"/>
    </row>
    <row r="65" spans="1:12" x14ac:dyDescent="0.3">
      <c r="A65" s="42"/>
      <c r="B65" s="224"/>
      <c r="C65" s="224"/>
      <c r="D65" s="224"/>
      <c r="E65" s="224"/>
      <c r="F65" s="224"/>
      <c r="G65" s="224"/>
      <c r="H65" s="220"/>
      <c r="K65" s="221"/>
    </row>
    <row r="66" spans="1:12" x14ac:dyDescent="0.3">
      <c r="A66" s="42"/>
      <c r="B66" s="224"/>
      <c r="C66" s="224"/>
      <c r="D66" s="224"/>
      <c r="E66" s="224"/>
      <c r="F66" s="224"/>
      <c r="G66" s="224"/>
      <c r="H66" s="220"/>
      <c r="K66" s="221"/>
    </row>
    <row r="67" spans="1:12" x14ac:dyDescent="0.3">
      <c r="A67" s="42"/>
      <c r="B67" s="224"/>
      <c r="C67" s="223"/>
      <c r="D67" s="36"/>
      <c r="E67" s="33"/>
      <c r="F67" s="222"/>
      <c r="G67" s="33"/>
      <c r="H67" s="220"/>
      <c r="K67" s="221"/>
    </row>
    <row r="68" spans="1:12" x14ac:dyDescent="0.3">
      <c r="A68" s="53"/>
      <c r="B68" s="54"/>
      <c r="C68" s="33"/>
      <c r="D68" s="43"/>
      <c r="E68" s="33"/>
      <c r="F68" s="33"/>
      <c r="G68" s="33"/>
      <c r="H68" s="220"/>
      <c r="K68" s="219"/>
    </row>
    <row r="71" spans="1:12" x14ac:dyDescent="0.3">
      <c r="K71" s="219"/>
    </row>
    <row r="72" spans="1:12" x14ac:dyDescent="0.3">
      <c r="K72" s="219"/>
    </row>
    <row r="75" spans="1:12" x14ac:dyDescent="0.3">
      <c r="K75" s="86"/>
    </row>
    <row r="76" spans="1:12" x14ac:dyDescent="0.3">
      <c r="L76" s="219"/>
    </row>
  </sheetData>
  <mergeCells count="7">
    <mergeCell ref="C45:G46"/>
    <mergeCell ref="C37:G38"/>
    <mergeCell ref="C48:G49"/>
    <mergeCell ref="C59:G60"/>
    <mergeCell ref="C4:G5"/>
    <mergeCell ref="C52:G52"/>
    <mergeCell ref="C54:G5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7dc3d3663935be6bf10a75b4167b61c7">
  <xsd:schema xmlns:xsd="http://www.w3.org/2001/XMLSchema" xmlns:xs="http://www.w3.org/2001/XMLSchema" xmlns:p="http://schemas.microsoft.com/office/2006/metadata/properties" xmlns:ns2="16a415e0-cbd2-494f-bd0b-9ec9526163e9" targetNamespace="http://schemas.microsoft.com/office/2006/metadata/properties" ma:root="true" ma:fieldsID="a1fda67aa6625a839560a09cea5ca94f"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BB7049-76C8-4026-B2E4-635F943D76A3}"/>
</file>

<file path=customXml/itemProps2.xml><?xml version="1.0" encoding="utf-8"?>
<ds:datastoreItem xmlns:ds="http://schemas.openxmlformats.org/officeDocument/2006/customXml" ds:itemID="{FA80D011-7655-45A6-99FA-AE10E9436A1A}"/>
</file>

<file path=customXml/itemProps3.xml><?xml version="1.0" encoding="utf-8"?>
<ds:datastoreItem xmlns:ds="http://schemas.openxmlformats.org/officeDocument/2006/customXml" ds:itemID="{56B1BE69-F143-4F56-90FF-4B094F29B72E}"/>
</file>

<file path=docMetadata/LabelInfo.xml><?xml version="1.0" encoding="utf-8"?>
<clbl:labelList xmlns:clbl="http://schemas.microsoft.com/office/2020/mipLabelMetadata">
  <clbl:label id="{0ab0bdf5-00c2-4aa6-932a-42ae8d464587}" enabled="1" method="Standard" siteId="{022f3b02-6070-4e91-a96f-2206ab7ebb08}" removed="0"/>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Question 2</vt:lpstr>
      <vt:lpstr>Question 5</vt:lpstr>
      <vt:lpstr>Question 6</vt:lpstr>
      <vt:lpstr>Question 7</vt:lpstr>
      <vt:lpstr>'Question 6'!_Hlk6488088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Chan</dc:creator>
  <cp:lastModifiedBy>Mark Dulceak</cp:lastModifiedBy>
  <dcterms:created xsi:type="dcterms:W3CDTF">2025-07-19T20:39:48Z</dcterms:created>
  <dcterms:modified xsi:type="dcterms:W3CDTF">2026-01-07T17:21:57Z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2025-07-19T20:40:31Z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833ea6f0-9521-43e3-97c3-f8a6137d1cf9</vt:lpwstr>
  </property>
  <property fmtid="{D5CDD505-2E9C-101B-9397-08002B2CF9AE}" pid="8" name="MSIP_Label_9043f10a-881e-4653-a55e-02ca2cc829dc_ContentBits">
    <vt:lpwstr>0</vt:lpwstr>
  </property>
  <property fmtid="{D5CDD505-2E9C-101B-9397-08002B2CF9AE}" pid="9" name="MSIP_Label_9043f10a-881e-4653-a55e-02ca2cc829dc_Tag">
    <vt:lpwstr>10, 3, 0, 1</vt:lpwstr>
  </property>
  <property fmtid="{D5CDD505-2E9C-101B-9397-08002B2CF9AE}" pid="10" name="MSIP_Label_d347b247-e90e-43a3-9d7b-004f14ae6873_Enabled">
    <vt:lpwstr>true</vt:lpwstr>
  </property>
  <property fmtid="{D5CDD505-2E9C-101B-9397-08002B2CF9AE}" pid="11" name="MSIP_Label_d347b247-e90e-43a3-9d7b-004f14ae6873_SetDate">
    <vt:lpwstr>2025-07-31T18:07:47Z</vt:lpwstr>
  </property>
  <property fmtid="{D5CDD505-2E9C-101B-9397-08002B2CF9AE}" pid="12" name="MSIP_Label_d347b247-e90e-43a3-9d7b-004f14ae6873_Method">
    <vt:lpwstr>Standard</vt:lpwstr>
  </property>
  <property fmtid="{D5CDD505-2E9C-101B-9397-08002B2CF9AE}" pid="13" name="MSIP_Label_d347b247-e90e-43a3-9d7b-004f14ae6873_Name">
    <vt:lpwstr>d347b247-e90e-43a3-9d7b-004f14ae6873</vt:lpwstr>
  </property>
  <property fmtid="{D5CDD505-2E9C-101B-9397-08002B2CF9AE}" pid="14" name="MSIP_Label_d347b247-e90e-43a3-9d7b-004f14ae6873_SiteId">
    <vt:lpwstr>76e3921f-489b-4b7e-9547-9ea297add9b5</vt:lpwstr>
  </property>
  <property fmtid="{D5CDD505-2E9C-101B-9397-08002B2CF9AE}" pid="15" name="MSIP_Label_d347b247-e90e-43a3-9d7b-004f14ae6873_ActionId">
    <vt:lpwstr>475d810f-d589-4c40-94d8-01419d9c5db2</vt:lpwstr>
  </property>
  <property fmtid="{D5CDD505-2E9C-101B-9397-08002B2CF9AE}" pid="16" name="MSIP_Label_d347b247-e90e-43a3-9d7b-004f14ae6873_ContentBits">
    <vt:lpwstr>0</vt:lpwstr>
  </property>
  <property fmtid="{D5CDD505-2E9C-101B-9397-08002B2CF9AE}" pid="17" name="MSIP_Label_d347b247-e90e-43a3-9d7b-004f14ae6873_Tag">
    <vt:lpwstr>10, 3, 0, 1</vt:lpwstr>
  </property>
  <property fmtid="{D5CDD505-2E9C-101B-9397-08002B2CF9AE}" pid="18" name="ContentTypeId">
    <vt:lpwstr>0x010100A13D16CE4023BB4BB4110DFC2802C897</vt:lpwstr>
  </property>
</Properties>
</file>