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ocietyofactuaries-my.sharepoint.com/personal/mdulceak_soa_org/Documents/U_Drive/Solutions/November 2025 Solutions/RET 201/"/>
    </mc:Choice>
  </mc:AlternateContent>
  <xr:revisionPtr revIDLastSave="2" documentId="8_{15490AF4-BC7C-433B-953F-3F2E561705C7}" xr6:coauthVersionLast="47" xr6:coauthVersionMax="47" xr10:uidLastSave="{56A70D4B-E851-49BA-B862-B012A429776E}"/>
  <bookViews>
    <workbookView xWindow="-96" yWindow="0" windowWidth="11712" windowHeight="12336" firstSheet="2" activeTab="2" xr2:uid="{A16B0B8F-7498-44AF-BDF9-9E501E4EBC33}"/>
  </bookViews>
  <sheets>
    <sheet name="Question 1 Model Solution" sheetId="3" r:id="rId1"/>
    <sheet name="Question 5 Model Solution" sheetId="4" r:id="rId2"/>
    <sheet name="Question 7 Model Solution"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5" l="1"/>
  <c r="J18" i="5"/>
  <c r="R21" i="5" s="1"/>
  <c r="S21" i="5" s="1"/>
  <c r="J19" i="5"/>
  <c r="J20" i="5"/>
  <c r="J21" i="5" s="1"/>
  <c r="Q20" i="5"/>
  <c r="G21" i="5"/>
  <c r="H21" i="5"/>
  <c r="I21" i="5"/>
  <c r="O21" i="5"/>
  <c r="O22" i="5" s="1"/>
  <c r="O23" i="5" s="1"/>
  <c r="O24" i="5" s="1"/>
  <c r="O25" i="5" s="1"/>
  <c r="O26" i="5" s="1"/>
  <c r="O27" i="5" s="1"/>
  <c r="O28" i="5" s="1"/>
  <c r="O29" i="5" s="1"/>
  <c r="O30" i="5" s="1"/>
  <c r="O31" i="5" s="1"/>
  <c r="O32" i="5" s="1"/>
  <c r="O33" i="5" s="1"/>
  <c r="O34" i="5" s="1"/>
  <c r="O35" i="5" s="1"/>
  <c r="O36" i="5" s="1"/>
  <c r="O37" i="5" s="1"/>
  <c r="O38" i="5" s="1"/>
  <c r="O39" i="5" s="1"/>
  <c r="O40" i="5" s="1"/>
  <c r="O41" i="5" s="1"/>
  <c r="O42" i="5" s="1"/>
  <c r="O43" i="5" s="1"/>
  <c r="Q21" i="5"/>
  <c r="G22" i="5"/>
  <c r="H22" i="5"/>
  <c r="I22" i="5"/>
  <c r="Q22" i="5"/>
  <c r="G23" i="5"/>
  <c r="Q23" i="5" s="1"/>
  <c r="H23" i="5"/>
  <c r="H24" i="5" s="1"/>
  <c r="H25" i="5" s="1"/>
  <c r="H26" i="5" s="1"/>
  <c r="H27" i="5" s="1"/>
  <c r="H28" i="5" s="1"/>
  <c r="H29" i="5" s="1"/>
  <c r="H30" i="5" s="1"/>
  <c r="H31" i="5" s="1"/>
  <c r="H32" i="5" s="1"/>
  <c r="H33" i="5" s="1"/>
  <c r="H34" i="5" s="1"/>
  <c r="H35" i="5" s="1"/>
  <c r="H36" i="5" s="1"/>
  <c r="H37" i="5" s="1"/>
  <c r="H38" i="5" s="1"/>
  <c r="H39" i="5" s="1"/>
  <c r="H40" i="5" s="1"/>
  <c r="H41" i="5" s="1"/>
  <c r="H42" i="5" s="1"/>
  <c r="H43" i="5" s="1"/>
  <c r="I23" i="5"/>
  <c r="I24" i="5"/>
  <c r="I25" i="5" s="1"/>
  <c r="I26" i="5" s="1"/>
  <c r="I27" i="5" s="1"/>
  <c r="I28" i="5" s="1"/>
  <c r="I29" i="5" s="1"/>
  <c r="I30" i="5" s="1"/>
  <c r="I31" i="5" s="1"/>
  <c r="I32" i="5" s="1"/>
  <c r="I33" i="5" s="1"/>
  <c r="I34" i="5" s="1"/>
  <c r="I35" i="5" s="1"/>
  <c r="I36" i="5" s="1"/>
  <c r="I37" i="5" s="1"/>
  <c r="I38" i="5" s="1"/>
  <c r="M38" i="5"/>
  <c r="M43" i="5"/>
  <c r="I39" i="5" l="1"/>
  <c r="I40" i="5" s="1"/>
  <c r="I41" i="5" s="1"/>
  <c r="I42" i="5" s="1"/>
  <c r="I43" i="5" s="1"/>
  <c r="J22" i="5"/>
  <c r="R22" i="5"/>
  <c r="S22" i="5" s="1"/>
  <c r="R23" i="5"/>
  <c r="S23" i="5" s="1"/>
  <c r="R20" i="5"/>
  <c r="S20" i="5" s="1"/>
  <c r="G24" i="5"/>
  <c r="K17" i="4"/>
  <c r="S17" i="4"/>
  <c r="K18" i="4"/>
  <c r="K19" i="4" s="1"/>
  <c r="K20" i="4" s="1"/>
  <c r="J26" i="4" s="1"/>
  <c r="S18" i="4"/>
  <c r="S20" i="4"/>
  <c r="S22" i="4"/>
  <c r="J23" i="4"/>
  <c r="J24" i="4"/>
  <c r="J25" i="4"/>
  <c r="S26" i="4"/>
  <c r="S28" i="4" s="1"/>
  <c r="R41" i="4" s="1"/>
  <c r="S27" i="4"/>
  <c r="S31" i="4"/>
  <c r="S32" i="4"/>
  <c r="S33" i="4" s="1"/>
  <c r="S34" i="4" s="1"/>
  <c r="R40" i="4" s="1"/>
  <c r="R43" i="4" s="1"/>
  <c r="R37" i="4"/>
  <c r="R38" i="4"/>
  <c r="R39" i="4"/>
  <c r="R47" i="4"/>
  <c r="R57" i="4" s="1"/>
  <c r="R50" i="4"/>
  <c r="R60" i="4" s="1"/>
  <c r="R56" i="4"/>
  <c r="R59" i="4"/>
  <c r="R72" i="4"/>
  <c r="Q24" i="5" l="1"/>
  <c r="G25" i="5"/>
  <c r="J23" i="5"/>
  <c r="R53" i="4"/>
  <c r="R63" i="4" s="1"/>
  <c r="R71" i="4" s="1"/>
  <c r="R74" i="4" s="1"/>
  <c r="J29" i="4"/>
  <c r="L17" i="3"/>
  <c r="L18" i="3"/>
  <c r="L19" i="3"/>
  <c r="L20" i="3"/>
  <c r="L21" i="3"/>
  <c r="L16" i="3"/>
  <c r="K17" i="3"/>
  <c r="K18" i="3"/>
  <c r="K19" i="3"/>
  <c r="K20" i="3"/>
  <c r="K21" i="3"/>
  <c r="K16" i="3"/>
  <c r="J17" i="3"/>
  <c r="J18" i="3"/>
  <c r="J19" i="3"/>
  <c r="J20" i="3"/>
  <c r="J21" i="3"/>
  <c r="J16" i="3"/>
  <c r="H17" i="3"/>
  <c r="I17" i="3" s="1"/>
  <c r="H18" i="3"/>
  <c r="I18" i="3" s="1"/>
  <c r="H19" i="3"/>
  <c r="I19" i="3" s="1"/>
  <c r="H20" i="3"/>
  <c r="I20" i="3" s="1"/>
  <c r="H21" i="3"/>
  <c r="I21" i="3" s="1"/>
  <c r="H16" i="3"/>
  <c r="I16" i="3" s="1"/>
  <c r="J24" i="5" l="1"/>
  <c r="R24" i="5"/>
  <c r="S24" i="5" s="1"/>
  <c r="G26" i="5"/>
  <c r="Q25" i="5"/>
  <c r="L22" i="3"/>
  <c r="K22" i="3"/>
  <c r="J22" i="3"/>
  <c r="H22" i="3"/>
  <c r="I22" i="3"/>
  <c r="G27" i="5" l="1"/>
  <c r="Q26" i="5"/>
  <c r="J25" i="5"/>
  <c r="R25" i="5"/>
  <c r="S25" i="5" s="1"/>
  <c r="K31" i="3"/>
  <c r="K33" i="3" s="1"/>
  <c r="K45" i="3"/>
  <c r="K36" i="3"/>
  <c r="K46" i="3"/>
  <c r="K47" i="3" s="1"/>
  <c r="K48" i="3" s="1"/>
  <c r="J26" i="5" l="1"/>
  <c r="R26" i="5"/>
  <c r="S26" i="5" s="1"/>
  <c r="Q27" i="5"/>
  <c r="G28" i="5"/>
  <c r="Q28" i="5" l="1"/>
  <c r="G29" i="5"/>
  <c r="J27" i="5"/>
  <c r="R27" i="5"/>
  <c r="S27" i="5" s="1"/>
  <c r="J28" i="5" l="1"/>
  <c r="R28" i="5"/>
  <c r="S28" i="5" s="1"/>
  <c r="Q29" i="5"/>
  <c r="G30" i="5"/>
  <c r="Q30" i="5" l="1"/>
  <c r="G31" i="5"/>
  <c r="J29" i="5"/>
  <c r="R29" i="5"/>
  <c r="S29" i="5" s="1"/>
  <c r="J30" i="5" l="1"/>
  <c r="R30" i="5"/>
  <c r="S30" i="5" s="1"/>
  <c r="Q31" i="5"/>
  <c r="G32" i="5"/>
  <c r="G33" i="5" l="1"/>
  <c r="Q32" i="5"/>
  <c r="J31" i="5"/>
  <c r="R31" i="5"/>
  <c r="S31" i="5" s="1"/>
  <c r="J32" i="5" l="1"/>
  <c r="R32" i="5"/>
  <c r="S32" i="5" s="1"/>
  <c r="G34" i="5"/>
  <c r="Q33" i="5"/>
  <c r="Q34" i="5" l="1"/>
  <c r="G35" i="5"/>
  <c r="J33" i="5"/>
  <c r="R33" i="5"/>
  <c r="S33" i="5" s="1"/>
  <c r="J34" i="5" l="1"/>
  <c r="R34" i="5"/>
  <c r="S34" i="5" s="1"/>
  <c r="Q35" i="5"/>
  <c r="G36" i="5"/>
  <c r="Q36" i="5" l="1"/>
  <c r="G37" i="5"/>
  <c r="J35" i="5"/>
  <c r="R35" i="5"/>
  <c r="S35" i="5" s="1"/>
  <c r="J36" i="5" l="1"/>
  <c r="R36" i="5"/>
  <c r="S36" i="5" s="1"/>
  <c r="Q37" i="5"/>
  <c r="G38" i="5"/>
  <c r="Q38" i="5" l="1"/>
  <c r="G39" i="5"/>
  <c r="J37" i="5"/>
  <c r="R37" i="5"/>
  <c r="S37" i="5" s="1"/>
  <c r="J38" i="5" l="1"/>
  <c r="R38" i="5"/>
  <c r="S38" i="5" s="1"/>
  <c r="Y14" i="5"/>
  <c r="R39" i="5"/>
  <c r="S39" i="5" s="1"/>
  <c r="G40" i="5"/>
  <c r="Q39" i="5"/>
  <c r="Q40" i="5" l="1"/>
  <c r="G41" i="5"/>
  <c r="J39" i="5"/>
  <c r="J40" i="5" l="1"/>
  <c r="R40" i="5"/>
  <c r="S40" i="5" s="1"/>
  <c r="R41" i="5"/>
  <c r="S41" i="5" s="1"/>
  <c r="G42" i="5"/>
  <c r="Q41" i="5"/>
  <c r="Q42" i="5" l="1"/>
  <c r="G43" i="5"/>
  <c r="J41" i="5"/>
  <c r="J42" i="5" l="1"/>
  <c r="R43" i="5" s="1"/>
  <c r="S43" i="5" s="1"/>
  <c r="R42" i="5"/>
  <c r="S42" i="5" s="1"/>
  <c r="N23" i="5"/>
  <c r="P23" i="5" s="1"/>
  <c r="N22" i="5"/>
  <c r="P22" i="5" s="1"/>
  <c r="N29" i="5"/>
  <c r="P29" i="5" s="1"/>
  <c r="N35" i="5"/>
  <c r="P35" i="5" s="1"/>
  <c r="N42" i="5"/>
  <c r="P42" i="5" s="1"/>
  <c r="U42" i="5" s="1"/>
  <c r="N27" i="5"/>
  <c r="P27" i="5" s="1"/>
  <c r="N34" i="5"/>
  <c r="P34" i="5" s="1"/>
  <c r="Q43" i="5"/>
  <c r="N39" i="5"/>
  <c r="P39" i="5" s="1"/>
  <c r="N36" i="5"/>
  <c r="P36" i="5" s="1"/>
  <c r="N43" i="5"/>
  <c r="P43" i="5" s="1"/>
  <c r="U43" i="5" s="1"/>
  <c r="N20" i="5"/>
  <c r="P20" i="5" s="1"/>
  <c r="N41" i="5"/>
  <c r="P41" i="5" s="1"/>
  <c r="N26" i="5"/>
  <c r="P26" i="5" s="1"/>
  <c r="N33" i="5"/>
  <c r="P33" i="5" s="1"/>
  <c r="N25" i="5"/>
  <c r="P25" i="5" s="1"/>
  <c r="N28" i="5"/>
  <c r="P28" i="5" s="1"/>
  <c r="N40" i="5"/>
  <c r="P40" i="5" s="1"/>
  <c r="N32" i="5"/>
  <c r="P32" i="5" s="1"/>
  <c r="N24" i="5"/>
  <c r="P24" i="5" s="1"/>
  <c r="N31" i="5"/>
  <c r="P31" i="5" s="1"/>
  <c r="N38" i="5"/>
  <c r="P38" i="5" s="1"/>
  <c r="N30" i="5"/>
  <c r="P30" i="5" s="1"/>
  <c r="N37" i="5"/>
  <c r="P37" i="5" s="1"/>
  <c r="N21" i="5"/>
  <c r="P21" i="5" s="1"/>
  <c r="U24" i="5" l="1"/>
  <c r="T24" i="5"/>
  <c r="U20" i="5"/>
  <c r="T20" i="5"/>
  <c r="U36" i="5"/>
  <c r="T36" i="5"/>
  <c r="Y15" i="5"/>
  <c r="Y16" i="5" s="1"/>
  <c r="U38" i="5"/>
  <c r="T38" i="5"/>
  <c r="U31" i="5"/>
  <c r="T31" i="5"/>
  <c r="U27" i="5"/>
  <c r="T27" i="5"/>
  <c r="U40" i="5"/>
  <c r="T40" i="5"/>
  <c r="U29" i="5"/>
  <c r="T29" i="5"/>
  <c r="U23" i="5"/>
  <c r="T23" i="5"/>
  <c r="U30" i="5"/>
  <c r="T30" i="5"/>
  <c r="U34" i="5"/>
  <c r="T34" i="5"/>
  <c r="U32" i="5"/>
  <c r="T32" i="5"/>
  <c r="U35" i="5"/>
  <c r="T35" i="5"/>
  <c r="T22" i="5"/>
  <c r="U22" i="5"/>
  <c r="T42" i="5"/>
  <c r="T21" i="5"/>
  <c r="U21" i="5"/>
  <c r="U37" i="5"/>
  <c r="T37" i="5"/>
  <c r="U39" i="5"/>
  <c r="T39" i="5"/>
  <c r="U28" i="5"/>
  <c r="T28" i="5"/>
  <c r="U25" i="5"/>
  <c r="T25" i="5"/>
  <c r="U33" i="5"/>
  <c r="T33" i="5"/>
  <c r="U26" i="5"/>
  <c r="T26" i="5"/>
  <c r="U41" i="5"/>
  <c r="T41" i="5"/>
  <c r="T43" i="5"/>
  <c r="J46" i="5" l="1"/>
  <c r="J45" i="5"/>
</calcChain>
</file>

<file path=xl/sharedStrings.xml><?xml version="1.0" encoding="utf-8"?>
<sst xmlns="http://schemas.openxmlformats.org/spreadsheetml/2006/main" count="270" uniqueCount="192">
  <si>
    <t>Excerpt from question:</t>
  </si>
  <si>
    <t>(a)</t>
  </si>
  <si>
    <t>Show all work.</t>
  </si>
  <si>
    <t>Part (b)</t>
  </si>
  <si>
    <t>Part (a)</t>
  </si>
  <si>
    <t>Exam RET 201: November 2025</t>
  </si>
  <si>
    <t>Question 1</t>
  </si>
  <si>
    <t>Year</t>
  </si>
  <si>
    <t>Spot Rate</t>
  </si>
  <si>
    <t>Projected Cash Flow</t>
  </si>
  <si>
    <t>The effective rate of interest given the above spot rates and cash flows is 5.25%.</t>
  </si>
  <si>
    <t>Calculate the estimated liability at an interest rate of 5.75% using the following methods:</t>
  </si>
  <si>
    <t>(i)      Modified Duration</t>
  </si>
  <si>
    <t>(ii)     Effective Duration</t>
  </si>
  <si>
    <t>Describe the importance of convexity when estimating the liability.</t>
  </si>
  <si>
    <t>(i)       Modified Duration</t>
  </si>
  <si>
    <t>(ii)      Effective Duration</t>
  </si>
  <si>
    <t>Justify your response. No calculations required.</t>
  </si>
  <si>
    <r>
      <t>PV(CF</t>
    </r>
    <r>
      <rPr>
        <i/>
        <vertAlign val="subscript"/>
        <sz val="12"/>
        <color theme="1"/>
        <rFont val="Times New Roman"/>
        <family val="1"/>
      </rPr>
      <t>t</t>
    </r>
    <r>
      <rPr>
        <i/>
        <sz val="12"/>
        <color theme="1"/>
        <rFont val="Times New Roman"/>
        <family val="1"/>
      </rPr>
      <t>)</t>
    </r>
  </si>
  <si>
    <r>
      <t>t x PV(CF</t>
    </r>
    <r>
      <rPr>
        <vertAlign val="subscript"/>
        <sz val="12"/>
        <color theme="1"/>
        <rFont val="Times New Roman"/>
        <family val="1"/>
      </rPr>
      <t>t</t>
    </r>
    <r>
      <rPr>
        <sz val="12"/>
        <color theme="1"/>
        <rFont val="Times New Roman"/>
        <family val="1"/>
      </rPr>
      <t>)</t>
    </r>
  </si>
  <si>
    <t>PV of cash flows calculated at effective rate of 5.25%</t>
  </si>
  <si>
    <r>
      <t>PV</t>
    </r>
    <r>
      <rPr>
        <vertAlign val="superscript"/>
        <sz val="12"/>
        <color theme="1"/>
        <rFont val="Times New Roman"/>
        <family val="1"/>
      </rPr>
      <t>+0.50%</t>
    </r>
  </si>
  <si>
    <r>
      <t>PV</t>
    </r>
    <r>
      <rPr>
        <vertAlign val="superscript"/>
        <sz val="12"/>
        <color theme="1"/>
        <rFont val="Times New Roman"/>
        <family val="1"/>
      </rPr>
      <t>-0.50%</t>
    </r>
  </si>
  <si>
    <t>Macaulay Duration Formula</t>
  </si>
  <si>
    <t>Macaulay Duration Result</t>
  </si>
  <si>
    <t>Modified Duration =</t>
  </si>
  <si>
    <t xml:space="preserve">Benefit Liability using Modified Duration Estimate </t>
  </si>
  <si>
    <t>Modified Duration:</t>
  </si>
  <si>
    <t>Effective Duration Formula</t>
  </si>
  <si>
    <t>Numerator</t>
  </si>
  <si>
    <t>Denominator</t>
  </si>
  <si>
    <t>Effective Duration Result</t>
  </si>
  <si>
    <t xml:space="preserve">Benefit Liability using Effective Duration Estimate </t>
  </si>
  <si>
    <t>Effective Duration:</t>
  </si>
  <si>
    <t>(b)</t>
  </si>
  <si>
    <t>Duration estimates become less accurate with larger yield changes and convexity adds a second-order term to the estimate, capturing the curvature of the price-yield relationship.</t>
  </si>
  <si>
    <t xml:space="preserve">Interest rate decreases generally cause greater changes in liabilities than increases and duration with a convexity adjustment can be used to provide a better estimate of the change in liability when there is significant volatility. </t>
  </si>
  <si>
    <t>(2 points) Calculate the estimated liability at an interest rate of 5.75% using the following methods:</t>
  </si>
  <si>
    <t xml:space="preserve">(1 point) Describe the importance of convexity when estimating the liability.  </t>
  </si>
  <si>
    <t>(3 points) You are provided with the following information for a defined benefit pension plan:</t>
  </si>
  <si>
    <t>Retirement Plan Valuation</t>
  </si>
  <si>
    <t>AOCI at December 31, 2025 (Gains)/Losses</t>
  </si>
  <si>
    <t>Unrecognized Prior Service (Cost)</t>
  </si>
  <si>
    <t>Unrecognized (Gains)/Losses</t>
  </si>
  <si>
    <t>Simple interest</t>
  </si>
  <si>
    <t>AOCI at December 31, 2025</t>
  </si>
  <si>
    <t>Unrecognized PSC @ 12/31/2025</t>
  </si>
  <si>
    <t>Amortization of Prior Service Cost</t>
  </si>
  <si>
    <t>Unrecognized PSC @ 1/1/2025</t>
  </si>
  <si>
    <t>Change in Unrecognized Prior Service Cost</t>
  </si>
  <si>
    <t>Unrecog (G)/L Remeasurement =</t>
  </si>
  <si>
    <t>Unrecog (G)/L Remeasurement = Unrecog (G)/L Rollforward + PBO (G)/L + Asset (G)/L</t>
  </si>
  <si>
    <t>No calculations required.</t>
  </si>
  <si>
    <t>FVA (G)/L = FVA Rollforward - FVA Actual</t>
  </si>
  <si>
    <t>FVA at December 31, 2025</t>
  </si>
  <si>
    <t>International Accounting Standard IAS 19, Rev. 2011.</t>
  </si>
  <si>
    <t>Describe how the treatment of the plan amendment would be different under</t>
  </si>
  <si>
    <t>PBO (G)/L = PBO Actual - PBO Rollforward</t>
  </si>
  <si>
    <t>Part (c)</t>
  </si>
  <si>
    <t>PBO at December 31, 2025</t>
  </si>
  <si>
    <t>Remeasurement at December 31, 2025</t>
  </si>
  <si>
    <t>Unrecog (G)/L Rollforward =</t>
  </si>
  <si>
    <t>(ii)      Accumulated Other Comprehensive Income at December 31, 2025</t>
  </si>
  <si>
    <t>Unrecog (G)/L Rollforward = Unrecog (G)/L @1/1/2025 - Amort(G)/L</t>
  </si>
  <si>
    <t>(i)       Revised 2025 Net Periodic Pension Cost</t>
  </si>
  <si>
    <t>FVA Rollforward =</t>
  </si>
  <si>
    <t>FVA Rollforward = FVA @1/1/2025 + EROA + ActualContributions - ActualBPs</t>
  </si>
  <si>
    <t>Calculate the following under ASC 715:</t>
  </si>
  <si>
    <t>PBO Rollforward =</t>
  </si>
  <si>
    <t>`</t>
  </si>
  <si>
    <t>PBO Rollforward = PBO @1/1/2025 + SC + IC - ActualBPs</t>
  </si>
  <si>
    <t>for fiscal year 2025.</t>
  </si>
  <si>
    <t>Rollforward to December 31, 2025</t>
  </si>
  <si>
    <t xml:space="preserve">Assume there are no changes to the expected contributions or expected benefit payments </t>
  </si>
  <si>
    <t>2025 Net Periodic Pension Cost</t>
  </si>
  <si>
    <t>Average Future Working Lifetime</t>
  </si>
  <si>
    <t>2025 Actual Contributions</t>
  </si>
  <si>
    <t>2025 Actual Benefit Payments</t>
  </si>
  <si>
    <t>Amortization of (Gains)/Losses</t>
  </si>
  <si>
    <t>Discount Rate</t>
  </si>
  <si>
    <t xml:space="preserve">Expected Return on Assets </t>
  </si>
  <si>
    <t>Fair value of assets</t>
  </si>
  <si>
    <t>Interest Cost</t>
  </si>
  <si>
    <t>Inactive</t>
  </si>
  <si>
    <t>Service Cost</t>
  </si>
  <si>
    <t>Active</t>
  </si>
  <si>
    <t>2025 Net Periodic Pension Cost under ASC 715 after plan amendment</t>
  </si>
  <si>
    <t>Projected Benefit Obligation:</t>
  </si>
  <si>
    <t>Amortization amount</t>
  </si>
  <si>
    <t>You are provided the following additional information as of December 31, 2025:</t>
  </si>
  <si>
    <t>Amount outside corridor</t>
  </si>
  <si>
    <t>10% corridor</t>
  </si>
  <si>
    <t>members and all years of credited service.</t>
  </si>
  <si>
    <t>Unrecognized (Gains)/Losses @1/1/2025</t>
  </si>
  <si>
    <t>the flat dollar benefit amount from $50 to $55 per month per year of credited service for all active</t>
  </si>
  <si>
    <t>Amortization of Unrecognized (Gains)/Losses</t>
  </si>
  <si>
    <t>On January 1, 2025, Company XYZ amended the plan, effective immediately, to increase</t>
  </si>
  <si>
    <t>Increase in liabilities due to plan amendment at the remeasurement date</t>
  </si>
  <si>
    <t>Calculate the 2025 Net Periodic Cost under ASC 715.</t>
  </si>
  <si>
    <t>Use of straight line amortization to assign costs over average remaining service period</t>
  </si>
  <si>
    <t xml:space="preserve">Increase in liabilities due to plan amendment </t>
  </si>
  <si>
    <t>2025 Net Periodic Pension Cost under ASC 715</t>
  </si>
  <si>
    <t>Amortization method</t>
  </si>
  <si>
    <t>Unrecognized Prior Service Cost</t>
  </si>
  <si>
    <t>2025 Expected Contributions</t>
  </si>
  <si>
    <t>2025 Expected Benefit Payments</t>
  </si>
  <si>
    <t>Expected Return on Assets</t>
  </si>
  <si>
    <t>This is different from US GAAP, under which prior service cost is recognized in OCI at the date the plan amendment is adopted and then amortized into income.</t>
  </si>
  <si>
    <t>Projected Benefit Obligation and Service Cost after amendment:</t>
  </si>
  <si>
    <t>Under IAS 19, the past service cost is recognized immediately in the profit or loss when the plan is amended and is not allowed to be spread over any future service period.</t>
  </si>
  <si>
    <t>2025 Net Periodic Pension Cost under ASC 715 before plan amendment</t>
  </si>
  <si>
    <t>Model Solution Assumes Simple Interest</t>
  </si>
  <si>
    <t>You are provided the following information as of January 1, 2025:</t>
  </si>
  <si>
    <t>U.S. Accounting Standard ASC (ASC 715).</t>
  </si>
  <si>
    <r>
      <rPr>
        <i/>
        <sz val="12"/>
        <color theme="1"/>
        <rFont val="Times New Roman"/>
        <family val="1"/>
      </rPr>
      <t>(1 point)</t>
    </r>
    <r>
      <rPr>
        <sz val="12"/>
        <color theme="1"/>
        <rFont val="Times New Roman"/>
        <family val="1"/>
      </rPr>
      <t xml:space="preserve"> Describe how the treatment of the plan amendment would be different under</t>
    </r>
  </si>
  <si>
    <t>(c)</t>
  </si>
  <si>
    <r>
      <rPr>
        <i/>
        <sz val="12"/>
        <color theme="1"/>
        <rFont val="Times New Roman"/>
        <family val="1"/>
      </rPr>
      <t>(5 points)</t>
    </r>
    <r>
      <rPr>
        <sz val="12"/>
        <color theme="1"/>
        <rFont val="Times New Roman"/>
        <family val="1"/>
      </rPr>
      <t xml:space="preserve"> Calculate the following under ASC 715:</t>
    </r>
  </si>
  <si>
    <r>
      <rPr>
        <i/>
        <sz val="12"/>
        <color theme="1"/>
        <rFont val="Times New Roman"/>
        <family val="1"/>
      </rPr>
      <t>(2 points)</t>
    </r>
    <r>
      <rPr>
        <sz val="12"/>
        <color theme="1"/>
        <rFont val="Times New Roman"/>
        <family val="1"/>
      </rPr>
      <t xml:space="preserve"> Calculate the 2025 Net Periodic Pension Cost under ASC 715.</t>
    </r>
  </si>
  <si>
    <t xml:space="preserve">Company XYZ sponsors a defined benefit pension plan and reports under </t>
  </si>
  <si>
    <t xml:space="preserve">Provide answer here for part (c).  </t>
  </si>
  <si>
    <t>Provide answer here for part (b).  Show and label all work.</t>
  </si>
  <si>
    <t>Provide answer here for part (a).  Show and label all work.</t>
  </si>
  <si>
    <t>Question 5</t>
  </si>
  <si>
    <t xml:space="preserve">Show all work. </t>
  </si>
  <si>
    <r>
      <t>(b)</t>
    </r>
    <r>
      <rPr>
        <sz val="7"/>
        <color theme="1"/>
        <rFont val="Times New Roman"/>
        <family val="1"/>
      </rPr>
      <t xml:space="preserve">  </t>
    </r>
    <r>
      <rPr>
        <sz val="12"/>
        <color theme="1"/>
        <rFont val="Times New Roman"/>
        <family val="1"/>
      </rPr>
      <t xml:space="preserve">Calculate the pension payable from the DB Plan assuming the member retires at age 60.  </t>
    </r>
  </si>
  <si>
    <t>&lt;- accrued benefit at 2025/1/1 payable at 65 using projected salary to 65, discounted for withdrawal and interest</t>
  </si>
  <si>
    <t>ii) Projected unit credit</t>
  </si>
  <si>
    <t>&lt;- accrued benefit at 2025/1/1 payable at 65, discounted for withdrawal and interest</t>
  </si>
  <si>
    <t>i) Unit credit</t>
  </si>
  <si>
    <r>
      <t>(ii)</t>
    </r>
    <r>
      <rPr>
        <sz val="7"/>
        <color theme="1"/>
        <rFont val="Times New Roman"/>
        <family val="1"/>
      </rPr>
      <t xml:space="preserve">    </t>
    </r>
    <r>
      <rPr>
        <sz val="12"/>
        <color theme="1"/>
        <rFont val="Times New Roman"/>
        <family val="1"/>
      </rPr>
      <t>Projected Unit Credit</t>
    </r>
  </si>
  <si>
    <r>
      <t>(i)</t>
    </r>
    <r>
      <rPr>
        <sz val="7"/>
        <color theme="1"/>
        <rFont val="Times New Roman"/>
        <family val="1"/>
      </rPr>
      <t xml:space="preserve">      </t>
    </r>
    <r>
      <rPr>
        <sz val="12"/>
        <color theme="1"/>
        <rFont val="Times New Roman"/>
        <family val="1"/>
      </rPr>
      <t>Unit Credit</t>
    </r>
  </si>
  <si>
    <r>
      <t xml:space="preserve">(a) </t>
    </r>
    <r>
      <rPr>
        <sz val="7"/>
        <color theme="1"/>
        <rFont val="Times New Roman"/>
        <family val="1"/>
      </rPr>
      <t xml:space="preserve"> </t>
    </r>
    <r>
      <rPr>
        <sz val="12"/>
        <color theme="1"/>
        <rFont val="Times New Roman"/>
        <family val="1"/>
      </rPr>
      <t xml:space="preserve">Calculate the DB Plan liability as of January 1, 2025 using the following cost methods:  </t>
    </r>
  </si>
  <si>
    <t>2022 Earnings</t>
  </si>
  <si>
    <t>2023 Earnings</t>
  </si>
  <si>
    <t>2024 Earnings</t>
  </si>
  <si>
    <t>2025 Projected Salary</t>
  </si>
  <si>
    <t>3 years</t>
  </si>
  <si>
    <t>Credited Service</t>
  </si>
  <si>
    <t>Age</t>
  </si>
  <si>
    <t>Information as of January 1, 2025 for the sole participant in the DB Plan:</t>
  </si>
  <si>
    <t>Annuity Due at age 60</t>
  </si>
  <si>
    <t>Annuity Due at age 65</t>
  </si>
  <si>
    <t>10% each year prior to age 50, and 5% each year from ages 50 to 54</t>
  </si>
  <si>
    <t>Termination Rates</t>
  </si>
  <si>
    <t>100% at age 65</t>
  </si>
  <si>
    <t>Retirement Rate</t>
  </si>
  <si>
    <t>Beginning of year</t>
  </si>
  <si>
    <t>Decrement Timing</t>
  </si>
  <si>
    <t>3.25% per year</t>
  </si>
  <si>
    <t>Salary Increase Rate</t>
  </si>
  <si>
    <t>5.75% per year</t>
  </si>
  <si>
    <t>You are provided the following information regarding the actuarial assumption basis:</t>
  </si>
  <si>
    <t>No lump sum on termination or retirement</t>
  </si>
  <si>
    <t>Portability</t>
  </si>
  <si>
    <t>Actuarial equivalence</t>
  </si>
  <si>
    <t>Early Retirement Reduction</t>
  </si>
  <si>
    <t>Reduced accrued benefit at 60</t>
  </si>
  <si>
    <t>AL TUC</t>
  </si>
  <si>
    <t>AL PUC</t>
  </si>
  <si>
    <t>Accrued benefit</t>
  </si>
  <si>
    <t>FAE3</t>
  </si>
  <si>
    <t>Vt</t>
  </si>
  <si>
    <t>Def65 factor</t>
  </si>
  <si>
    <t>tPx</t>
  </si>
  <si>
    <t>Discount from 65</t>
  </si>
  <si>
    <t>Annuity Factor</t>
  </si>
  <si>
    <t>Withdrawal</t>
  </si>
  <si>
    <t>Retirement</t>
  </si>
  <si>
    <t>Salary</t>
  </si>
  <si>
    <t>Service (BoY)</t>
  </si>
  <si>
    <t>Age (BoY)</t>
  </si>
  <si>
    <t>Life only</t>
  </si>
  <si>
    <t>Normal Form</t>
  </si>
  <si>
    <t>Actuarial reduction factor</t>
  </si>
  <si>
    <t>Survivor %</t>
  </si>
  <si>
    <t>Probability</t>
  </si>
  <si>
    <t>President</t>
  </si>
  <si>
    <t>1.8% of 3-year final average earnings multiplied by years of credited service</t>
  </si>
  <si>
    <t>Normal Retirement Benefit</t>
  </si>
  <si>
    <t>Unreduced accrued benefit at 60</t>
  </si>
  <si>
    <t>Early Retirement Age</t>
  </si>
  <si>
    <t>Normal Retirement Age</t>
  </si>
  <si>
    <t>Immediate</t>
  </si>
  <si>
    <t>Vesting</t>
  </si>
  <si>
    <t>Eligibility</t>
  </si>
  <si>
    <t>(ii)      Projected Unit Credit</t>
  </si>
  <si>
    <t>(i)       Unit Credit</t>
  </si>
  <si>
    <t xml:space="preserve">the following provisions:  </t>
  </si>
  <si>
    <t xml:space="preserve">(5 points) Company ABC sponsors a non-contributory defined benefit pension plan (DB Plan) with </t>
  </si>
  <si>
    <t>(1 point) Calculate the pension payable from the DB Plan assuming the member retires at age 60.</t>
  </si>
  <si>
    <t>(4 points) Calculate the DB Plan liabilty as of January 1, 2025 using the following cost methods:</t>
  </si>
  <si>
    <t>Question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</si>
</sst>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 #,##0.0_);_(* \(#,##0.0\);_(* &quot;-&quot;??_);_(@_)"/>
    <numFmt numFmtId="168" formatCode="0.000"/>
    <numFmt numFmtId="169" formatCode="_-&quot;$&quot;* #,##0.00_-;\-&quot;$&quot;* #,##0.00_-;_-&quot;$&quot;* &quot;-&quot;??_-;_-@_-"/>
    <numFmt numFmtId="170" formatCode="_-&quot;$&quot;* #,##0_-;\-&quot;$&quot;* #,##0_-;_-&quot;$&quot;* &quot;-&quot;??_-;_-@_-"/>
    <numFmt numFmtId="171" formatCode="&quot;$&quot;#,##0;[Red]\-&quot;$&quot;#,##0"/>
  </numFmts>
  <fonts count="28" x14ac:knownFonts="1">
    <font>
      <sz val="11"/>
      <color theme="1"/>
      <name val="Calibri"/>
      <family val="2"/>
      <scheme val="minor"/>
    </font>
    <font>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b/>
      <i/>
      <sz val="12"/>
      <color theme="1"/>
      <name val="Times New Roman"/>
      <family val="1"/>
    </font>
    <font>
      <sz val="12"/>
      <color rgb="FF000000"/>
      <name val="Times New Roman"/>
      <family val="1"/>
    </font>
    <font>
      <sz val="12"/>
      <name val="Times New Roman"/>
      <family val="1"/>
    </font>
    <font>
      <i/>
      <vertAlign val="subscript"/>
      <sz val="12"/>
      <color theme="1"/>
      <name val="Times New Roman"/>
      <family val="1"/>
    </font>
    <font>
      <vertAlign val="subscript"/>
      <sz val="12"/>
      <color theme="1"/>
      <name val="Times New Roman"/>
      <family val="1"/>
    </font>
    <font>
      <vertAlign val="superscript"/>
      <sz val="12"/>
      <color theme="1"/>
      <name val="Times New Roman"/>
      <family val="1"/>
    </font>
    <font>
      <sz val="12"/>
      <color theme="1"/>
      <name val="Calibri"/>
      <family val="2"/>
      <scheme val="minor"/>
    </font>
    <font>
      <i/>
      <sz val="12"/>
      <color theme="1"/>
      <name val="Calibri"/>
      <family val="2"/>
      <scheme val="minor"/>
    </font>
    <font>
      <sz val="12"/>
      <name val="Calibri"/>
      <family val="2"/>
      <scheme val="minor"/>
    </font>
    <font>
      <b/>
      <sz val="12"/>
      <name val="Times New Roman"/>
      <family val="1"/>
    </font>
    <font>
      <b/>
      <sz val="12"/>
      <color rgb="FFFF0000"/>
      <name val="Calibri"/>
      <family val="2"/>
      <scheme val="minor"/>
    </font>
    <font>
      <sz val="11"/>
      <color rgb="FF006100"/>
      <name val="Calibri"/>
      <family val="2"/>
      <scheme val="minor"/>
    </font>
    <font>
      <b/>
      <sz val="11"/>
      <color theme="1"/>
      <name val="Calibri"/>
      <family val="2"/>
      <scheme val="minor"/>
    </font>
    <font>
      <b/>
      <sz val="12"/>
      <color rgb="FFFF0000"/>
      <name val="Times New Roman"/>
      <family val="1"/>
    </font>
    <font>
      <b/>
      <i/>
      <sz val="12"/>
      <color rgb="FFFF0000"/>
      <name val="Times New Roman"/>
      <family val="1"/>
    </font>
    <font>
      <sz val="8"/>
      <color theme="1"/>
      <name val="Times New Roman"/>
      <family val="1"/>
    </font>
    <font>
      <b/>
      <i/>
      <u/>
      <sz val="12"/>
      <name val="Times New Roman"/>
      <family val="1"/>
    </font>
    <font>
      <sz val="7"/>
      <color theme="1"/>
      <name val="Times New Roman"/>
      <family val="1"/>
    </font>
    <font>
      <i/>
      <sz val="11"/>
      <color theme="1"/>
      <name val="Calibri"/>
      <family val="2"/>
      <scheme val="minor"/>
    </font>
    <font>
      <i/>
      <sz val="11"/>
      <name val="Times New Roman"/>
      <family val="1"/>
    </font>
    <font>
      <b/>
      <sz val="11"/>
      <color rgb="FF006100"/>
      <name val="Calibri"/>
      <family val="2"/>
      <scheme val="minor"/>
    </font>
    <font>
      <sz val="11"/>
      <name val="Times New Roman"/>
      <family val="1"/>
    </font>
    <font>
      <u/>
      <sz val="11"/>
      <name val="Times New Roman"/>
      <family val="1"/>
    </font>
  </fonts>
  <fills count="12">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F2F2F2"/>
        <bgColor rgb="FF000000"/>
      </patternFill>
    </fill>
    <fill>
      <patternFill patternType="solid">
        <fgColor rgb="FFC6EFCE"/>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4.9989318521683403E-2"/>
        <bgColor rgb="FF000000"/>
      </patternFill>
    </fill>
    <fill>
      <patternFill patternType="solid">
        <fgColor theme="1"/>
        <bgColor indexed="64"/>
      </patternFill>
    </fill>
    <fill>
      <patternFill patternType="solid">
        <fgColor rgb="FFFFFF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0" fontId="16" fillId="5" borderId="0" applyNumberFormat="0" applyBorder="0" applyAlignment="0" applyProtection="0"/>
    <xf numFmtId="0" fontId="1" fillId="6" borderId="0" applyNumberFormat="0" applyBorder="0" applyAlignment="0" applyProtection="0"/>
    <xf numFmtId="169" fontId="1" fillId="0" borderId="0" applyFont="0" applyFill="0" applyBorder="0" applyAlignment="0" applyProtection="0"/>
  </cellStyleXfs>
  <cellXfs count="118">
    <xf numFmtId="0" fontId="0" fillId="0" borderId="0" xfId="0"/>
    <xf numFmtId="0" fontId="2" fillId="0" borderId="0" xfId="0" applyFont="1"/>
    <xf numFmtId="0" fontId="2" fillId="0" borderId="0" xfId="0" applyFont="1" applyProtection="1">
      <protection locked="0"/>
    </xf>
    <xf numFmtId="0" fontId="7" fillId="0" borderId="0" xfId="0" applyFont="1" applyProtection="1">
      <protection locked="0"/>
    </xf>
    <xf numFmtId="0" fontId="7" fillId="0" borderId="0" xfId="0" applyFont="1"/>
    <xf numFmtId="0" fontId="3" fillId="2" borderId="0" xfId="0" applyFont="1" applyFill="1"/>
    <xf numFmtId="0" fontId="2" fillId="2" borderId="0" xfId="0" applyFont="1" applyFill="1"/>
    <xf numFmtId="0" fontId="2" fillId="2" borderId="0" xfId="0" applyFont="1" applyFill="1" applyAlignment="1">
      <alignment horizontal="right"/>
    </xf>
    <xf numFmtId="0" fontId="2" fillId="3" borderId="0" xfId="0" applyFont="1" applyFill="1"/>
    <xf numFmtId="0" fontId="5" fillId="2" borderId="0" xfId="0" applyFont="1" applyFill="1"/>
    <xf numFmtId="6" fontId="3" fillId="2" borderId="1" xfId="0" applyNumberFormat="1" applyFont="1" applyFill="1" applyBorder="1" applyAlignment="1">
      <alignment horizontal="right"/>
    </xf>
    <xf numFmtId="165" fontId="6" fillId="4" borderId="0" xfId="1" applyNumberFormat="1" applyFont="1" applyFill="1" applyBorder="1" applyAlignment="1" applyProtection="1">
      <alignment horizontal="right"/>
    </xf>
    <xf numFmtId="0" fontId="3" fillId="2" borderId="0" xfId="1" applyNumberFormat="1" applyFont="1" applyFill="1" applyBorder="1" applyAlignment="1" applyProtection="1">
      <alignment horizontal="right"/>
    </xf>
    <xf numFmtId="0" fontId="4" fillId="2" borderId="0" xfId="0" applyFont="1" applyFill="1"/>
    <xf numFmtId="9" fontId="2" fillId="2" borderId="0" xfId="0" applyNumberFormat="1" applyFont="1" applyFill="1" applyAlignment="1">
      <alignment horizontal="right"/>
    </xf>
    <xf numFmtId="0" fontId="3" fillId="2" borderId="1" xfId="0" applyFont="1" applyFill="1" applyBorder="1"/>
    <xf numFmtId="166" fontId="6" fillId="4" borderId="1" xfId="2" applyNumberFormat="1" applyFont="1" applyFill="1" applyBorder="1" applyAlignment="1" applyProtection="1">
      <alignment horizontal="right"/>
    </xf>
    <xf numFmtId="41" fontId="6" fillId="4" borderId="1" xfId="3" applyNumberFormat="1" applyFont="1" applyFill="1" applyBorder="1" applyAlignment="1" applyProtection="1">
      <alignment horizontal="right"/>
    </xf>
    <xf numFmtId="0" fontId="6" fillId="4" borderId="1" xfId="0" applyFont="1" applyFill="1" applyBorder="1" applyAlignment="1">
      <alignment horizontal="left"/>
    </xf>
    <xf numFmtId="0" fontId="6" fillId="4" borderId="1" xfId="0" applyFont="1" applyFill="1" applyBorder="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10" fontId="2" fillId="0" borderId="0" xfId="2"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wrapText="1"/>
    </xf>
    <xf numFmtId="0" fontId="11" fillId="0" borderId="0" xfId="0" applyFont="1"/>
    <xf numFmtId="2" fontId="11" fillId="0" borderId="0" xfId="0" applyNumberFormat="1" applyFont="1"/>
    <xf numFmtId="0" fontId="12" fillId="0" borderId="0" xfId="0" applyFont="1"/>
    <xf numFmtId="3" fontId="2" fillId="0" borderId="0" xfId="0" applyNumberFormat="1" applyFont="1" applyAlignment="1">
      <alignment horizontal="right" vertical="center" wrapText="1"/>
    </xf>
    <xf numFmtId="0" fontId="13" fillId="0" borderId="0" xfId="0" applyFont="1"/>
    <xf numFmtId="0" fontId="14" fillId="0" borderId="0" xfId="0" applyFont="1" applyProtection="1">
      <protection locked="0"/>
    </xf>
    <xf numFmtId="0" fontId="15" fillId="0" borderId="0" xfId="0" applyFont="1"/>
    <xf numFmtId="0" fontId="11" fillId="0" borderId="0" xfId="0" quotePrefix="1" applyFont="1"/>
    <xf numFmtId="3" fontId="11" fillId="0" borderId="0" xfId="0" applyNumberFormat="1" applyFont="1"/>
    <xf numFmtId="0" fontId="7" fillId="3" borderId="0" xfId="0" applyFont="1" applyFill="1"/>
    <xf numFmtId="0" fontId="2" fillId="0" borderId="0" xfId="0" applyFont="1" applyAlignment="1">
      <alignment horizontal="left" vertical="center"/>
    </xf>
    <xf numFmtId="0" fontId="18" fillId="0" borderId="0" xfId="0" applyFont="1"/>
    <xf numFmtId="165" fontId="3" fillId="7" borderId="0" xfId="0" applyNumberFormat="1" applyFont="1" applyFill="1"/>
    <xf numFmtId="0" fontId="3" fillId="7" borderId="0" xfId="0" applyFont="1" applyFill="1"/>
    <xf numFmtId="165" fontId="2" fillId="0" borderId="0" xfId="0" applyNumberFormat="1" applyFont="1"/>
    <xf numFmtId="0" fontId="19" fillId="0" borderId="0" xfId="0" applyFont="1" applyAlignment="1">
      <alignment horizontal="center"/>
    </xf>
    <xf numFmtId="0" fontId="3" fillId="0" borderId="0" xfId="0" applyFont="1"/>
    <xf numFmtId="5" fontId="2" fillId="0" borderId="0" xfId="0" applyNumberFormat="1" applyFont="1"/>
    <xf numFmtId="0" fontId="3" fillId="0" borderId="0" xfId="0" applyFont="1" applyProtection="1">
      <protection locked="0"/>
    </xf>
    <xf numFmtId="165" fontId="20" fillId="0" borderId="0" xfId="0" applyNumberFormat="1" applyFont="1"/>
    <xf numFmtId="165" fontId="2" fillId="0" borderId="0" xfId="1" applyNumberFormat="1" applyFont="1" applyProtection="1">
      <protection locked="0"/>
    </xf>
    <xf numFmtId="167" fontId="6" fillId="8" borderId="1" xfId="1" applyNumberFormat="1" applyFont="1" applyFill="1" applyBorder="1" applyAlignment="1" applyProtection="1">
      <alignment horizontal="right"/>
    </xf>
    <xf numFmtId="0" fontId="2" fillId="2" borderId="1" xfId="0" applyFont="1" applyFill="1" applyBorder="1" applyAlignment="1">
      <alignment wrapText="1"/>
    </xf>
    <xf numFmtId="5" fontId="6" fillId="4" borderId="1" xfId="1" applyNumberFormat="1" applyFont="1" applyFill="1" applyBorder="1" applyAlignment="1" applyProtection="1">
      <alignment horizontal="right"/>
    </xf>
    <xf numFmtId="0" fontId="6" fillId="4" borderId="1" xfId="0" applyFont="1" applyFill="1" applyBorder="1" applyAlignment="1">
      <alignment horizontal="left" vertical="top"/>
    </xf>
    <xf numFmtId="165" fontId="2" fillId="0" borderId="0" xfId="1" applyNumberFormat="1" applyFont="1" applyBorder="1"/>
    <xf numFmtId="10" fontId="6" fillId="2" borderId="1" xfId="1" applyNumberFormat="1" applyFont="1" applyFill="1" applyBorder="1" applyAlignment="1" applyProtection="1">
      <alignment horizontal="right"/>
    </xf>
    <xf numFmtId="0" fontId="6" fillId="4" borderId="1" xfId="0" applyFont="1" applyFill="1" applyBorder="1" applyAlignment="1">
      <alignment wrapText="1"/>
    </xf>
    <xf numFmtId="5" fontId="6" fillId="8" borderId="1" xfId="1" applyNumberFormat="1" applyFont="1" applyFill="1" applyBorder="1" applyAlignment="1" applyProtection="1">
      <alignment horizontal="right"/>
    </xf>
    <xf numFmtId="0" fontId="6" fillId="4" borderId="1" xfId="0" applyFont="1" applyFill="1" applyBorder="1"/>
    <xf numFmtId="0" fontId="6" fillId="4" borderId="1" xfId="0" applyFont="1" applyFill="1" applyBorder="1" applyAlignment="1">
      <alignment horizontal="left" indent="3"/>
    </xf>
    <xf numFmtId="0" fontId="2" fillId="2" borderId="1" xfId="0" applyFont="1" applyFill="1" applyBorder="1"/>
    <xf numFmtId="0" fontId="2" fillId="2" borderId="0" xfId="0" applyFont="1" applyFill="1" applyAlignment="1">
      <alignment horizontal="left"/>
    </xf>
    <xf numFmtId="6" fontId="3" fillId="2" borderId="0" xfId="1" applyNumberFormat="1" applyFont="1" applyFill="1" applyBorder="1" applyAlignment="1" applyProtection="1">
      <alignment horizontal="right"/>
    </xf>
    <xf numFmtId="167" fontId="2" fillId="0" borderId="0" xfId="0" applyNumberFormat="1" applyFont="1"/>
    <xf numFmtId="5" fontId="6" fillId="4" borderId="0" xfId="1" applyNumberFormat="1" applyFont="1" applyFill="1" applyBorder="1" applyAlignment="1" applyProtection="1">
      <alignment horizontal="right"/>
    </xf>
    <xf numFmtId="164" fontId="2" fillId="0" borderId="0" xfId="0" applyNumberFormat="1" applyFont="1"/>
    <xf numFmtId="165" fontId="2" fillId="0" borderId="0" xfId="1" applyNumberFormat="1" applyFont="1"/>
    <xf numFmtId="10" fontId="6" fillId="4" borderId="0" xfId="2" applyNumberFormat="1" applyFont="1" applyFill="1" applyBorder="1" applyAlignment="1" applyProtection="1">
      <alignment horizontal="right"/>
    </xf>
    <xf numFmtId="6" fontId="3" fillId="2" borderId="0" xfId="0" applyNumberFormat="1" applyFont="1" applyFill="1" applyAlignment="1">
      <alignment horizontal="right"/>
    </xf>
    <xf numFmtId="0" fontId="19" fillId="0" borderId="0" xfId="0" applyFont="1"/>
    <xf numFmtId="0" fontId="0" fillId="9" borderId="0" xfId="0" applyFill="1"/>
    <xf numFmtId="0" fontId="7" fillId="0" borderId="0" xfId="0" quotePrefix="1" applyFont="1" applyProtection="1">
      <protection locked="0"/>
    </xf>
    <xf numFmtId="0" fontId="2" fillId="0" borderId="0" xfId="0" quotePrefix="1" applyFont="1" applyProtection="1">
      <protection locked="0"/>
    </xf>
    <xf numFmtId="20" fontId="2" fillId="0" borderId="0" xfId="0" quotePrefix="1" applyNumberFormat="1" applyFont="1" applyProtection="1">
      <protection locked="0"/>
    </xf>
    <xf numFmtId="0" fontId="21" fillId="0" borderId="0" xfId="0" applyFont="1" applyProtection="1">
      <protection locked="0"/>
    </xf>
    <xf numFmtId="0" fontId="0" fillId="2" borderId="0" xfId="0" applyFill="1"/>
    <xf numFmtId="0" fontId="2" fillId="2" borderId="0" xfId="0" applyFont="1" applyFill="1" applyAlignment="1">
      <alignment horizontal="left" vertical="center"/>
    </xf>
    <xf numFmtId="164" fontId="0" fillId="0" borderId="0" xfId="0" applyNumberFormat="1"/>
    <xf numFmtId="43" fontId="17" fillId="10" borderId="3" xfId="0" applyNumberFormat="1" applyFont="1" applyFill="1" applyBorder="1"/>
    <xf numFmtId="0" fontId="23" fillId="0" borderId="0" xfId="0" applyFont="1"/>
    <xf numFmtId="43" fontId="17" fillId="10" borderId="4" xfId="0" applyNumberFormat="1" applyFont="1" applyFill="1" applyBorder="1"/>
    <xf numFmtId="164" fontId="0" fillId="0" borderId="0" xfId="1" applyNumberFormat="1" applyFont="1" applyBorder="1"/>
    <xf numFmtId="43" fontId="0" fillId="0" borderId="0" xfId="1" applyFont="1" applyBorder="1"/>
    <xf numFmtId="168" fontId="0" fillId="0" borderId="0" xfId="1" applyNumberFormat="1" applyFont="1" applyBorder="1"/>
    <xf numFmtId="43" fontId="0" fillId="0" borderId="0" xfId="1" applyFont="1" applyFill="1" applyBorder="1"/>
    <xf numFmtId="2" fontId="0" fillId="0" borderId="0" xfId="1" applyNumberFormat="1" applyFont="1" applyFill="1" applyBorder="1"/>
    <xf numFmtId="0" fontId="0" fillId="0" borderId="0" xfId="1" applyNumberFormat="1" applyFont="1" applyBorder="1"/>
    <xf numFmtId="170" fontId="0" fillId="11" borderId="0" xfId="7" applyNumberFormat="1" applyFont="1" applyFill="1" applyBorder="1"/>
    <xf numFmtId="0" fontId="2" fillId="2" borderId="0" xfId="0" applyFont="1" applyFill="1" applyAlignment="1">
      <alignment horizontal="left" vertical="center" indent="2"/>
    </xf>
    <xf numFmtId="0" fontId="0" fillId="11" borderId="0" xfId="0" applyFill="1"/>
    <xf numFmtId="170" fontId="0" fillId="0" borderId="0" xfId="7" applyNumberFormat="1" applyFont="1" applyBorder="1"/>
    <xf numFmtId="164" fontId="1" fillId="0" borderId="0" xfId="6" applyNumberFormat="1" applyFill="1" applyBorder="1"/>
    <xf numFmtId="171" fontId="2" fillId="2" borderId="0" xfId="0" applyNumberFormat="1" applyFont="1" applyFill="1" applyAlignment="1">
      <alignment horizontal="left" vertical="center" wrapText="1"/>
    </xf>
    <xf numFmtId="171" fontId="2" fillId="2" borderId="5" xfId="0" applyNumberFormat="1" applyFont="1" applyFill="1" applyBorder="1" applyAlignment="1">
      <alignment horizontal="right" vertical="center" wrapText="1"/>
    </xf>
    <xf numFmtId="0" fontId="6" fillId="2" borderId="6" xfId="0" applyFont="1" applyFill="1" applyBorder="1" applyAlignment="1">
      <alignment vertical="center"/>
    </xf>
    <xf numFmtId="171" fontId="6" fillId="2" borderId="0" xfId="0" applyNumberFormat="1" applyFont="1" applyFill="1" applyAlignment="1">
      <alignment horizontal="left" vertical="center" wrapText="1"/>
    </xf>
    <xf numFmtId="171" fontId="6" fillId="2" borderId="5" xfId="0" applyNumberFormat="1" applyFont="1" applyFill="1" applyBorder="1" applyAlignment="1">
      <alignment horizontal="right" vertical="center" wrapText="1"/>
    </xf>
    <xf numFmtId="0" fontId="6" fillId="2" borderId="0" xfId="0" applyFont="1" applyFill="1" applyAlignment="1">
      <alignment vertical="center" wrapText="1"/>
    </xf>
    <xf numFmtId="0" fontId="6" fillId="2" borderId="5" xfId="0" applyFont="1" applyFill="1" applyBorder="1" applyAlignment="1">
      <alignment horizontal="right" vertical="center" wrapText="1"/>
    </xf>
    <xf numFmtId="0" fontId="6" fillId="2" borderId="7" xfId="0" applyFont="1" applyFill="1" applyBorder="1" applyAlignment="1">
      <alignment horizontal="right" vertical="center" wrapText="1"/>
    </xf>
    <xf numFmtId="0" fontId="6" fillId="2" borderId="8" xfId="0" applyFont="1" applyFill="1" applyBorder="1" applyAlignment="1">
      <alignment vertical="center"/>
    </xf>
    <xf numFmtId="0" fontId="2" fillId="2" borderId="0" xfId="0" applyFont="1" applyFill="1" applyAlignment="1">
      <alignment vertical="center"/>
    </xf>
    <xf numFmtId="0" fontId="6" fillId="2" borderId="0" xfId="0" applyFont="1" applyFill="1" applyAlignment="1">
      <alignment horizontal="left" vertical="center" wrapText="1"/>
    </xf>
    <xf numFmtId="2" fontId="0" fillId="0" borderId="0" xfId="1" applyNumberFormat="1" applyFont="1" applyBorder="1"/>
    <xf numFmtId="9" fontId="0" fillId="11" borderId="0" xfId="0" applyNumberFormat="1" applyFill="1"/>
    <xf numFmtId="170" fontId="0" fillId="0" borderId="0" xfId="0" applyNumberFormat="1"/>
    <xf numFmtId="0" fontId="24" fillId="11" borderId="0" xfId="0" applyFont="1" applyFill="1"/>
    <xf numFmtId="0" fontId="24" fillId="11" borderId="0" xfId="0" applyFont="1" applyFill="1" applyAlignment="1">
      <alignment horizontal="right"/>
    </xf>
    <xf numFmtId="44" fontId="17" fillId="10" borderId="1" xfId="0" applyNumberFormat="1" applyFont="1" applyFill="1" applyBorder="1"/>
    <xf numFmtId="0" fontId="25" fillId="5" borderId="0" xfId="5" applyFont="1" applyAlignment="1">
      <alignment horizontal="right"/>
    </xf>
    <xf numFmtId="0" fontId="16" fillId="5" borderId="0" xfId="5" applyAlignment="1">
      <alignment horizontal="right"/>
    </xf>
    <xf numFmtId="0" fontId="24" fillId="0" borderId="0" xfId="0" applyFont="1" applyAlignment="1">
      <alignment horizontal="right"/>
    </xf>
    <xf numFmtId="0" fontId="16" fillId="5" borderId="0" xfId="5"/>
    <xf numFmtId="0" fontId="24" fillId="0" borderId="0" xfId="0" applyFont="1" applyAlignment="1">
      <alignment horizontal="center"/>
    </xf>
    <xf numFmtId="0" fontId="0" fillId="0" borderId="0" xfId="0" applyAlignment="1">
      <alignment horizontal="center"/>
    </xf>
    <xf numFmtId="0" fontId="24" fillId="0" borderId="0" xfId="0" applyFont="1" applyAlignment="1">
      <alignment horizontal="center"/>
    </xf>
    <xf numFmtId="0" fontId="26" fillId="0" borderId="0" xfId="0" applyFont="1" applyAlignment="1">
      <alignment horizontal="center"/>
    </xf>
    <xf numFmtId="0" fontId="27" fillId="0" borderId="0" xfId="0" applyFont="1" applyAlignment="1">
      <alignment horizontal="left"/>
    </xf>
    <xf numFmtId="44" fontId="0" fillId="0" borderId="0" xfId="0" applyNumberFormat="1"/>
    <xf numFmtId="0" fontId="2" fillId="0" borderId="0" xfId="0" applyFont="1" applyAlignment="1">
      <alignment horizontal="left" vertical="center" indent="2"/>
    </xf>
    <xf numFmtId="0" fontId="17" fillId="2" borderId="0" xfId="0" applyFont="1" applyFill="1"/>
  </cellXfs>
  <cellStyles count="8">
    <cellStyle name="60% - Accent6" xfId="6" builtinId="52"/>
    <cellStyle name="Comma" xfId="1" builtinId="3"/>
    <cellStyle name="Comma 2" xfId="4" xr:uid="{C70E0916-D16A-43DE-99F2-7F7B562F5C5B}"/>
    <cellStyle name="Currency" xfId="3" builtinId="4"/>
    <cellStyle name="Currency 2" xfId="7" xr:uid="{35D8EF4B-EDDF-4DC2-9D0F-48C46009295D}"/>
    <cellStyle name="Good" xfId="5" builtinId="26"/>
    <cellStyle name="Normal" xfId="0" builtinId="0"/>
    <cellStyle name="Percent" xfId="2"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8</xdr:col>
      <xdr:colOff>800100</xdr:colOff>
      <xdr:row>25</xdr:row>
      <xdr:rowOff>200024</xdr:rowOff>
    </xdr:from>
    <xdr:ext cx="1509712" cy="45474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1F5D9555-FFBB-4A74-A60B-70FD497BC52E}"/>
                </a:ext>
              </a:extLst>
            </xdr:cNvPr>
            <xdr:cNvSpPr txBox="1"/>
          </xdr:nvSpPr>
          <xdr:spPr>
            <a:xfrm>
              <a:off x="10170319" y="5450680"/>
              <a:ext cx="1509712" cy="454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400" i="1">
                            <a:latin typeface="Cambria Math" panose="02040503050406030204" pitchFamily="18" charset="0"/>
                          </a:rPr>
                        </m:ctrlPr>
                      </m:fPr>
                      <m:num>
                        <m:nary>
                          <m:naryPr>
                            <m:chr m:val="∑"/>
                            <m:subHide m:val="on"/>
                            <m:supHide m:val="on"/>
                            <m:ctrlPr>
                              <a:rPr lang="en-US" sz="1400" i="1">
                                <a:latin typeface="Cambria Math" panose="02040503050406030204" pitchFamily="18" charset="0"/>
                              </a:rPr>
                            </m:ctrlPr>
                          </m:naryPr>
                          <m:sub/>
                          <m:sup/>
                          <m:e>
                            <m:r>
                              <a:rPr lang="en-US" sz="1400" b="0" i="1">
                                <a:latin typeface="Cambria Math" panose="02040503050406030204" pitchFamily="18" charset="0"/>
                              </a:rPr>
                              <m:t>(</m:t>
                            </m:r>
                            <m:r>
                              <a:rPr lang="en-US" sz="1400" b="0" i="1">
                                <a:latin typeface="Cambria Math" panose="02040503050406030204" pitchFamily="18" charset="0"/>
                              </a:rPr>
                              <m:t>𝑡</m:t>
                            </m:r>
                            <m:r>
                              <a:rPr lang="en-US" sz="1400" b="0" i="1">
                                <a:latin typeface="Cambria Math" panose="02040503050406030204" pitchFamily="18" charset="0"/>
                              </a:rPr>
                              <m:t> × </m:t>
                            </m:r>
                            <m:sSub>
                              <m:sSubPr>
                                <m:ctrlPr>
                                  <a:rPr lang="en-US" sz="1400" b="0" i="1">
                                    <a:latin typeface="Cambria Math" panose="02040503050406030204" pitchFamily="18" charset="0"/>
                                    <a:ea typeface="Cambria Math" panose="02040503050406030204" pitchFamily="18" charset="0"/>
                                  </a:rPr>
                                </m:ctrlPr>
                              </m:sSubPr>
                              <m:e>
                                <m:r>
                                  <a:rPr lang="en-US" sz="1400" b="0" i="1">
                                    <a:latin typeface="Cambria Math" panose="02040503050406030204" pitchFamily="18" charset="0"/>
                                    <a:ea typeface="Cambria Math" panose="02040503050406030204" pitchFamily="18" charset="0"/>
                                  </a:rPr>
                                  <m:t>𝑃𝑉</m:t>
                                </m:r>
                                <m:r>
                                  <a:rPr lang="en-US" sz="1400" b="0" i="1">
                                    <a:latin typeface="Cambria Math" panose="02040503050406030204" pitchFamily="18" charset="0"/>
                                    <a:ea typeface="Cambria Math" panose="02040503050406030204" pitchFamily="18" charset="0"/>
                                  </a:rPr>
                                  <m:t>(</m:t>
                                </m:r>
                                <m:r>
                                  <a:rPr lang="en-US" sz="1400" b="0" i="1">
                                    <a:latin typeface="Cambria Math" panose="02040503050406030204" pitchFamily="18" charset="0"/>
                                    <a:ea typeface="Cambria Math" panose="02040503050406030204" pitchFamily="18" charset="0"/>
                                  </a:rPr>
                                  <m:t>𝐶𝐹</m:t>
                                </m:r>
                              </m:e>
                              <m:sub>
                                <m:r>
                                  <a:rPr lang="en-US" sz="1400" b="0" i="1">
                                    <a:latin typeface="Cambria Math" panose="02040503050406030204" pitchFamily="18" charset="0"/>
                                    <a:ea typeface="Cambria Math" panose="02040503050406030204" pitchFamily="18" charset="0"/>
                                  </a:rPr>
                                  <m:t>𝑡</m:t>
                                </m:r>
                              </m:sub>
                            </m:sSub>
                            <m:r>
                              <a:rPr lang="en-US" sz="1400" b="0" i="1">
                                <a:latin typeface="Cambria Math" panose="02040503050406030204" pitchFamily="18" charset="0"/>
                                <a:ea typeface="Cambria Math" panose="02040503050406030204" pitchFamily="18" charset="0"/>
                              </a:rPr>
                              <m:t>))</m:t>
                            </m:r>
                          </m:e>
                        </m:nary>
                      </m:num>
                      <m:den>
                        <m:r>
                          <a:rPr lang="en-US" sz="1400" b="0" i="1">
                            <a:latin typeface="Cambria Math" panose="02040503050406030204" pitchFamily="18" charset="0"/>
                          </a:rPr>
                          <m:t>𝑃𝑉</m:t>
                        </m:r>
                        <m:r>
                          <a:rPr lang="en-US" sz="1400" b="0" i="1">
                            <a:latin typeface="Cambria Math" panose="02040503050406030204" pitchFamily="18" charset="0"/>
                          </a:rPr>
                          <m:t>(</m:t>
                        </m:r>
                        <m:r>
                          <a:rPr lang="en-US" sz="1400" b="0" i="1">
                            <a:latin typeface="Cambria Math" panose="02040503050406030204" pitchFamily="18" charset="0"/>
                          </a:rPr>
                          <m:t>𝐶𝐹</m:t>
                        </m:r>
                        <m:r>
                          <a:rPr lang="en-US" sz="1400" b="0" i="1">
                            <a:latin typeface="Cambria Math" panose="02040503050406030204" pitchFamily="18" charset="0"/>
                          </a:rPr>
                          <m:t>)</m:t>
                        </m:r>
                      </m:den>
                    </m:f>
                  </m:oMath>
                </m:oMathPara>
              </a14:m>
              <a:endParaRPr lang="en-US" sz="1400"/>
            </a:p>
          </xdr:txBody>
        </xdr:sp>
      </mc:Choice>
      <mc:Fallback xmlns="">
        <xdr:sp macro="" textlink="">
          <xdr:nvSpPr>
            <xdr:cNvPr id="2" name="TextBox 1">
              <a:extLst>
                <a:ext uri="{FF2B5EF4-FFF2-40B4-BE49-F238E27FC236}">
                  <a16:creationId xmlns:a16="http://schemas.microsoft.com/office/drawing/2014/main" id="{1F5D9555-FFBB-4A74-A60B-70FD497BC52E}"/>
                </a:ext>
              </a:extLst>
            </xdr:cNvPr>
            <xdr:cNvSpPr txBox="1"/>
          </xdr:nvSpPr>
          <xdr:spPr>
            <a:xfrm>
              <a:off x="10170319" y="5450680"/>
              <a:ext cx="1509712" cy="4547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400" i="0">
                  <a:latin typeface="Cambria Math" panose="02040503050406030204" pitchFamily="18" charset="0"/>
                </a:rPr>
                <a:t>(∑</a:t>
              </a:r>
              <a:r>
                <a:rPr lang="en-US" sz="1400" b="0" i="0">
                  <a:latin typeface="Cambria Math" panose="02040503050406030204" pitchFamily="18" charset="0"/>
                  <a:ea typeface="Cambria Math" panose="02040503050406030204" pitchFamily="18" charset="0"/>
                </a:rPr>
                <a:t>▒〖</a:t>
              </a:r>
              <a:r>
                <a:rPr lang="en-US" sz="1400" b="0" i="0">
                  <a:latin typeface="Cambria Math" panose="02040503050406030204" pitchFamily="18" charset="0"/>
                </a:rPr>
                <a:t>(𝑡 × </a:t>
              </a:r>
              <a:r>
                <a:rPr lang="en-US" sz="1400" b="0" i="0">
                  <a:latin typeface="Cambria Math" panose="02040503050406030204" pitchFamily="18" charset="0"/>
                  <a:ea typeface="Cambria Math" panose="02040503050406030204" pitchFamily="18" charset="0"/>
                </a:rPr>
                <a:t>〖𝑃𝑉(𝐶𝐹〗_𝑡))〗)/(</a:t>
              </a:r>
              <a:r>
                <a:rPr lang="en-US" sz="1400" b="0" i="0">
                  <a:latin typeface="Cambria Math" panose="02040503050406030204" pitchFamily="18" charset="0"/>
                </a:rPr>
                <a:t>𝑃𝑉(𝐶𝐹))</a:t>
              </a:r>
              <a:endParaRPr lang="en-US" sz="1400"/>
            </a:p>
          </xdr:txBody>
        </xdr:sp>
      </mc:Fallback>
    </mc:AlternateContent>
    <xdr:clientData/>
  </xdr:oneCellAnchor>
  <xdr:oneCellAnchor>
    <xdr:from>
      <xdr:col>8</xdr:col>
      <xdr:colOff>342900</xdr:colOff>
      <xdr:row>31</xdr:row>
      <xdr:rowOff>166687</xdr:rowOff>
    </xdr:from>
    <xdr:ext cx="1695450" cy="460191"/>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77BB74E8-2FF8-4C3A-9F7A-6E60B7A6BC6A}"/>
                </a:ext>
              </a:extLst>
            </xdr:cNvPr>
            <xdr:cNvSpPr txBox="1"/>
          </xdr:nvSpPr>
          <xdr:spPr>
            <a:xfrm>
              <a:off x="3629025" y="5324475"/>
              <a:ext cx="1695450" cy="460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panose="02040503050406030204" pitchFamily="18" charset="0"/>
                          </a:rPr>
                        </m:ctrlPr>
                      </m:fPr>
                      <m:num>
                        <m:r>
                          <m:rPr>
                            <m:sty m:val="p"/>
                          </m:rPr>
                          <a:rPr lang="en-US" sz="1100" b="0" i="0">
                            <a:latin typeface="Cambria Math" panose="02040503050406030204" pitchFamily="18" charset="0"/>
                          </a:rPr>
                          <m:t>Macaulay</m:t>
                        </m:r>
                        <m:r>
                          <a:rPr lang="en-US" sz="1100" b="0" i="0">
                            <a:latin typeface="Cambria Math" panose="02040503050406030204" pitchFamily="18" charset="0"/>
                          </a:rPr>
                          <m:t> </m:t>
                        </m:r>
                        <m:r>
                          <m:rPr>
                            <m:sty m:val="p"/>
                          </m:rPr>
                          <a:rPr lang="en-US" sz="1100" b="0" i="0">
                            <a:latin typeface="Cambria Math" panose="02040503050406030204" pitchFamily="18" charset="0"/>
                          </a:rPr>
                          <m:t>Duration</m:t>
                        </m:r>
                      </m:num>
                      <m:den>
                        <m:r>
                          <a:rPr lang="en-US" sz="1100" b="0" i="1">
                            <a:latin typeface="Cambria Math" panose="02040503050406030204" pitchFamily="18" charset="0"/>
                          </a:rPr>
                          <m:t>(1+ </m:t>
                        </m:r>
                        <m:f>
                          <m:fPr>
                            <m:ctrlPr>
                              <a:rPr lang="en-US" sz="1100" b="0" i="1">
                                <a:latin typeface="Cambria Math" panose="02040503050406030204" pitchFamily="18" charset="0"/>
                              </a:rPr>
                            </m:ctrlPr>
                          </m:fPr>
                          <m:num>
                            <m:r>
                              <a:rPr lang="en-US" sz="1100" b="0" i="1">
                                <a:latin typeface="Cambria Math" panose="02040503050406030204" pitchFamily="18" charset="0"/>
                              </a:rPr>
                              <m:t>𝑦</m:t>
                            </m:r>
                          </m:num>
                          <m:den>
                            <m:r>
                              <a:rPr lang="en-US" sz="1100" b="0" i="1">
                                <a:latin typeface="Cambria Math" panose="02040503050406030204" pitchFamily="18" charset="0"/>
                              </a:rPr>
                              <m:t>𝑃𝑎𝑦𝑚𝑒𝑛𝑡𝑠</m:t>
                            </m:r>
                            <m:r>
                              <a:rPr lang="en-US" sz="1100" b="0" i="1">
                                <a:latin typeface="Cambria Math" panose="02040503050406030204" pitchFamily="18" charset="0"/>
                              </a:rPr>
                              <m:t> </m:t>
                            </m:r>
                            <m:r>
                              <a:rPr lang="en-US" sz="1100" b="0" i="1">
                                <a:latin typeface="Cambria Math" panose="02040503050406030204" pitchFamily="18" charset="0"/>
                              </a:rPr>
                              <m:t>𝑝𝑒𝑟</m:t>
                            </m:r>
                            <m:r>
                              <a:rPr lang="en-US" sz="1100" b="0" i="1">
                                <a:latin typeface="Cambria Math" panose="02040503050406030204" pitchFamily="18" charset="0"/>
                              </a:rPr>
                              <m:t> </m:t>
                            </m:r>
                            <m:r>
                              <a:rPr lang="en-US" sz="1100" b="0" i="1">
                                <a:latin typeface="Cambria Math" panose="02040503050406030204" pitchFamily="18" charset="0"/>
                              </a:rPr>
                              <m:t>𝑌𝑒𝑎𝑟</m:t>
                            </m:r>
                          </m:den>
                        </m:f>
                        <m:r>
                          <a:rPr lang="en-US" sz="1100" b="0" i="1">
                            <a:latin typeface="Cambria Math" panose="02040503050406030204" pitchFamily="18" charset="0"/>
                          </a:rPr>
                          <m:t>)</m:t>
                        </m:r>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77BB74E8-2FF8-4C3A-9F7A-6E60B7A6BC6A}"/>
                </a:ext>
              </a:extLst>
            </xdr:cNvPr>
            <xdr:cNvSpPr txBox="1"/>
          </xdr:nvSpPr>
          <xdr:spPr>
            <a:xfrm>
              <a:off x="3629025" y="5324475"/>
              <a:ext cx="1695450" cy="4601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Macaulay Duration)/((1+ 𝑦/(𝑃𝑎𝑦𝑚𝑒𝑛𝑡𝑠 𝑝𝑒𝑟 𝑌𝑒𝑎𝑟)))</a:t>
              </a:r>
              <a:endParaRPr lang="en-US" sz="1100"/>
            </a:p>
          </xdr:txBody>
        </xdr:sp>
      </mc:Fallback>
    </mc:AlternateContent>
    <xdr:clientData/>
  </xdr:oneCellAnchor>
  <xdr:oneCellAnchor>
    <xdr:from>
      <xdr:col>8</xdr:col>
      <xdr:colOff>883188</xdr:colOff>
      <xdr:row>39</xdr:row>
      <xdr:rowOff>178593</xdr:rowOff>
    </xdr:from>
    <xdr:ext cx="861518" cy="516936"/>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6395164-6491-4E8A-B510-402D2F1608AD}"/>
                </a:ext>
              </a:extLst>
            </xdr:cNvPr>
            <xdr:cNvSpPr txBox="1"/>
          </xdr:nvSpPr>
          <xdr:spPr>
            <a:xfrm>
              <a:off x="10253407" y="8262937"/>
              <a:ext cx="861518" cy="516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600" i="1">
                            <a:latin typeface="Cambria Math" panose="02040503050406030204" pitchFamily="18" charset="0"/>
                          </a:rPr>
                        </m:ctrlPr>
                      </m:fPr>
                      <m:num>
                        <m:sSub>
                          <m:sSubPr>
                            <m:ctrlPr>
                              <a:rPr lang="en-US" sz="1600" b="0" i="1">
                                <a:latin typeface="Cambria Math" panose="02040503050406030204" pitchFamily="18" charset="0"/>
                              </a:rPr>
                            </m:ctrlPr>
                          </m:sSubPr>
                          <m:e>
                            <m:r>
                              <a:rPr lang="en-US" sz="1600" b="0" i="1">
                                <a:latin typeface="Cambria Math" panose="02040503050406030204" pitchFamily="18" charset="0"/>
                              </a:rPr>
                              <m:t>𝐿</m:t>
                            </m:r>
                          </m:e>
                          <m:sub>
                            <m:r>
                              <a:rPr lang="en-US" sz="1600" b="0" i="1">
                                <a:latin typeface="Cambria Math" panose="02040503050406030204" pitchFamily="18" charset="0"/>
                              </a:rPr>
                              <m:t>𝑖</m:t>
                            </m:r>
                            <m:r>
                              <a:rPr lang="en-US" sz="1600" b="0" i="1">
                                <a:latin typeface="Cambria Math" panose="02040503050406030204" pitchFamily="18" charset="0"/>
                              </a:rPr>
                              <m:t>−</m:t>
                            </m:r>
                            <m:r>
                              <a:rPr lang="en-US" sz="1600" b="0" i="1">
                                <a:latin typeface="Cambria Math" panose="02040503050406030204" pitchFamily="18" charset="0"/>
                              </a:rPr>
                              <m:t>𝑥</m:t>
                            </m:r>
                            <m:r>
                              <a:rPr lang="en-US" sz="1600" b="0" i="1">
                                <a:latin typeface="Cambria Math" panose="02040503050406030204" pitchFamily="18" charset="0"/>
                              </a:rPr>
                              <m:t> −</m:t>
                            </m:r>
                            <m:sSub>
                              <m:sSubPr>
                                <m:ctrlPr>
                                  <a:rPr lang="en-US" sz="1600" b="0" i="1">
                                    <a:latin typeface="Cambria Math" panose="02040503050406030204" pitchFamily="18" charset="0"/>
                                  </a:rPr>
                                </m:ctrlPr>
                              </m:sSubPr>
                              <m:e>
                                <m:r>
                                  <a:rPr lang="en-US" sz="1600" b="0" i="1">
                                    <a:latin typeface="Cambria Math" panose="02040503050406030204" pitchFamily="18" charset="0"/>
                                  </a:rPr>
                                  <m:t>𝐿</m:t>
                                </m:r>
                              </m:e>
                              <m:sub>
                                <m:r>
                                  <a:rPr lang="en-US" sz="1600" b="0" i="1">
                                    <a:latin typeface="Cambria Math" panose="02040503050406030204" pitchFamily="18" charset="0"/>
                                  </a:rPr>
                                  <m:t>𝑖</m:t>
                                </m:r>
                                <m:r>
                                  <a:rPr lang="en-US" sz="1600" b="0" i="1">
                                    <a:latin typeface="Cambria Math" panose="02040503050406030204" pitchFamily="18" charset="0"/>
                                  </a:rPr>
                                  <m:t>+</m:t>
                                </m:r>
                                <m:r>
                                  <a:rPr lang="en-US" sz="1600" b="0" i="1">
                                    <a:latin typeface="Cambria Math" panose="02040503050406030204" pitchFamily="18" charset="0"/>
                                  </a:rPr>
                                  <m:t>𝑥</m:t>
                                </m:r>
                              </m:sub>
                            </m:sSub>
                          </m:sub>
                        </m:sSub>
                      </m:num>
                      <m:den>
                        <m:r>
                          <a:rPr lang="en-US" sz="1600" i="1">
                            <a:latin typeface="Cambria Math" panose="02040503050406030204" pitchFamily="18" charset="0"/>
                          </a:rPr>
                          <m:t>2</m:t>
                        </m:r>
                        <m:r>
                          <a:rPr lang="en-US" sz="1600" b="0" i="1">
                            <a:latin typeface="Cambria Math" panose="02040503050406030204" pitchFamily="18" charset="0"/>
                          </a:rPr>
                          <m:t>(</m:t>
                        </m:r>
                        <m:sSub>
                          <m:sSubPr>
                            <m:ctrlPr>
                              <a:rPr lang="en-US" sz="1600" b="0" i="1">
                                <a:latin typeface="Cambria Math" panose="02040503050406030204" pitchFamily="18" charset="0"/>
                              </a:rPr>
                            </m:ctrlPr>
                          </m:sSubPr>
                          <m:e>
                            <m:r>
                              <a:rPr lang="en-US" sz="1600" b="0" i="1">
                                <a:latin typeface="Cambria Math" panose="02040503050406030204" pitchFamily="18" charset="0"/>
                              </a:rPr>
                              <m:t>𝐿</m:t>
                            </m:r>
                          </m:e>
                          <m:sub>
                            <m:r>
                              <a:rPr lang="en-US" sz="1600" b="0" i="1">
                                <a:latin typeface="Cambria Math" panose="02040503050406030204" pitchFamily="18" charset="0"/>
                              </a:rPr>
                              <m:t>𝑖</m:t>
                            </m:r>
                          </m:sub>
                        </m:sSub>
                        <m:r>
                          <a:rPr lang="en-US" sz="1600" b="0" i="1">
                            <a:latin typeface="Cambria Math" panose="02040503050406030204" pitchFamily="18" charset="0"/>
                          </a:rPr>
                          <m:t>)(</m:t>
                        </m:r>
                        <m:r>
                          <a:rPr lang="en-US" sz="1600" b="0" i="1">
                            <a:latin typeface="Cambria Math" panose="02040503050406030204" pitchFamily="18" charset="0"/>
                          </a:rPr>
                          <m:t>𝑥</m:t>
                        </m:r>
                        <m:r>
                          <a:rPr lang="en-US" sz="1600" b="0" i="1">
                            <a:latin typeface="Cambria Math" panose="02040503050406030204" pitchFamily="18" charset="0"/>
                          </a:rPr>
                          <m:t>)</m:t>
                        </m:r>
                      </m:den>
                    </m:f>
                  </m:oMath>
                </m:oMathPara>
              </a14:m>
              <a:endParaRPr lang="en-US" sz="1600"/>
            </a:p>
          </xdr:txBody>
        </xdr:sp>
      </mc:Choice>
      <mc:Fallback xmlns="">
        <xdr:sp macro="" textlink="">
          <xdr:nvSpPr>
            <xdr:cNvPr id="4" name="TextBox 3">
              <a:extLst>
                <a:ext uri="{FF2B5EF4-FFF2-40B4-BE49-F238E27FC236}">
                  <a16:creationId xmlns:a16="http://schemas.microsoft.com/office/drawing/2014/main" id="{26395164-6491-4E8A-B510-402D2F1608AD}"/>
                </a:ext>
              </a:extLst>
            </xdr:cNvPr>
            <xdr:cNvSpPr txBox="1"/>
          </xdr:nvSpPr>
          <xdr:spPr>
            <a:xfrm>
              <a:off x="10253407" y="8262937"/>
              <a:ext cx="861518" cy="5169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𝐿_(𝑖−𝑥 −𝐿_(𝑖+𝑥) )/(</a:t>
              </a:r>
              <a:r>
                <a:rPr lang="en-US" sz="1600" i="0">
                  <a:latin typeface="Cambria Math" panose="02040503050406030204" pitchFamily="18" charset="0"/>
                </a:rPr>
                <a:t>2</a:t>
              </a:r>
              <a:r>
                <a:rPr lang="en-US" sz="1600" b="0" i="0">
                  <a:latin typeface="Cambria Math" panose="02040503050406030204" pitchFamily="18" charset="0"/>
                </a:rPr>
                <a:t>(𝐿_𝑖)(𝑥))</a:t>
              </a:r>
              <a:endParaRPr lang="en-US" sz="1600"/>
            </a:p>
          </xdr:txBody>
        </xdr:sp>
      </mc:Fallback>
    </mc:AlternateContent>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0FBB-4BA0-40E5-9E0E-0749A36F45FF}">
  <dimension ref="A1:U156"/>
  <sheetViews>
    <sheetView topLeftCell="E2" zoomScale="80" zoomScaleNormal="80" workbookViewId="0">
      <selection activeCell="P19" sqref="P19"/>
    </sheetView>
  </sheetViews>
  <sheetFormatPr defaultColWidth="9" defaultRowHeight="15.6" x14ac:dyDescent="0.3"/>
  <cols>
    <col min="1" max="1" width="3.5546875" style="6" customWidth="1"/>
    <col min="2" max="2" width="33.21875" style="6" customWidth="1"/>
    <col min="3" max="4" width="25.77734375" style="7" customWidth="1"/>
    <col min="5" max="5" width="18.5546875" style="6" customWidth="1"/>
    <col min="6" max="6" width="1.5546875" style="8" customWidth="1"/>
    <col min="7" max="7" width="3.5546875" style="2" customWidth="1"/>
    <col min="8" max="9" width="18.5546875" style="2" customWidth="1"/>
    <col min="10" max="11" width="25.77734375" style="2" customWidth="1"/>
    <col min="12" max="12" width="18.5546875" style="2" customWidth="1"/>
    <col min="13" max="13" width="8.5546875" style="2" customWidth="1"/>
    <col min="14" max="14" width="3.33203125" style="8" customWidth="1"/>
    <col min="15" max="15" width="4.77734375" style="1" customWidth="1"/>
    <col min="16" max="20" width="9" style="1"/>
    <col min="21" max="21" width="17.5546875" style="1" customWidth="1"/>
    <col min="22" max="16384" width="9" style="1"/>
  </cols>
  <sheetData>
    <row r="1" spans="1:21" x14ac:dyDescent="0.3">
      <c r="A1" s="5" t="s">
        <v>5</v>
      </c>
      <c r="G1" s="5" t="s">
        <v>5</v>
      </c>
      <c r="H1" s="6"/>
      <c r="I1" s="6"/>
      <c r="J1" s="6"/>
      <c r="K1" s="6"/>
      <c r="L1" s="6"/>
      <c r="M1" s="6"/>
      <c r="O1" s="5" t="s">
        <v>5</v>
      </c>
      <c r="P1" s="6"/>
      <c r="Q1" s="6"/>
      <c r="R1" s="6"/>
      <c r="S1" s="6"/>
      <c r="T1" s="6"/>
      <c r="U1" s="6"/>
    </row>
    <row r="2" spans="1:21" x14ac:dyDescent="0.3">
      <c r="A2" s="5" t="s">
        <v>40</v>
      </c>
      <c r="G2" s="5" t="s">
        <v>40</v>
      </c>
      <c r="H2" s="6"/>
      <c r="I2" s="6"/>
      <c r="J2" s="6"/>
      <c r="K2" s="6"/>
      <c r="L2" s="6"/>
      <c r="M2" s="6"/>
      <c r="O2" s="5" t="s">
        <v>40</v>
      </c>
      <c r="P2" s="6"/>
      <c r="Q2" s="6"/>
      <c r="R2" s="6"/>
      <c r="S2" s="6"/>
      <c r="T2" s="6"/>
      <c r="U2" s="6"/>
    </row>
    <row r="3" spans="1:21" x14ac:dyDescent="0.3">
      <c r="A3" s="5" t="s">
        <v>6</v>
      </c>
      <c r="G3" s="5" t="s">
        <v>6</v>
      </c>
      <c r="H3" s="6"/>
      <c r="I3" s="6"/>
      <c r="J3" s="6"/>
      <c r="K3" s="6"/>
      <c r="L3" s="6"/>
      <c r="M3" s="6"/>
      <c r="O3" s="5" t="s">
        <v>6</v>
      </c>
      <c r="P3" s="6"/>
      <c r="Q3" s="6"/>
      <c r="R3" s="6"/>
      <c r="S3" s="6"/>
      <c r="T3" s="6"/>
      <c r="U3" s="6"/>
    </row>
    <row r="4" spans="1:21" x14ac:dyDescent="0.3">
      <c r="G4" s="6"/>
      <c r="H4" s="6"/>
      <c r="I4" s="6"/>
      <c r="J4" s="6"/>
      <c r="K4" s="6"/>
      <c r="L4" s="6"/>
      <c r="M4" s="6"/>
      <c r="O4" s="6"/>
      <c r="P4" s="6"/>
      <c r="Q4" s="6"/>
      <c r="R4" s="6"/>
      <c r="S4" s="6"/>
      <c r="T4" s="6"/>
      <c r="U4" s="6"/>
    </row>
    <row r="5" spans="1:21" ht="16.2" x14ac:dyDescent="0.35">
      <c r="A5" s="9" t="s">
        <v>0</v>
      </c>
      <c r="G5" s="9"/>
      <c r="H5" s="6"/>
      <c r="I5" s="6"/>
      <c r="J5" s="6"/>
      <c r="K5" s="6"/>
      <c r="L5" s="6"/>
      <c r="M5" s="6"/>
      <c r="O5" s="9"/>
      <c r="P5" s="6"/>
      <c r="Q5" s="6"/>
      <c r="R5" s="6"/>
      <c r="S5" s="6"/>
      <c r="T5" s="6"/>
      <c r="U5" s="6"/>
    </row>
    <row r="6" spans="1:21" x14ac:dyDescent="0.3">
      <c r="G6" s="6"/>
      <c r="H6" s="6"/>
      <c r="I6" s="6"/>
      <c r="J6" s="6"/>
      <c r="K6" s="6"/>
      <c r="L6" s="6"/>
      <c r="M6" s="6"/>
      <c r="O6" s="6"/>
      <c r="P6" s="6"/>
      <c r="Q6" s="6"/>
      <c r="R6" s="6"/>
      <c r="S6" s="6"/>
      <c r="T6" s="6"/>
      <c r="U6" s="6"/>
    </row>
    <row r="7" spans="1:21" x14ac:dyDescent="0.3">
      <c r="B7" s="6" t="s">
        <v>39</v>
      </c>
      <c r="G7" s="6" t="s">
        <v>1</v>
      </c>
      <c r="H7" s="6" t="s">
        <v>37</v>
      </c>
      <c r="I7" s="6"/>
      <c r="J7" s="6"/>
      <c r="K7" s="6"/>
      <c r="L7" s="6"/>
      <c r="M7" s="6"/>
      <c r="O7" s="6" t="s">
        <v>34</v>
      </c>
      <c r="P7" s="6" t="s">
        <v>38</v>
      </c>
      <c r="Q7" s="6"/>
      <c r="R7" s="6"/>
      <c r="S7" s="6"/>
      <c r="T7" s="6"/>
      <c r="U7" s="6"/>
    </row>
    <row r="8" spans="1:21" x14ac:dyDescent="0.3">
      <c r="G8" s="6"/>
      <c r="H8" s="6"/>
      <c r="I8" s="6"/>
      <c r="J8" s="6"/>
      <c r="K8" s="6"/>
      <c r="L8" s="6"/>
      <c r="M8" s="6"/>
      <c r="O8" s="6"/>
      <c r="P8" s="6"/>
      <c r="Q8" s="6"/>
      <c r="R8" s="6"/>
      <c r="S8" s="6"/>
      <c r="T8" s="6"/>
      <c r="U8" s="6"/>
    </row>
    <row r="9" spans="1:21" x14ac:dyDescent="0.3">
      <c r="B9" s="15" t="s">
        <v>7</v>
      </c>
      <c r="C9" s="10" t="s">
        <v>8</v>
      </c>
      <c r="D9" s="10" t="s">
        <v>9</v>
      </c>
      <c r="G9" s="6"/>
      <c r="H9" s="6" t="s">
        <v>15</v>
      </c>
      <c r="I9" s="6"/>
      <c r="J9" s="6"/>
      <c r="K9" s="6"/>
      <c r="L9" s="6"/>
      <c r="M9" s="6"/>
      <c r="O9" s="6"/>
      <c r="P9" s="6" t="s">
        <v>17</v>
      </c>
      <c r="Q9" s="6"/>
      <c r="R9" s="6"/>
      <c r="S9" s="6"/>
      <c r="T9" s="6"/>
      <c r="U9" s="6"/>
    </row>
    <row r="10" spans="1:21" x14ac:dyDescent="0.3">
      <c r="B10" s="18">
        <v>1</v>
      </c>
      <c r="C10" s="16">
        <v>3.5000000000000003E-2</v>
      </c>
      <c r="D10" s="17">
        <v>2500000</v>
      </c>
      <c r="G10" s="6"/>
      <c r="H10" s="6" t="s">
        <v>16</v>
      </c>
      <c r="I10" s="6"/>
      <c r="J10" s="6"/>
      <c r="K10" s="6"/>
      <c r="L10" s="6"/>
      <c r="M10" s="6"/>
      <c r="O10" s="6"/>
      <c r="P10" s="6"/>
      <c r="Q10" s="6"/>
      <c r="R10" s="6"/>
      <c r="S10" s="6"/>
      <c r="T10" s="6"/>
      <c r="U10" s="6"/>
    </row>
    <row r="11" spans="1:21" x14ac:dyDescent="0.3">
      <c r="B11" s="18">
        <v>2</v>
      </c>
      <c r="C11" s="16">
        <v>0.04</v>
      </c>
      <c r="D11" s="17">
        <v>2800000</v>
      </c>
      <c r="G11" s="6"/>
      <c r="H11" s="6"/>
      <c r="I11" s="6"/>
      <c r="J11" s="6"/>
      <c r="K11" s="6"/>
      <c r="L11" s="6"/>
      <c r="M11" s="6"/>
      <c r="O11" s="6"/>
      <c r="P11" s="6"/>
      <c r="Q11" s="6"/>
      <c r="R11" s="6"/>
      <c r="S11" s="6"/>
      <c r="T11" s="6"/>
      <c r="U11" s="6"/>
    </row>
    <row r="12" spans="1:21" x14ac:dyDescent="0.3">
      <c r="B12" s="18">
        <v>3</v>
      </c>
      <c r="C12" s="16">
        <v>4.4999999999999998E-2</v>
      </c>
      <c r="D12" s="17">
        <v>3900000</v>
      </c>
      <c r="G12" s="6"/>
      <c r="H12" s="6"/>
      <c r="I12" s="6"/>
      <c r="J12" s="6"/>
      <c r="K12" s="6"/>
      <c r="L12" s="6"/>
      <c r="M12" s="6"/>
      <c r="O12" s="6"/>
      <c r="P12" s="6"/>
      <c r="Q12" s="6"/>
      <c r="R12" s="6"/>
      <c r="S12" s="6"/>
      <c r="T12" s="6"/>
      <c r="U12" s="6"/>
    </row>
    <row r="13" spans="1:21" x14ac:dyDescent="0.3">
      <c r="B13" s="18">
        <v>4</v>
      </c>
      <c r="C13" s="16">
        <v>0.05</v>
      </c>
      <c r="D13" s="17">
        <v>4000000</v>
      </c>
      <c r="G13" s="3"/>
      <c r="H13" s="3"/>
      <c r="I13" s="3"/>
      <c r="J13" s="23">
        <v>5.2498435640418936E-2</v>
      </c>
      <c r="K13" s="3"/>
      <c r="L13" s="3"/>
      <c r="M13" s="3"/>
      <c r="N13" s="35"/>
      <c r="O13" s="4"/>
      <c r="P13" s="4"/>
      <c r="Q13" s="4"/>
      <c r="R13" s="4"/>
      <c r="S13" s="4"/>
      <c r="T13" s="4"/>
    </row>
    <row r="14" spans="1:21" x14ac:dyDescent="0.3">
      <c r="B14" s="19">
        <v>5</v>
      </c>
      <c r="C14" s="16">
        <v>5.5E-2</v>
      </c>
      <c r="D14" s="17">
        <v>5300000</v>
      </c>
      <c r="G14" s="3"/>
      <c r="M14" s="3"/>
      <c r="N14" s="35"/>
      <c r="O14" s="4"/>
      <c r="P14" s="4"/>
      <c r="Q14" s="4"/>
      <c r="R14" s="4"/>
      <c r="S14" s="4"/>
      <c r="T14" s="4"/>
    </row>
    <row r="15" spans="1:21" ht="46.8" x14ac:dyDescent="0.3">
      <c r="B15" s="18">
        <v>6</v>
      </c>
      <c r="C15" s="16">
        <v>0.06</v>
      </c>
      <c r="D15" s="17">
        <v>5100000</v>
      </c>
      <c r="G15" s="3"/>
      <c r="H15" s="20" t="s">
        <v>18</v>
      </c>
      <c r="I15" s="21" t="s">
        <v>19</v>
      </c>
      <c r="J15" s="22" t="s">
        <v>20</v>
      </c>
      <c r="K15" s="22" t="s">
        <v>22</v>
      </c>
      <c r="L15" s="22" t="s">
        <v>21</v>
      </c>
      <c r="M15" s="3"/>
      <c r="N15" s="35"/>
      <c r="O15" s="4"/>
      <c r="P15" s="4"/>
      <c r="Q15" s="4"/>
      <c r="R15" s="4"/>
      <c r="S15" s="4"/>
      <c r="T15" s="4"/>
    </row>
    <row r="16" spans="1:21" x14ac:dyDescent="0.3">
      <c r="C16" s="11"/>
      <c r="D16" s="11"/>
      <c r="G16" s="3"/>
      <c r="H16" s="24">
        <f>(1+C10)^-B10*D10</f>
        <v>2415458.937198068</v>
      </c>
      <c r="I16" s="24">
        <f>B10*H16</f>
        <v>2415458.937198068</v>
      </c>
      <c r="J16" s="24">
        <f>(1+$J$13)^-B10*D10</f>
        <v>2375300.4425881281</v>
      </c>
      <c r="K16" s="24">
        <f>D10*(1+C10-0.005)^-B10</f>
        <v>2427184.4660194176</v>
      </c>
      <c r="L16" s="24">
        <f>D10*(1+C10+0.005)^-B10</f>
        <v>2403846.153846154</v>
      </c>
      <c r="M16" s="3"/>
      <c r="N16" s="35"/>
      <c r="O16" s="4"/>
      <c r="P16" s="36" t="s">
        <v>35</v>
      </c>
      <c r="Q16" s="4"/>
      <c r="R16" s="4"/>
      <c r="S16" s="4"/>
      <c r="T16" s="4"/>
    </row>
    <row r="17" spans="1:20" x14ac:dyDescent="0.3">
      <c r="B17" s="6" t="s">
        <v>10</v>
      </c>
      <c r="G17" s="3"/>
      <c r="H17" s="24">
        <f t="shared" ref="H17:H21" si="0">(1+C11)^-B11*D11</f>
        <v>2588757.3964497037</v>
      </c>
      <c r="I17" s="24">
        <f t="shared" ref="I17:I21" si="1">B11*H17</f>
        <v>5177514.7928994074</v>
      </c>
      <c r="J17" s="24">
        <f t="shared" ref="J17:J21" si="2">(1+$J$13)^-B11*D11</f>
        <v>2527639.3822665927</v>
      </c>
      <c r="K17" s="24">
        <f t="shared" ref="K17:K21" si="3">D11*(1+C11-0.005)^-B11</f>
        <v>2613829.9610259277</v>
      </c>
      <c r="L17" s="24">
        <f t="shared" ref="L17:L21" si="4">D11*(1+C11+0.005)^-B11</f>
        <v>2564043.8634646647</v>
      </c>
      <c r="M17" s="3"/>
      <c r="N17" s="35"/>
      <c r="O17" s="4"/>
      <c r="P17" s="36" t="s">
        <v>36</v>
      </c>
      <c r="Q17" s="4"/>
      <c r="R17" s="4"/>
      <c r="S17" s="4"/>
      <c r="T17" s="4"/>
    </row>
    <row r="18" spans="1:20" x14ac:dyDescent="0.3">
      <c r="C18" s="12"/>
      <c r="D18" s="12"/>
      <c r="G18" s="3"/>
      <c r="H18" s="24">
        <f t="shared" si="0"/>
        <v>3417556.7558141463</v>
      </c>
      <c r="I18" s="24">
        <f t="shared" si="1"/>
        <v>10252670.267442439</v>
      </c>
      <c r="J18" s="24">
        <f t="shared" si="2"/>
        <v>3345031.6398948547</v>
      </c>
      <c r="K18" s="24">
        <f t="shared" si="3"/>
        <v>3467085.7988165678</v>
      </c>
      <c r="L18" s="24">
        <f t="shared" si="4"/>
        <v>3368966.6342727584</v>
      </c>
      <c r="M18" s="3"/>
      <c r="N18" s="35"/>
      <c r="O18" s="4"/>
      <c r="Q18" s="4"/>
      <c r="R18" s="4"/>
      <c r="S18" s="4"/>
      <c r="T18" s="4"/>
    </row>
    <row r="19" spans="1:20" x14ac:dyDescent="0.3">
      <c r="A19" s="13" t="s">
        <v>4</v>
      </c>
      <c r="C19" s="11"/>
      <c r="D19" s="11"/>
      <c r="G19" s="3"/>
      <c r="H19" s="24">
        <f t="shared" si="0"/>
        <v>3290809.8991675279</v>
      </c>
      <c r="I19" s="24">
        <f t="shared" si="1"/>
        <v>13163239.596670112</v>
      </c>
      <c r="J19" s="24">
        <f t="shared" si="2"/>
        <v>3259673.9014209406</v>
      </c>
      <c r="K19" s="24">
        <f t="shared" si="3"/>
        <v>3354245.3743728562</v>
      </c>
      <c r="L19" s="24">
        <f t="shared" si="4"/>
        <v>3228866.9732088065</v>
      </c>
      <c r="M19" s="3"/>
      <c r="N19" s="35"/>
      <c r="O19" s="4"/>
      <c r="P19" s="36"/>
      <c r="Q19" s="4"/>
      <c r="R19" s="4"/>
      <c r="S19" s="4"/>
      <c r="T19" s="4"/>
    </row>
    <row r="20" spans="1:20" x14ac:dyDescent="0.3">
      <c r="B20" s="6" t="s">
        <v>11</v>
      </c>
      <c r="C20" s="11"/>
      <c r="D20" s="11"/>
      <c r="G20" s="3"/>
      <c r="H20" s="24">
        <f t="shared" si="0"/>
        <v>4055212.075357032</v>
      </c>
      <c r="I20" s="24">
        <f t="shared" si="1"/>
        <v>20276060.376785159</v>
      </c>
      <c r="J20" s="24">
        <f t="shared" si="2"/>
        <v>4103633.5761912102</v>
      </c>
      <c r="K20" s="24">
        <f t="shared" si="3"/>
        <v>4152688.6822828325</v>
      </c>
      <c r="L20" s="24">
        <f t="shared" si="4"/>
        <v>3960468.3161901059</v>
      </c>
      <c r="M20" s="3"/>
      <c r="N20" s="35"/>
      <c r="O20" s="4"/>
      <c r="P20" s="4"/>
      <c r="Q20" s="4"/>
      <c r="R20" s="4"/>
      <c r="S20" s="4"/>
      <c r="T20" s="4"/>
    </row>
    <row r="21" spans="1:20" x14ac:dyDescent="0.3">
      <c r="C21" s="11"/>
      <c r="D21" s="11"/>
      <c r="G21" s="3"/>
      <c r="H21" s="25">
        <f t="shared" si="0"/>
        <v>3595298.7562423488</v>
      </c>
      <c r="I21" s="25">
        <f t="shared" si="1"/>
        <v>21571792.537454091</v>
      </c>
      <c r="J21" s="25">
        <f t="shared" si="2"/>
        <v>3751815.0576382698</v>
      </c>
      <c r="K21" s="25">
        <f t="shared" si="3"/>
        <v>3698753.7484254381</v>
      </c>
      <c r="L21" s="25">
        <f t="shared" si="4"/>
        <v>3495204.0058749956</v>
      </c>
      <c r="M21" s="3"/>
      <c r="N21" s="35"/>
      <c r="O21" s="4"/>
      <c r="P21" s="4"/>
      <c r="Q21" s="4"/>
      <c r="R21" s="4"/>
      <c r="S21" s="4"/>
      <c r="T21" s="4"/>
    </row>
    <row r="22" spans="1:20" x14ac:dyDescent="0.3">
      <c r="B22" s="6" t="s">
        <v>12</v>
      </c>
      <c r="C22" s="11"/>
      <c r="D22" s="11"/>
      <c r="G22" s="3"/>
      <c r="H22" s="24">
        <f>SUM(H16:H21)</f>
        <v>19363093.82022883</v>
      </c>
      <c r="I22" s="24">
        <f>SUM(I16:I21)</f>
        <v>72856736.508449286</v>
      </c>
      <c r="J22" s="24">
        <f>SUM(J16:J21)</f>
        <v>19363093.999999993</v>
      </c>
      <c r="K22" s="24">
        <f t="shared" ref="K22:L22" si="5">SUM(K16:K21)</f>
        <v>19713788.03094304</v>
      </c>
      <c r="L22" s="24">
        <f t="shared" si="5"/>
        <v>19021395.946857482</v>
      </c>
      <c r="M22" s="3"/>
      <c r="N22" s="35"/>
      <c r="O22" s="4"/>
      <c r="P22" s="4"/>
      <c r="Q22" s="4"/>
      <c r="R22" s="4"/>
      <c r="S22" s="4"/>
      <c r="T22" s="4"/>
    </row>
    <row r="23" spans="1:20" x14ac:dyDescent="0.3">
      <c r="C23" s="11"/>
      <c r="D23" s="11"/>
      <c r="G23" s="3"/>
      <c r="H23" s="3"/>
      <c r="I23" s="3"/>
      <c r="J23" s="3"/>
      <c r="K23" s="3"/>
      <c r="L23" s="3"/>
      <c r="M23" s="3"/>
      <c r="N23" s="35"/>
      <c r="O23" s="4"/>
      <c r="P23" s="4"/>
      <c r="Q23" s="4"/>
      <c r="R23" s="4"/>
      <c r="S23" s="4"/>
      <c r="T23" s="4"/>
    </row>
    <row r="24" spans="1:20" x14ac:dyDescent="0.3">
      <c r="B24" s="6" t="s">
        <v>13</v>
      </c>
      <c r="C24" s="11"/>
      <c r="D24" s="11"/>
      <c r="G24" s="3"/>
      <c r="H24" s="3"/>
      <c r="I24" s="3"/>
      <c r="J24" s="3"/>
      <c r="K24" s="3"/>
      <c r="L24" s="3"/>
      <c r="M24" s="3"/>
      <c r="N24" s="35"/>
      <c r="O24" s="4"/>
      <c r="P24" s="4"/>
      <c r="Q24" s="4"/>
      <c r="R24" s="4"/>
      <c r="S24" s="4"/>
      <c r="T24" s="4"/>
    </row>
    <row r="25" spans="1:20" x14ac:dyDescent="0.3">
      <c r="C25" s="11"/>
      <c r="D25" s="11"/>
      <c r="G25" s="3"/>
      <c r="H25" s="31" t="s">
        <v>27</v>
      </c>
      <c r="I25" s="3"/>
      <c r="J25" s="3"/>
      <c r="K25" s="3"/>
      <c r="L25" s="3"/>
      <c r="M25" s="3"/>
      <c r="N25" s="35"/>
      <c r="O25" s="4"/>
      <c r="P25" s="4"/>
      <c r="Q25" s="4"/>
      <c r="R25" s="4"/>
      <c r="S25" s="4"/>
      <c r="T25" s="4"/>
    </row>
    <row r="26" spans="1:20" x14ac:dyDescent="0.3">
      <c r="B26" s="6" t="s">
        <v>2</v>
      </c>
      <c r="G26" s="3"/>
      <c r="H26" s="26"/>
      <c r="I26" s="26"/>
      <c r="J26" s="26"/>
      <c r="K26" s="26"/>
      <c r="L26" s="26"/>
      <c r="M26" s="3"/>
      <c r="N26" s="35"/>
      <c r="O26" s="4"/>
      <c r="P26" s="4"/>
      <c r="Q26" s="4"/>
      <c r="R26" s="4"/>
      <c r="S26" s="4"/>
      <c r="T26" s="4"/>
    </row>
    <row r="27" spans="1:20" x14ac:dyDescent="0.3">
      <c r="G27" s="3"/>
      <c r="H27" s="26" t="s">
        <v>23</v>
      </c>
      <c r="I27" s="26"/>
      <c r="J27" s="26"/>
      <c r="K27" s="26"/>
      <c r="L27" s="26"/>
      <c r="M27" s="3"/>
      <c r="N27" s="35"/>
      <c r="O27" s="4"/>
      <c r="P27" s="4"/>
      <c r="Q27" s="4"/>
      <c r="R27" s="4"/>
      <c r="S27" s="4"/>
      <c r="T27" s="4"/>
    </row>
    <row r="28" spans="1:20" x14ac:dyDescent="0.3">
      <c r="A28" s="13" t="s">
        <v>3</v>
      </c>
      <c r="D28" s="14"/>
      <c r="G28" s="3"/>
      <c r="H28" s="26"/>
      <c r="I28" s="26"/>
      <c r="J28" s="26"/>
      <c r="K28" s="26"/>
      <c r="L28" s="26"/>
      <c r="M28" s="3"/>
      <c r="N28" s="35"/>
      <c r="O28" s="4"/>
      <c r="P28" s="4"/>
      <c r="Q28" s="4"/>
      <c r="R28" s="4"/>
      <c r="S28" s="4"/>
      <c r="T28" s="4"/>
    </row>
    <row r="29" spans="1:20" x14ac:dyDescent="0.3">
      <c r="B29" s="6" t="s">
        <v>14</v>
      </c>
      <c r="C29" s="11"/>
      <c r="D29" s="14"/>
      <c r="G29" s="3"/>
      <c r="H29" s="26"/>
      <c r="I29" s="26"/>
      <c r="J29" s="26"/>
      <c r="K29" s="26"/>
      <c r="L29" s="26"/>
      <c r="M29" s="3"/>
      <c r="N29" s="35"/>
      <c r="O29" s="4"/>
      <c r="P29" s="4"/>
      <c r="Q29" s="4"/>
      <c r="R29" s="4"/>
      <c r="S29" s="4"/>
      <c r="T29" s="4"/>
    </row>
    <row r="30" spans="1:20" x14ac:dyDescent="0.3">
      <c r="C30" s="11"/>
      <c r="G30" s="3"/>
      <c r="H30" s="26"/>
      <c r="I30" s="26"/>
      <c r="J30" s="26"/>
      <c r="K30" s="26"/>
      <c r="L30" s="26"/>
      <c r="M30" s="3"/>
      <c r="N30" s="35"/>
      <c r="O30" s="4"/>
      <c r="P30" s="4"/>
      <c r="Q30" s="4"/>
      <c r="R30" s="4"/>
      <c r="S30" s="4"/>
      <c r="T30" s="4"/>
    </row>
    <row r="31" spans="1:20" x14ac:dyDescent="0.3">
      <c r="B31" s="6" t="s">
        <v>17</v>
      </c>
      <c r="C31" s="11"/>
      <c r="G31" s="3"/>
      <c r="H31" s="26" t="s">
        <v>24</v>
      </c>
      <c r="I31" s="26"/>
      <c r="J31" s="26"/>
      <c r="K31" s="27">
        <f>I22/H22</f>
        <v>3.762659892311996</v>
      </c>
      <c r="L31" s="26"/>
      <c r="M31" s="3"/>
      <c r="N31" s="35"/>
      <c r="O31" s="4"/>
      <c r="P31" s="4"/>
      <c r="Q31" s="4"/>
      <c r="R31" s="4"/>
      <c r="S31" s="4"/>
      <c r="T31" s="4"/>
    </row>
    <row r="32" spans="1:20" x14ac:dyDescent="0.3">
      <c r="G32" s="3"/>
      <c r="H32" s="26"/>
      <c r="I32" s="26"/>
      <c r="J32" s="26"/>
      <c r="K32" s="26"/>
      <c r="L32" s="26"/>
      <c r="M32" s="3"/>
      <c r="N32" s="35"/>
      <c r="O32" s="4"/>
      <c r="P32" s="4"/>
      <c r="Q32" s="4"/>
      <c r="R32" s="4"/>
      <c r="S32" s="4"/>
      <c r="T32" s="4"/>
    </row>
    <row r="33" spans="7:20" x14ac:dyDescent="0.3">
      <c r="G33" s="3"/>
      <c r="H33" s="26" t="s">
        <v>25</v>
      </c>
      <c r="I33" s="28"/>
      <c r="J33" s="26"/>
      <c r="K33" s="27">
        <f>K31/(1+J13)</f>
        <v>3.5749790830069132</v>
      </c>
      <c r="L33" s="26"/>
      <c r="M33" s="3"/>
      <c r="N33" s="35"/>
      <c r="O33" s="4"/>
      <c r="P33" s="4"/>
      <c r="Q33" s="4"/>
      <c r="R33" s="4"/>
      <c r="S33" s="4"/>
      <c r="T33" s="4"/>
    </row>
    <row r="34" spans="7:20" x14ac:dyDescent="0.3">
      <c r="G34" s="3"/>
      <c r="H34" s="26"/>
      <c r="I34" s="26"/>
      <c r="J34" s="26"/>
      <c r="K34" s="26"/>
      <c r="L34" s="26"/>
      <c r="M34" s="3"/>
      <c r="N34" s="35"/>
      <c r="O34" s="4"/>
      <c r="P34" s="4"/>
      <c r="Q34" s="4"/>
      <c r="R34" s="4"/>
      <c r="S34" s="4"/>
      <c r="T34" s="4"/>
    </row>
    <row r="35" spans="7:20" x14ac:dyDescent="0.3">
      <c r="G35" s="3"/>
      <c r="H35" s="26"/>
      <c r="I35" s="26"/>
      <c r="J35" s="26"/>
      <c r="K35" s="26"/>
      <c r="L35" s="26"/>
      <c r="M35" s="3"/>
      <c r="N35" s="35"/>
      <c r="O35" s="4"/>
      <c r="P35" s="4"/>
      <c r="Q35" s="4"/>
      <c r="R35" s="4"/>
      <c r="S35" s="4"/>
      <c r="T35" s="4"/>
    </row>
    <row r="36" spans="7:20" x14ac:dyDescent="0.3">
      <c r="G36" s="3"/>
      <c r="H36" s="26" t="s">
        <v>26</v>
      </c>
      <c r="I36" s="26"/>
      <c r="J36" s="26"/>
      <c r="K36" s="29">
        <f>H22*(1-K33/100)^0.5</f>
        <v>19013830.613083687</v>
      </c>
      <c r="L36" s="26"/>
      <c r="M36" s="3"/>
      <c r="N36" s="35"/>
      <c r="O36" s="4"/>
      <c r="P36" s="4"/>
      <c r="Q36" s="4"/>
      <c r="R36" s="4"/>
      <c r="S36" s="4"/>
      <c r="T36" s="4"/>
    </row>
    <row r="37" spans="7:20" x14ac:dyDescent="0.3">
      <c r="G37" s="3"/>
      <c r="H37" s="26"/>
      <c r="I37" s="26"/>
      <c r="J37" s="26"/>
      <c r="K37" s="29"/>
      <c r="L37" s="30"/>
      <c r="M37" s="3"/>
      <c r="N37" s="35"/>
      <c r="O37" s="4"/>
      <c r="P37" s="4"/>
      <c r="Q37" s="4"/>
      <c r="R37" s="4"/>
      <c r="S37" s="4"/>
      <c r="T37" s="4"/>
    </row>
    <row r="38" spans="7:20" x14ac:dyDescent="0.3">
      <c r="G38" s="3"/>
      <c r="H38" s="3"/>
      <c r="I38" s="3"/>
      <c r="J38" s="3"/>
      <c r="K38" s="3"/>
      <c r="L38" s="3"/>
      <c r="M38" s="3"/>
      <c r="N38" s="35"/>
      <c r="O38" s="4"/>
      <c r="P38" s="4"/>
      <c r="Q38" s="4"/>
      <c r="R38" s="4"/>
      <c r="S38" s="4"/>
      <c r="T38" s="4"/>
    </row>
    <row r="39" spans="7:20" x14ac:dyDescent="0.3">
      <c r="G39" s="3"/>
      <c r="H39" s="31" t="s">
        <v>33</v>
      </c>
      <c r="M39" s="3"/>
      <c r="N39" s="35"/>
      <c r="O39" s="4"/>
      <c r="P39" s="4"/>
      <c r="Q39" s="4"/>
      <c r="R39" s="4"/>
      <c r="S39" s="4"/>
      <c r="T39" s="4"/>
    </row>
    <row r="40" spans="7:20" x14ac:dyDescent="0.3">
      <c r="G40" s="3"/>
      <c r="H40" s="3"/>
      <c r="I40" s="3"/>
      <c r="J40" s="3"/>
      <c r="K40" s="3"/>
      <c r="L40" s="3"/>
      <c r="M40" s="3"/>
      <c r="N40" s="35"/>
      <c r="O40" s="4"/>
      <c r="P40" s="4"/>
      <c r="Q40" s="4"/>
      <c r="R40" s="4"/>
      <c r="S40" s="4"/>
      <c r="T40" s="4"/>
    </row>
    <row r="41" spans="7:20" x14ac:dyDescent="0.3">
      <c r="G41" s="3"/>
      <c r="H41" s="3"/>
      <c r="I41" s="3"/>
      <c r="J41" s="3"/>
      <c r="K41" s="3"/>
      <c r="L41" s="3"/>
      <c r="M41" s="3"/>
      <c r="N41" s="35"/>
      <c r="O41" s="4"/>
      <c r="P41" s="4"/>
      <c r="Q41" s="4"/>
      <c r="R41" s="4"/>
      <c r="S41" s="4"/>
      <c r="T41" s="4"/>
    </row>
    <row r="42" spans="7:20" x14ac:dyDescent="0.3">
      <c r="G42" s="3"/>
      <c r="H42" s="26" t="s">
        <v>28</v>
      </c>
      <c r="I42" s="26"/>
      <c r="J42" s="26"/>
      <c r="K42" s="26"/>
      <c r="L42" s="26"/>
      <c r="M42" s="3"/>
      <c r="N42" s="35"/>
      <c r="O42" s="4"/>
      <c r="P42" s="4"/>
      <c r="Q42" s="4"/>
      <c r="R42" s="4"/>
      <c r="S42" s="4"/>
      <c r="T42" s="4"/>
    </row>
    <row r="43" spans="7:20" x14ac:dyDescent="0.3">
      <c r="G43" s="3"/>
      <c r="H43" s="26"/>
      <c r="I43" s="26"/>
      <c r="J43" s="26"/>
      <c r="K43" s="26"/>
      <c r="L43" s="32"/>
      <c r="M43" s="3"/>
      <c r="N43" s="35"/>
      <c r="O43" s="4"/>
      <c r="P43" s="4"/>
      <c r="Q43" s="4"/>
      <c r="R43" s="4"/>
      <c r="S43" s="4"/>
      <c r="T43" s="4"/>
    </row>
    <row r="44" spans="7:20" x14ac:dyDescent="0.3">
      <c r="G44" s="3"/>
      <c r="H44" s="26"/>
      <c r="I44" s="33"/>
      <c r="J44" s="26"/>
      <c r="K44" s="26"/>
      <c r="L44" s="32"/>
      <c r="M44" s="3"/>
      <c r="N44" s="35"/>
      <c r="O44" s="4"/>
      <c r="P44" s="4"/>
      <c r="Q44" s="4"/>
      <c r="R44" s="4"/>
      <c r="S44" s="4"/>
      <c r="T44" s="4"/>
    </row>
    <row r="45" spans="7:20" x14ac:dyDescent="0.3">
      <c r="G45" s="3"/>
      <c r="H45" s="26" t="s">
        <v>29</v>
      </c>
      <c r="I45" s="33"/>
      <c r="J45" s="26"/>
      <c r="K45" s="34">
        <f>K22-L22</f>
        <v>692392.08408555761</v>
      </c>
      <c r="L45" s="26"/>
      <c r="M45" s="3"/>
      <c r="N45" s="35"/>
      <c r="O45" s="4"/>
      <c r="P45" s="4"/>
      <c r="Q45" s="4"/>
      <c r="R45" s="4"/>
      <c r="S45" s="4"/>
      <c r="T45" s="4"/>
    </row>
    <row r="46" spans="7:20" x14ac:dyDescent="0.3">
      <c r="G46" s="3"/>
      <c r="H46" s="26" t="s">
        <v>30</v>
      </c>
      <c r="I46" s="33"/>
      <c r="J46" s="26"/>
      <c r="K46" s="34">
        <f>2*H22*0.005</f>
        <v>193630.93820228829</v>
      </c>
      <c r="L46" s="26"/>
      <c r="M46" s="3"/>
      <c r="N46" s="35"/>
      <c r="O46" s="4"/>
      <c r="P46" s="4"/>
      <c r="Q46" s="4"/>
      <c r="R46" s="4"/>
      <c r="S46" s="4"/>
      <c r="T46" s="4"/>
    </row>
    <row r="47" spans="7:20" x14ac:dyDescent="0.3">
      <c r="G47" s="3"/>
      <c r="H47" s="26" t="s">
        <v>31</v>
      </c>
      <c r="I47" s="26"/>
      <c r="J47" s="26"/>
      <c r="K47" s="27">
        <f>K45/K46</f>
        <v>3.5758339577026077</v>
      </c>
      <c r="L47" s="26"/>
      <c r="M47" s="3"/>
      <c r="N47" s="35"/>
      <c r="O47" s="4"/>
      <c r="P47" s="4"/>
      <c r="Q47" s="4"/>
      <c r="R47" s="4"/>
      <c r="S47" s="4"/>
      <c r="T47" s="4"/>
    </row>
    <row r="48" spans="7:20" x14ac:dyDescent="0.3">
      <c r="G48" s="3"/>
      <c r="H48" s="26" t="s">
        <v>32</v>
      </c>
      <c r="I48" s="33"/>
      <c r="J48" s="26"/>
      <c r="K48" s="29">
        <f>H22*(1-K47/100)^0.5</f>
        <v>19013746.327498205</v>
      </c>
      <c r="L48" s="26"/>
      <c r="M48" s="3"/>
      <c r="N48" s="35"/>
      <c r="O48" s="4"/>
      <c r="P48" s="4"/>
      <c r="Q48" s="4"/>
      <c r="R48" s="4"/>
      <c r="S48" s="4"/>
      <c r="T48" s="4"/>
    </row>
    <row r="49" spans="7:20" x14ac:dyDescent="0.3">
      <c r="G49" s="3"/>
      <c r="H49" s="3"/>
      <c r="I49" s="3"/>
      <c r="J49" s="3"/>
      <c r="K49" s="3"/>
      <c r="L49" s="3"/>
      <c r="M49" s="3"/>
      <c r="N49" s="35"/>
      <c r="O49" s="4"/>
      <c r="P49" s="4"/>
      <c r="Q49" s="4"/>
      <c r="R49" s="4"/>
      <c r="S49" s="4"/>
      <c r="T49" s="4"/>
    </row>
    <row r="50" spans="7:20" x14ac:dyDescent="0.3">
      <c r="G50" s="3"/>
      <c r="H50" s="3"/>
      <c r="I50" s="3"/>
      <c r="J50" s="3"/>
      <c r="K50" s="3"/>
      <c r="L50" s="3"/>
      <c r="M50" s="3"/>
      <c r="N50" s="35"/>
      <c r="O50" s="4"/>
      <c r="P50" s="4"/>
      <c r="Q50" s="4"/>
      <c r="R50" s="4"/>
      <c r="S50" s="4"/>
      <c r="T50" s="4"/>
    </row>
    <row r="51" spans="7:20" x14ac:dyDescent="0.3">
      <c r="G51" s="3"/>
      <c r="H51" s="3"/>
      <c r="I51" s="3"/>
      <c r="J51" s="3"/>
      <c r="K51" s="3"/>
      <c r="L51" s="3"/>
      <c r="M51" s="3"/>
      <c r="N51" s="35"/>
      <c r="O51" s="4"/>
      <c r="P51" s="4"/>
      <c r="Q51" s="4"/>
      <c r="R51" s="4"/>
      <c r="S51" s="4"/>
      <c r="T51" s="4"/>
    </row>
    <row r="52" spans="7:20" x14ac:dyDescent="0.3">
      <c r="G52" s="3"/>
      <c r="H52" s="3"/>
      <c r="I52" s="3"/>
      <c r="J52" s="3"/>
      <c r="K52" s="3"/>
      <c r="L52" s="3"/>
      <c r="M52" s="3"/>
      <c r="N52" s="35"/>
      <c r="O52" s="4"/>
      <c r="P52" s="4"/>
      <c r="Q52" s="4"/>
      <c r="R52" s="4"/>
      <c r="S52" s="4"/>
      <c r="T52" s="4"/>
    </row>
    <row r="53" spans="7:20" x14ac:dyDescent="0.3">
      <c r="G53" s="3"/>
      <c r="H53" s="3"/>
      <c r="I53" s="3"/>
      <c r="J53" s="3"/>
      <c r="K53" s="3"/>
      <c r="L53" s="3"/>
      <c r="M53" s="3"/>
      <c r="N53" s="35"/>
      <c r="O53" s="4"/>
      <c r="P53" s="4"/>
      <c r="Q53" s="4"/>
      <c r="R53" s="4"/>
      <c r="S53" s="4"/>
      <c r="T53" s="4"/>
    </row>
    <row r="54" spans="7:20" x14ac:dyDescent="0.3">
      <c r="G54" s="3"/>
      <c r="H54" s="3"/>
      <c r="I54" s="3"/>
      <c r="J54" s="3"/>
      <c r="K54" s="3"/>
      <c r="L54" s="3"/>
      <c r="M54" s="3"/>
      <c r="N54" s="35"/>
      <c r="O54" s="4"/>
      <c r="P54" s="4"/>
      <c r="Q54" s="4"/>
      <c r="R54" s="4"/>
      <c r="S54" s="4"/>
      <c r="T54" s="4"/>
    </row>
    <row r="55" spans="7:20" x14ac:dyDescent="0.3">
      <c r="G55" s="3"/>
      <c r="H55" s="3"/>
      <c r="I55" s="3"/>
      <c r="J55" s="3"/>
      <c r="K55" s="3"/>
      <c r="L55" s="3"/>
      <c r="M55" s="3"/>
      <c r="N55" s="35"/>
      <c r="O55" s="4"/>
      <c r="P55" s="4"/>
      <c r="Q55" s="4"/>
      <c r="R55" s="4"/>
      <c r="S55" s="4"/>
      <c r="T55" s="4"/>
    </row>
    <row r="56" spans="7:20" x14ac:dyDescent="0.3">
      <c r="G56" s="3"/>
      <c r="H56" s="3"/>
      <c r="I56" s="3"/>
      <c r="J56" s="3"/>
      <c r="K56" s="3"/>
      <c r="L56" s="3"/>
      <c r="M56" s="3"/>
      <c r="N56" s="35"/>
      <c r="O56" s="4"/>
      <c r="P56" s="4"/>
      <c r="Q56" s="4"/>
      <c r="R56" s="4"/>
      <c r="S56" s="4"/>
      <c r="T56" s="4"/>
    </row>
    <row r="57" spans="7:20" x14ac:dyDescent="0.3">
      <c r="G57" s="3"/>
      <c r="H57" s="3"/>
      <c r="I57" s="3"/>
      <c r="J57" s="3"/>
      <c r="K57" s="3"/>
      <c r="L57" s="3"/>
      <c r="M57" s="3"/>
      <c r="N57" s="35"/>
      <c r="O57" s="4"/>
      <c r="P57" s="4"/>
      <c r="Q57" s="4"/>
      <c r="R57" s="4"/>
      <c r="S57" s="4"/>
      <c r="T57" s="4"/>
    </row>
    <row r="58" spans="7:20" x14ac:dyDescent="0.3">
      <c r="G58" s="3"/>
      <c r="H58" s="3"/>
      <c r="I58" s="3"/>
      <c r="J58" s="3"/>
      <c r="K58" s="3"/>
      <c r="L58" s="3"/>
      <c r="M58" s="3"/>
      <c r="N58" s="35"/>
      <c r="O58" s="4"/>
      <c r="P58" s="4"/>
      <c r="Q58" s="4"/>
      <c r="R58" s="4"/>
      <c r="S58" s="4"/>
      <c r="T58" s="4"/>
    </row>
    <row r="59" spans="7:20" x14ac:dyDescent="0.3">
      <c r="G59" s="3"/>
      <c r="H59" s="3"/>
      <c r="I59" s="3"/>
      <c r="J59" s="3"/>
      <c r="K59" s="3"/>
      <c r="L59" s="3"/>
      <c r="M59" s="3"/>
      <c r="N59" s="35"/>
      <c r="O59" s="4"/>
      <c r="P59" s="4"/>
      <c r="Q59" s="4"/>
      <c r="R59" s="4"/>
      <c r="S59" s="4"/>
      <c r="T59" s="4"/>
    </row>
    <row r="60" spans="7:20" x14ac:dyDescent="0.3">
      <c r="G60" s="3"/>
      <c r="H60" s="3"/>
      <c r="I60" s="3"/>
      <c r="J60" s="3"/>
      <c r="K60" s="3"/>
      <c r="L60" s="3"/>
      <c r="M60" s="3"/>
      <c r="N60" s="35"/>
      <c r="O60" s="4"/>
      <c r="P60" s="4"/>
      <c r="Q60" s="4"/>
      <c r="R60" s="4"/>
      <c r="S60" s="4"/>
      <c r="T60" s="4"/>
    </row>
    <row r="61" spans="7:20" x14ac:dyDescent="0.3">
      <c r="G61" s="3"/>
      <c r="H61" s="3"/>
      <c r="I61" s="3"/>
      <c r="J61" s="3"/>
      <c r="K61" s="3"/>
      <c r="L61" s="3"/>
      <c r="M61" s="3"/>
      <c r="N61" s="35"/>
      <c r="O61" s="4"/>
      <c r="P61" s="4"/>
      <c r="Q61" s="4"/>
      <c r="R61" s="4"/>
      <c r="S61" s="4"/>
      <c r="T61" s="4"/>
    </row>
    <row r="62" spans="7:20" x14ac:dyDescent="0.3">
      <c r="G62" s="3"/>
      <c r="H62" s="3"/>
      <c r="I62" s="3"/>
      <c r="J62" s="3"/>
      <c r="K62" s="3"/>
      <c r="L62" s="3"/>
      <c r="M62" s="3"/>
      <c r="N62" s="35"/>
      <c r="O62" s="4"/>
      <c r="P62" s="4"/>
      <c r="Q62" s="4"/>
      <c r="R62" s="4"/>
      <c r="S62" s="4"/>
      <c r="T62" s="4"/>
    </row>
    <row r="63" spans="7:20" x14ac:dyDescent="0.3">
      <c r="G63" s="3"/>
      <c r="H63" s="3"/>
      <c r="I63" s="3"/>
      <c r="J63" s="3"/>
      <c r="K63" s="3"/>
      <c r="L63" s="3"/>
      <c r="M63" s="3"/>
      <c r="N63" s="35"/>
      <c r="O63" s="4"/>
      <c r="P63" s="4"/>
      <c r="Q63" s="4"/>
      <c r="R63" s="4"/>
      <c r="S63" s="4"/>
      <c r="T63" s="4"/>
    </row>
    <row r="64" spans="7:20" x14ac:dyDescent="0.3">
      <c r="G64" s="3"/>
      <c r="H64" s="3"/>
      <c r="I64" s="3"/>
      <c r="J64" s="3"/>
      <c r="K64" s="3"/>
      <c r="L64" s="3"/>
      <c r="M64" s="3"/>
      <c r="N64" s="35"/>
      <c r="O64" s="4"/>
      <c r="P64" s="4"/>
      <c r="Q64" s="4"/>
      <c r="R64" s="4"/>
      <c r="S64" s="4"/>
      <c r="T64" s="4"/>
    </row>
    <row r="65" spans="7:20" x14ac:dyDescent="0.3">
      <c r="G65" s="3"/>
      <c r="H65" s="3"/>
      <c r="I65" s="3"/>
      <c r="J65" s="3"/>
      <c r="K65" s="3"/>
      <c r="L65" s="3"/>
      <c r="M65" s="3"/>
      <c r="N65" s="35"/>
      <c r="O65" s="4"/>
      <c r="P65" s="4"/>
      <c r="Q65" s="4"/>
      <c r="R65" s="4"/>
      <c r="S65" s="4"/>
      <c r="T65" s="4"/>
    </row>
    <row r="66" spans="7:20" x14ac:dyDescent="0.3">
      <c r="G66" s="3"/>
      <c r="H66" s="3"/>
      <c r="I66" s="3"/>
      <c r="J66" s="3"/>
      <c r="K66" s="3"/>
      <c r="L66" s="3"/>
      <c r="M66" s="3"/>
      <c r="N66" s="35"/>
      <c r="O66" s="4"/>
      <c r="P66" s="4"/>
      <c r="Q66" s="4"/>
      <c r="R66" s="4"/>
      <c r="S66" s="4"/>
      <c r="T66" s="4"/>
    </row>
    <row r="67" spans="7:20" x14ac:dyDescent="0.3">
      <c r="G67" s="3"/>
      <c r="H67" s="3"/>
      <c r="I67" s="3"/>
      <c r="J67" s="3"/>
      <c r="K67" s="3"/>
      <c r="L67" s="3"/>
      <c r="M67" s="3"/>
      <c r="N67" s="35"/>
      <c r="O67" s="4"/>
      <c r="P67" s="4"/>
      <c r="Q67" s="4"/>
      <c r="R67" s="4"/>
      <c r="S67" s="4"/>
      <c r="T67" s="4"/>
    </row>
    <row r="68" spans="7:20" x14ac:dyDescent="0.3">
      <c r="G68" s="3"/>
      <c r="H68" s="3"/>
      <c r="I68" s="3"/>
      <c r="J68" s="3"/>
      <c r="K68" s="3"/>
      <c r="L68" s="3"/>
      <c r="M68" s="3"/>
      <c r="N68" s="35"/>
      <c r="O68" s="4"/>
      <c r="P68" s="4"/>
      <c r="Q68" s="4"/>
      <c r="R68" s="4"/>
      <c r="S68" s="4"/>
      <c r="T68" s="4"/>
    </row>
    <row r="69" spans="7:20" x14ac:dyDescent="0.3">
      <c r="G69" s="3"/>
      <c r="H69" s="3"/>
      <c r="I69" s="3"/>
      <c r="J69" s="3"/>
      <c r="K69" s="3"/>
      <c r="L69" s="3"/>
      <c r="M69" s="3"/>
      <c r="N69" s="35"/>
      <c r="O69" s="4"/>
      <c r="P69" s="4"/>
      <c r="Q69" s="4"/>
      <c r="R69" s="4"/>
      <c r="S69" s="4"/>
      <c r="T69" s="4"/>
    </row>
    <row r="70" spans="7:20" x14ac:dyDescent="0.3">
      <c r="G70" s="3"/>
      <c r="H70" s="3"/>
      <c r="I70" s="3"/>
      <c r="J70" s="3"/>
      <c r="K70" s="3"/>
      <c r="L70" s="3"/>
      <c r="M70" s="3"/>
      <c r="N70" s="35"/>
      <c r="O70" s="4"/>
      <c r="P70" s="4"/>
      <c r="Q70" s="4"/>
      <c r="R70" s="4"/>
      <c r="S70" s="4"/>
      <c r="T70" s="4"/>
    </row>
    <row r="71" spans="7:20" x14ac:dyDescent="0.3">
      <c r="G71" s="3"/>
      <c r="H71" s="3"/>
      <c r="I71" s="3"/>
      <c r="J71" s="3"/>
      <c r="K71" s="3"/>
      <c r="L71" s="3"/>
      <c r="M71" s="3"/>
      <c r="N71" s="35"/>
      <c r="O71" s="4"/>
      <c r="P71" s="4"/>
      <c r="Q71" s="4"/>
      <c r="R71" s="4"/>
      <c r="S71" s="4"/>
      <c r="T71" s="4"/>
    </row>
    <row r="72" spans="7:20" x14ac:dyDescent="0.3">
      <c r="G72" s="3"/>
      <c r="H72" s="3"/>
      <c r="I72" s="3"/>
      <c r="J72" s="3"/>
      <c r="K72" s="3"/>
      <c r="L72" s="3"/>
      <c r="M72" s="3"/>
      <c r="N72" s="35"/>
      <c r="O72" s="4"/>
      <c r="P72" s="4"/>
      <c r="Q72" s="4"/>
      <c r="R72" s="4"/>
      <c r="S72" s="4"/>
      <c r="T72" s="4"/>
    </row>
    <row r="73" spans="7:20" x14ac:dyDescent="0.3">
      <c r="G73" s="3"/>
      <c r="H73" s="3"/>
      <c r="I73" s="3"/>
      <c r="J73" s="3"/>
      <c r="K73" s="3"/>
      <c r="L73" s="3"/>
      <c r="M73" s="3"/>
      <c r="N73" s="35"/>
      <c r="O73" s="4"/>
      <c r="P73" s="4"/>
      <c r="Q73" s="4"/>
      <c r="R73" s="4"/>
      <c r="S73" s="4"/>
      <c r="T73" s="4"/>
    </row>
    <row r="74" spans="7:20" x14ac:dyDescent="0.3">
      <c r="G74" s="3"/>
      <c r="H74" s="3"/>
      <c r="I74" s="3"/>
      <c r="J74" s="3"/>
      <c r="K74" s="3"/>
      <c r="L74" s="3"/>
      <c r="M74" s="3"/>
      <c r="N74" s="35"/>
      <c r="O74" s="4"/>
      <c r="P74" s="4"/>
      <c r="Q74" s="4"/>
      <c r="R74" s="4"/>
      <c r="S74" s="4"/>
      <c r="T74" s="4"/>
    </row>
    <row r="75" spans="7:20" x14ac:dyDescent="0.3">
      <c r="G75" s="3"/>
      <c r="H75" s="3"/>
      <c r="I75" s="3"/>
      <c r="J75" s="3"/>
      <c r="K75" s="3"/>
      <c r="L75" s="3"/>
      <c r="M75" s="3"/>
      <c r="N75" s="35"/>
      <c r="O75" s="4"/>
      <c r="P75" s="4"/>
      <c r="Q75" s="4"/>
      <c r="R75" s="4"/>
      <c r="S75" s="4"/>
      <c r="T75" s="4"/>
    </row>
    <row r="76" spans="7:20" x14ac:dyDescent="0.3">
      <c r="G76" s="3"/>
      <c r="H76" s="3"/>
      <c r="I76" s="3"/>
      <c r="J76" s="3"/>
      <c r="K76" s="3"/>
      <c r="L76" s="3"/>
      <c r="M76" s="3"/>
      <c r="N76" s="35"/>
      <c r="O76" s="4"/>
      <c r="P76" s="4"/>
      <c r="Q76" s="4"/>
      <c r="R76" s="4"/>
      <c r="S76" s="4"/>
      <c r="T76" s="4"/>
    </row>
    <row r="77" spans="7:20" x14ac:dyDescent="0.3">
      <c r="G77" s="3"/>
      <c r="H77" s="3"/>
      <c r="I77" s="3"/>
      <c r="J77" s="3"/>
      <c r="K77" s="3"/>
      <c r="L77" s="3"/>
      <c r="M77" s="3"/>
      <c r="N77" s="35"/>
      <c r="O77" s="4"/>
      <c r="P77" s="4"/>
      <c r="Q77" s="4"/>
      <c r="R77" s="4"/>
      <c r="S77" s="4"/>
      <c r="T77" s="4"/>
    </row>
    <row r="78" spans="7:20" x14ac:dyDescent="0.3">
      <c r="G78" s="3"/>
      <c r="H78" s="3"/>
      <c r="I78" s="3"/>
      <c r="J78" s="3"/>
      <c r="K78" s="3"/>
      <c r="L78" s="3"/>
      <c r="M78" s="3"/>
      <c r="N78" s="35"/>
      <c r="O78" s="4"/>
      <c r="P78" s="4"/>
      <c r="Q78" s="4"/>
      <c r="R78" s="4"/>
      <c r="S78" s="4"/>
      <c r="T78" s="4"/>
    </row>
    <row r="79" spans="7:20" x14ac:dyDescent="0.3">
      <c r="G79" s="3"/>
      <c r="H79" s="3"/>
      <c r="I79" s="3"/>
      <c r="J79" s="3"/>
      <c r="K79" s="3"/>
      <c r="L79" s="3"/>
      <c r="M79" s="3"/>
      <c r="N79" s="35"/>
      <c r="O79" s="4"/>
      <c r="P79" s="4"/>
      <c r="Q79" s="4"/>
      <c r="R79" s="4"/>
      <c r="S79" s="4"/>
      <c r="T79" s="4"/>
    </row>
    <row r="80" spans="7:20" x14ac:dyDescent="0.3">
      <c r="G80" s="3"/>
      <c r="H80" s="3"/>
      <c r="I80" s="3"/>
      <c r="J80" s="3"/>
      <c r="K80" s="3"/>
      <c r="L80" s="3"/>
      <c r="M80" s="3"/>
      <c r="N80" s="35"/>
      <c r="O80" s="4"/>
      <c r="P80" s="4"/>
      <c r="Q80" s="4"/>
      <c r="R80" s="4"/>
      <c r="S80" s="4"/>
      <c r="T80" s="4"/>
    </row>
    <row r="81" spans="7:20" x14ac:dyDescent="0.3">
      <c r="G81" s="3"/>
      <c r="H81" s="3"/>
      <c r="I81" s="3"/>
      <c r="J81" s="3"/>
      <c r="K81" s="3"/>
      <c r="L81" s="3"/>
      <c r="M81" s="3"/>
      <c r="N81" s="35"/>
      <c r="O81" s="4"/>
      <c r="P81" s="4"/>
      <c r="Q81" s="4"/>
      <c r="R81" s="4"/>
      <c r="S81" s="4"/>
      <c r="T81" s="4"/>
    </row>
    <row r="82" spans="7:20" x14ac:dyDescent="0.3">
      <c r="G82" s="3"/>
      <c r="H82" s="3"/>
      <c r="I82" s="3"/>
      <c r="J82" s="3"/>
      <c r="K82" s="3"/>
      <c r="L82" s="3"/>
      <c r="M82" s="3"/>
      <c r="N82" s="35"/>
      <c r="O82" s="4"/>
      <c r="P82" s="4"/>
      <c r="Q82" s="4"/>
      <c r="R82" s="4"/>
      <c r="S82" s="4"/>
      <c r="T82" s="4"/>
    </row>
    <row r="83" spans="7:20" x14ac:dyDescent="0.3">
      <c r="G83" s="3"/>
      <c r="H83" s="3"/>
      <c r="I83" s="3"/>
      <c r="J83" s="3"/>
      <c r="K83" s="3"/>
      <c r="L83" s="3"/>
      <c r="M83" s="3"/>
      <c r="N83" s="35"/>
      <c r="O83" s="4"/>
      <c r="P83" s="4"/>
      <c r="Q83" s="4"/>
      <c r="R83" s="4"/>
      <c r="S83" s="4"/>
      <c r="T83" s="4"/>
    </row>
    <row r="84" spans="7:20" x14ac:dyDescent="0.3">
      <c r="G84" s="3"/>
      <c r="H84" s="3"/>
      <c r="I84" s="3"/>
      <c r="J84" s="3"/>
      <c r="K84" s="3"/>
      <c r="L84" s="3"/>
      <c r="M84" s="3"/>
      <c r="N84" s="35"/>
      <c r="O84" s="4"/>
      <c r="P84" s="4"/>
      <c r="Q84" s="4"/>
      <c r="R84" s="4"/>
      <c r="S84" s="4"/>
      <c r="T84" s="4"/>
    </row>
    <row r="85" spans="7:20" x14ac:dyDescent="0.3">
      <c r="G85" s="3"/>
      <c r="H85" s="3"/>
      <c r="I85" s="3"/>
      <c r="J85" s="3"/>
      <c r="K85" s="3"/>
      <c r="L85" s="3"/>
      <c r="M85" s="3"/>
      <c r="N85" s="35"/>
      <c r="O85" s="4"/>
      <c r="P85" s="4"/>
      <c r="Q85" s="4"/>
      <c r="R85" s="4"/>
      <c r="S85" s="4"/>
      <c r="T85" s="4"/>
    </row>
    <row r="86" spans="7:20" x14ac:dyDescent="0.3">
      <c r="G86" s="3"/>
      <c r="H86" s="3"/>
      <c r="I86" s="3"/>
      <c r="J86" s="3"/>
      <c r="K86" s="3"/>
      <c r="L86" s="3"/>
      <c r="M86" s="3"/>
      <c r="N86" s="35"/>
      <c r="O86" s="4"/>
      <c r="P86" s="4"/>
      <c r="Q86" s="4"/>
      <c r="R86" s="4"/>
      <c r="S86" s="4"/>
      <c r="T86" s="4"/>
    </row>
    <row r="87" spans="7:20" x14ac:dyDescent="0.3">
      <c r="G87" s="3"/>
      <c r="H87" s="3"/>
      <c r="I87" s="3"/>
      <c r="J87" s="3"/>
      <c r="K87" s="3"/>
      <c r="L87" s="3"/>
      <c r="M87" s="3"/>
      <c r="N87" s="35"/>
      <c r="O87" s="4"/>
      <c r="P87" s="4"/>
      <c r="Q87" s="4"/>
      <c r="R87" s="4"/>
      <c r="S87" s="4"/>
      <c r="T87" s="4"/>
    </row>
    <row r="88" spans="7:20" x14ac:dyDescent="0.3">
      <c r="G88" s="3"/>
      <c r="H88" s="3"/>
      <c r="I88" s="3"/>
      <c r="J88" s="3"/>
      <c r="K88" s="3"/>
      <c r="L88" s="3"/>
      <c r="M88" s="3"/>
      <c r="N88" s="35"/>
      <c r="O88" s="4"/>
      <c r="P88" s="4"/>
      <c r="Q88" s="4"/>
      <c r="R88" s="4"/>
      <c r="S88" s="4"/>
      <c r="T88" s="4"/>
    </row>
    <row r="89" spans="7:20" x14ac:dyDescent="0.3">
      <c r="G89" s="3"/>
      <c r="H89" s="3"/>
      <c r="I89" s="3"/>
      <c r="J89" s="3"/>
      <c r="K89" s="3"/>
      <c r="L89" s="3"/>
      <c r="M89" s="3"/>
      <c r="N89" s="35"/>
      <c r="O89" s="4"/>
      <c r="P89" s="4"/>
      <c r="Q89" s="4"/>
      <c r="R89" s="4"/>
      <c r="S89" s="4"/>
      <c r="T89" s="4"/>
    </row>
    <row r="90" spans="7:20" x14ac:dyDescent="0.3">
      <c r="G90" s="3"/>
      <c r="H90" s="3"/>
      <c r="I90" s="3"/>
      <c r="J90" s="3"/>
      <c r="K90" s="3"/>
      <c r="L90" s="3"/>
      <c r="M90" s="3"/>
      <c r="N90" s="35"/>
      <c r="O90" s="4"/>
      <c r="P90" s="4"/>
      <c r="Q90" s="4"/>
      <c r="R90" s="4"/>
      <c r="S90" s="4"/>
      <c r="T90" s="4"/>
    </row>
    <row r="91" spans="7:20" x14ac:dyDescent="0.3">
      <c r="G91" s="3"/>
      <c r="H91" s="3"/>
      <c r="I91" s="3"/>
      <c r="J91" s="3"/>
      <c r="K91" s="3"/>
      <c r="L91" s="3"/>
      <c r="M91" s="3"/>
      <c r="N91" s="35"/>
      <c r="O91" s="4"/>
      <c r="P91" s="4"/>
      <c r="Q91" s="4"/>
      <c r="R91" s="4"/>
      <c r="S91" s="4"/>
      <c r="T91" s="4"/>
    </row>
    <row r="92" spans="7:20" x14ac:dyDescent="0.3">
      <c r="G92" s="3"/>
      <c r="H92" s="3"/>
      <c r="I92" s="3"/>
      <c r="J92" s="3"/>
      <c r="K92" s="3"/>
      <c r="L92" s="3"/>
      <c r="M92" s="3"/>
      <c r="N92" s="35"/>
      <c r="O92" s="4"/>
      <c r="P92" s="4"/>
      <c r="Q92" s="4"/>
      <c r="R92" s="4"/>
      <c r="S92" s="4"/>
      <c r="T92" s="4"/>
    </row>
    <row r="93" spans="7:20" x14ac:dyDescent="0.3">
      <c r="G93" s="3"/>
      <c r="H93" s="3"/>
      <c r="I93" s="3"/>
      <c r="J93" s="3"/>
      <c r="K93" s="3"/>
      <c r="L93" s="3"/>
      <c r="M93" s="3"/>
      <c r="N93" s="35"/>
      <c r="O93" s="4"/>
      <c r="P93" s="4"/>
      <c r="Q93" s="4"/>
      <c r="R93" s="4"/>
      <c r="S93" s="4"/>
      <c r="T93" s="4"/>
    </row>
    <row r="94" spans="7:20" x14ac:dyDescent="0.3">
      <c r="G94" s="3"/>
      <c r="H94" s="3"/>
      <c r="I94" s="3"/>
      <c r="J94" s="3"/>
      <c r="K94" s="3"/>
      <c r="L94" s="3"/>
      <c r="M94" s="3"/>
      <c r="N94" s="35"/>
      <c r="O94" s="4"/>
      <c r="P94" s="4"/>
      <c r="Q94" s="4"/>
      <c r="R94" s="4"/>
      <c r="S94" s="4"/>
      <c r="T94" s="4"/>
    </row>
    <row r="95" spans="7:20" x14ac:dyDescent="0.3">
      <c r="G95" s="3"/>
      <c r="H95" s="3"/>
      <c r="I95" s="3"/>
      <c r="J95" s="3"/>
      <c r="K95" s="3"/>
      <c r="L95" s="3"/>
      <c r="M95" s="3"/>
      <c r="N95" s="35"/>
      <c r="O95" s="4"/>
      <c r="P95" s="4"/>
      <c r="Q95" s="4"/>
      <c r="R95" s="4"/>
      <c r="S95" s="4"/>
      <c r="T95" s="4"/>
    </row>
    <row r="96" spans="7:20" x14ac:dyDescent="0.3">
      <c r="G96" s="3"/>
      <c r="H96" s="3"/>
      <c r="I96" s="3"/>
      <c r="J96" s="3"/>
      <c r="K96" s="3"/>
      <c r="L96" s="3"/>
      <c r="M96" s="3"/>
      <c r="N96" s="35"/>
      <c r="O96" s="4"/>
      <c r="P96" s="4"/>
      <c r="Q96" s="4"/>
      <c r="R96" s="4"/>
      <c r="S96" s="4"/>
      <c r="T96" s="4"/>
    </row>
    <row r="97" spans="7:20" x14ac:dyDescent="0.3">
      <c r="G97" s="3"/>
      <c r="H97" s="3"/>
      <c r="I97" s="3"/>
      <c r="J97" s="3"/>
      <c r="K97" s="3"/>
      <c r="L97" s="3"/>
      <c r="M97" s="3"/>
      <c r="N97" s="35"/>
      <c r="O97" s="4"/>
      <c r="P97" s="4"/>
      <c r="Q97" s="4"/>
      <c r="R97" s="4"/>
      <c r="S97" s="4"/>
      <c r="T97" s="4"/>
    </row>
    <row r="98" spans="7:20" x14ac:dyDescent="0.3">
      <c r="G98" s="3"/>
      <c r="H98" s="3"/>
      <c r="I98" s="3"/>
      <c r="J98" s="3"/>
      <c r="K98" s="3"/>
      <c r="L98" s="3"/>
      <c r="M98" s="3"/>
      <c r="N98" s="35"/>
      <c r="O98" s="4"/>
      <c r="P98" s="4"/>
      <c r="Q98" s="4"/>
      <c r="R98" s="4"/>
      <c r="S98" s="4"/>
      <c r="T98" s="4"/>
    </row>
    <row r="99" spans="7:20" x14ac:dyDescent="0.3">
      <c r="G99" s="3"/>
      <c r="H99" s="3"/>
      <c r="I99" s="3"/>
      <c r="J99" s="3"/>
      <c r="K99" s="3"/>
      <c r="L99" s="3"/>
      <c r="M99" s="3"/>
      <c r="N99" s="35"/>
      <c r="O99" s="4"/>
      <c r="P99" s="4"/>
      <c r="Q99" s="4"/>
      <c r="R99" s="4"/>
      <c r="S99" s="4"/>
      <c r="T99" s="4"/>
    </row>
    <row r="100" spans="7:20" x14ac:dyDescent="0.3">
      <c r="G100" s="3"/>
      <c r="H100" s="3"/>
      <c r="I100" s="3"/>
      <c r="J100" s="3"/>
      <c r="K100" s="3"/>
      <c r="L100" s="3"/>
      <c r="M100" s="3"/>
      <c r="N100" s="35"/>
      <c r="O100" s="4"/>
      <c r="P100" s="4"/>
      <c r="Q100" s="4"/>
      <c r="R100" s="4"/>
      <c r="S100" s="4"/>
      <c r="T100" s="4"/>
    </row>
    <row r="101" spans="7:20" x14ac:dyDescent="0.3">
      <c r="G101" s="3"/>
      <c r="H101" s="3"/>
      <c r="I101" s="3"/>
      <c r="J101" s="3"/>
      <c r="K101" s="3"/>
      <c r="L101" s="3"/>
      <c r="M101" s="3"/>
      <c r="N101" s="35"/>
      <c r="O101" s="4"/>
      <c r="P101" s="4"/>
      <c r="Q101" s="4"/>
      <c r="R101" s="4"/>
      <c r="S101" s="4"/>
      <c r="T101" s="4"/>
    </row>
    <row r="102" spans="7:20" x14ac:dyDescent="0.3">
      <c r="G102" s="3"/>
      <c r="H102" s="3"/>
      <c r="I102" s="3"/>
      <c r="J102" s="3"/>
      <c r="K102" s="3"/>
      <c r="L102" s="3"/>
      <c r="M102" s="3"/>
      <c r="N102" s="35"/>
      <c r="O102" s="4"/>
      <c r="P102" s="4"/>
      <c r="Q102" s="4"/>
      <c r="R102" s="4"/>
      <c r="S102" s="4"/>
      <c r="T102" s="4"/>
    </row>
    <row r="103" spans="7:20" x14ac:dyDescent="0.3">
      <c r="G103" s="3"/>
      <c r="H103" s="3"/>
      <c r="I103" s="3"/>
      <c r="J103" s="3"/>
      <c r="K103" s="3"/>
      <c r="L103" s="3"/>
      <c r="M103" s="3"/>
      <c r="N103" s="35"/>
      <c r="O103" s="4"/>
      <c r="P103" s="4"/>
      <c r="Q103" s="4"/>
      <c r="R103" s="4"/>
      <c r="S103" s="4"/>
      <c r="T103" s="4"/>
    </row>
    <row r="104" spans="7:20" x14ac:dyDescent="0.3">
      <c r="G104" s="3"/>
      <c r="H104" s="3"/>
      <c r="I104" s="3"/>
      <c r="J104" s="3"/>
      <c r="K104" s="3"/>
      <c r="L104" s="3"/>
      <c r="M104" s="3"/>
      <c r="N104" s="35"/>
      <c r="O104" s="4"/>
      <c r="P104" s="4"/>
      <c r="Q104" s="4"/>
      <c r="R104" s="4"/>
      <c r="S104" s="4"/>
      <c r="T104" s="4"/>
    </row>
    <row r="105" spans="7:20" x14ac:dyDescent="0.3">
      <c r="G105" s="3"/>
      <c r="H105" s="3"/>
      <c r="I105" s="3"/>
      <c r="J105" s="3"/>
      <c r="K105" s="3"/>
      <c r="L105" s="3"/>
      <c r="M105" s="3"/>
      <c r="N105" s="35"/>
      <c r="O105" s="4"/>
      <c r="P105" s="4"/>
      <c r="Q105" s="4"/>
      <c r="R105" s="4"/>
      <c r="S105" s="4"/>
      <c r="T105" s="4"/>
    </row>
    <row r="106" spans="7:20" x14ac:dyDescent="0.3">
      <c r="G106" s="3"/>
      <c r="H106" s="3"/>
      <c r="I106" s="3"/>
      <c r="J106" s="3"/>
      <c r="K106" s="3"/>
      <c r="L106" s="3"/>
      <c r="M106" s="3"/>
      <c r="N106" s="35"/>
      <c r="O106" s="4"/>
      <c r="P106" s="4"/>
      <c r="Q106" s="4"/>
      <c r="R106" s="4"/>
      <c r="S106" s="4"/>
      <c r="T106" s="4"/>
    </row>
    <row r="107" spans="7:20" x14ac:dyDescent="0.3">
      <c r="G107" s="3"/>
      <c r="H107" s="3"/>
      <c r="I107" s="3"/>
      <c r="J107" s="3"/>
      <c r="K107" s="3"/>
      <c r="L107" s="3"/>
      <c r="M107" s="3"/>
      <c r="N107" s="35"/>
      <c r="O107" s="4"/>
      <c r="P107" s="4"/>
      <c r="Q107" s="4"/>
      <c r="R107" s="4"/>
      <c r="S107" s="4"/>
      <c r="T107" s="4"/>
    </row>
    <row r="108" spans="7:20" x14ac:dyDescent="0.3">
      <c r="G108" s="3"/>
      <c r="H108" s="3"/>
      <c r="I108" s="3"/>
      <c r="J108" s="3"/>
      <c r="K108" s="3"/>
      <c r="L108" s="3"/>
      <c r="M108" s="3"/>
      <c r="N108" s="35"/>
      <c r="O108" s="4"/>
      <c r="P108" s="4"/>
      <c r="Q108" s="4"/>
      <c r="R108" s="4"/>
      <c r="S108" s="4"/>
      <c r="T108" s="4"/>
    </row>
    <row r="109" spans="7:20" x14ac:dyDescent="0.3">
      <c r="G109" s="3"/>
      <c r="H109" s="3"/>
      <c r="I109" s="3"/>
      <c r="J109" s="3"/>
      <c r="K109" s="3"/>
      <c r="L109" s="3"/>
      <c r="M109" s="3"/>
      <c r="N109" s="35"/>
      <c r="O109" s="4"/>
      <c r="P109" s="4"/>
      <c r="Q109" s="4"/>
      <c r="R109" s="4"/>
      <c r="S109" s="4"/>
      <c r="T109" s="4"/>
    </row>
    <row r="110" spans="7:20" x14ac:dyDescent="0.3">
      <c r="G110" s="3"/>
      <c r="H110" s="3"/>
      <c r="I110" s="3"/>
      <c r="J110" s="3"/>
      <c r="K110" s="3"/>
      <c r="L110" s="3"/>
      <c r="M110" s="3"/>
      <c r="N110" s="35"/>
      <c r="O110" s="4"/>
      <c r="P110" s="4"/>
      <c r="Q110" s="4"/>
      <c r="R110" s="4"/>
      <c r="S110" s="4"/>
      <c r="T110" s="4"/>
    </row>
    <row r="111" spans="7:20" x14ac:dyDescent="0.3">
      <c r="G111" s="3"/>
      <c r="H111" s="3"/>
      <c r="I111" s="3"/>
      <c r="J111" s="3"/>
      <c r="K111" s="3"/>
      <c r="L111" s="3"/>
      <c r="M111" s="3"/>
      <c r="N111" s="35"/>
      <c r="O111" s="4"/>
      <c r="P111" s="4"/>
      <c r="Q111" s="4"/>
      <c r="R111" s="4"/>
      <c r="S111" s="4"/>
      <c r="T111" s="4"/>
    </row>
    <row r="112" spans="7:20" x14ac:dyDescent="0.3">
      <c r="G112" s="3"/>
      <c r="H112" s="3"/>
      <c r="I112" s="3"/>
      <c r="J112" s="3"/>
      <c r="K112" s="3"/>
      <c r="L112" s="3"/>
      <c r="M112" s="3"/>
      <c r="N112" s="35"/>
      <c r="O112" s="4"/>
      <c r="P112" s="4"/>
      <c r="Q112" s="4"/>
      <c r="R112" s="4"/>
      <c r="S112" s="4"/>
      <c r="T112" s="4"/>
    </row>
    <row r="113" spans="7:20" x14ac:dyDescent="0.3">
      <c r="G113" s="3"/>
      <c r="H113" s="3"/>
      <c r="I113" s="3"/>
      <c r="J113" s="3"/>
      <c r="K113" s="3"/>
      <c r="L113" s="3"/>
      <c r="M113" s="3"/>
      <c r="N113" s="35"/>
      <c r="O113" s="4"/>
      <c r="P113" s="4"/>
      <c r="Q113" s="4"/>
      <c r="R113" s="4"/>
      <c r="S113" s="4"/>
      <c r="T113" s="4"/>
    </row>
    <row r="114" spans="7:20" x14ac:dyDescent="0.3">
      <c r="G114" s="3"/>
      <c r="H114" s="3"/>
      <c r="I114" s="3"/>
      <c r="J114" s="3"/>
      <c r="K114" s="3"/>
      <c r="L114" s="3"/>
      <c r="M114" s="3"/>
      <c r="N114" s="35"/>
      <c r="O114" s="4"/>
      <c r="P114" s="4"/>
      <c r="Q114" s="4"/>
      <c r="R114" s="4"/>
      <c r="S114" s="4"/>
      <c r="T114" s="4"/>
    </row>
    <row r="115" spans="7:20" x14ac:dyDescent="0.3">
      <c r="G115" s="3"/>
      <c r="H115" s="3"/>
      <c r="I115" s="3"/>
      <c r="J115" s="3"/>
      <c r="K115" s="3"/>
      <c r="L115" s="3"/>
      <c r="M115" s="3"/>
      <c r="N115" s="35"/>
      <c r="O115" s="4"/>
      <c r="P115" s="4"/>
      <c r="Q115" s="4"/>
      <c r="R115" s="4"/>
      <c r="S115" s="4"/>
      <c r="T115" s="4"/>
    </row>
    <row r="116" spans="7:20" x14ac:dyDescent="0.3">
      <c r="G116" s="3"/>
      <c r="H116" s="3"/>
      <c r="I116" s="3"/>
      <c r="J116" s="3"/>
      <c r="K116" s="3"/>
      <c r="L116" s="3"/>
      <c r="M116" s="3"/>
      <c r="N116" s="35"/>
      <c r="O116" s="4"/>
      <c r="P116" s="4"/>
      <c r="Q116" s="4"/>
      <c r="R116" s="4"/>
      <c r="S116" s="4"/>
      <c r="T116" s="4"/>
    </row>
    <row r="117" spans="7:20" x14ac:dyDescent="0.3">
      <c r="G117" s="3"/>
      <c r="H117" s="3"/>
      <c r="I117" s="3"/>
      <c r="J117" s="3"/>
      <c r="K117" s="3"/>
      <c r="L117" s="3"/>
      <c r="M117" s="3"/>
      <c r="N117" s="35"/>
      <c r="O117" s="4"/>
      <c r="P117" s="4"/>
      <c r="Q117" s="4"/>
      <c r="R117" s="4"/>
      <c r="S117" s="4"/>
      <c r="T117" s="4"/>
    </row>
    <row r="118" spans="7:20" x14ac:dyDescent="0.3">
      <c r="G118" s="3"/>
      <c r="H118" s="3"/>
      <c r="I118" s="3"/>
      <c r="J118" s="3"/>
      <c r="K118" s="3"/>
      <c r="L118" s="3"/>
      <c r="M118" s="3"/>
      <c r="N118" s="35"/>
      <c r="O118" s="4"/>
      <c r="P118" s="4"/>
      <c r="Q118" s="4"/>
      <c r="R118" s="4"/>
      <c r="S118" s="4"/>
      <c r="T118" s="4"/>
    </row>
    <row r="119" spans="7:20" x14ac:dyDescent="0.3">
      <c r="G119" s="3"/>
      <c r="H119" s="3"/>
      <c r="I119" s="3"/>
      <c r="J119" s="3"/>
      <c r="K119" s="3"/>
      <c r="L119" s="3"/>
      <c r="M119" s="3"/>
      <c r="N119" s="35"/>
      <c r="O119" s="4"/>
      <c r="P119" s="4"/>
      <c r="Q119" s="4"/>
      <c r="R119" s="4"/>
      <c r="S119" s="4"/>
      <c r="T119" s="4"/>
    </row>
    <row r="120" spans="7:20" x14ac:dyDescent="0.3">
      <c r="G120" s="3"/>
      <c r="H120" s="3"/>
      <c r="I120" s="3"/>
      <c r="J120" s="3"/>
      <c r="K120" s="3"/>
      <c r="L120" s="3"/>
      <c r="M120" s="3"/>
      <c r="N120" s="35"/>
      <c r="O120" s="4"/>
      <c r="P120" s="4"/>
      <c r="Q120" s="4"/>
      <c r="R120" s="4"/>
      <c r="S120" s="4"/>
      <c r="T120" s="4"/>
    </row>
    <row r="121" spans="7:20" x14ac:dyDescent="0.3">
      <c r="G121" s="3"/>
      <c r="H121" s="3"/>
      <c r="I121" s="3"/>
      <c r="J121" s="3"/>
      <c r="K121" s="3"/>
      <c r="L121" s="3"/>
      <c r="M121" s="3"/>
      <c r="N121" s="35"/>
      <c r="O121" s="4"/>
      <c r="P121" s="4"/>
      <c r="Q121" s="4"/>
      <c r="R121" s="4"/>
      <c r="S121" s="4"/>
      <c r="T121" s="4"/>
    </row>
    <row r="122" spans="7:20" x14ac:dyDescent="0.3">
      <c r="G122" s="3"/>
      <c r="H122" s="3"/>
      <c r="I122" s="3"/>
      <c r="J122" s="3"/>
      <c r="K122" s="3"/>
      <c r="L122" s="3"/>
      <c r="M122" s="3"/>
      <c r="N122" s="35"/>
      <c r="O122" s="4"/>
      <c r="P122" s="4"/>
      <c r="Q122" s="4"/>
      <c r="R122" s="4"/>
      <c r="S122" s="4"/>
      <c r="T122" s="4"/>
    </row>
    <row r="123" spans="7:20" x14ac:dyDescent="0.3">
      <c r="G123" s="3"/>
      <c r="H123" s="3"/>
      <c r="I123" s="3"/>
      <c r="J123" s="3"/>
      <c r="K123" s="3"/>
      <c r="L123" s="3"/>
      <c r="M123" s="3"/>
      <c r="N123" s="35"/>
      <c r="O123" s="4"/>
      <c r="P123" s="4"/>
      <c r="Q123" s="4"/>
      <c r="R123" s="4"/>
      <c r="S123" s="4"/>
      <c r="T123" s="4"/>
    </row>
    <row r="124" spans="7:20" x14ac:dyDescent="0.3">
      <c r="G124" s="3"/>
      <c r="H124" s="3"/>
      <c r="I124" s="3"/>
      <c r="J124" s="3"/>
      <c r="K124" s="3"/>
      <c r="L124" s="3"/>
      <c r="M124" s="3"/>
      <c r="N124" s="35"/>
      <c r="O124" s="4"/>
      <c r="P124" s="4"/>
      <c r="Q124" s="4"/>
      <c r="R124" s="4"/>
      <c r="S124" s="4"/>
      <c r="T124" s="4"/>
    </row>
    <row r="125" spans="7:20" x14ac:dyDescent="0.3">
      <c r="G125" s="3"/>
      <c r="H125" s="3"/>
      <c r="I125" s="3"/>
      <c r="J125" s="3"/>
      <c r="K125" s="3"/>
      <c r="L125" s="3"/>
      <c r="M125" s="3"/>
      <c r="N125" s="35"/>
      <c r="O125" s="4"/>
      <c r="P125" s="4"/>
      <c r="Q125" s="4"/>
      <c r="R125" s="4"/>
      <c r="S125" s="4"/>
      <c r="T125" s="4"/>
    </row>
    <row r="126" spans="7:20" x14ac:dyDescent="0.3">
      <c r="G126" s="3"/>
      <c r="H126" s="3"/>
      <c r="I126" s="3"/>
      <c r="J126" s="3"/>
      <c r="K126" s="3"/>
      <c r="L126" s="3"/>
      <c r="M126" s="3"/>
      <c r="N126" s="35"/>
      <c r="O126" s="4"/>
      <c r="P126" s="4"/>
      <c r="Q126" s="4"/>
      <c r="R126" s="4"/>
      <c r="S126" s="4"/>
      <c r="T126" s="4"/>
    </row>
    <row r="127" spans="7:20" x14ac:dyDescent="0.3">
      <c r="G127" s="3"/>
      <c r="H127" s="3"/>
      <c r="I127" s="3"/>
      <c r="J127" s="3"/>
      <c r="K127" s="3"/>
      <c r="L127" s="3"/>
      <c r="M127" s="3"/>
      <c r="N127" s="35"/>
      <c r="O127" s="4"/>
      <c r="P127" s="4"/>
      <c r="Q127" s="4"/>
      <c r="R127" s="4"/>
      <c r="S127" s="4"/>
      <c r="T127" s="4"/>
    </row>
    <row r="128" spans="7:20" x14ac:dyDescent="0.3">
      <c r="G128" s="3"/>
      <c r="H128" s="3"/>
      <c r="I128" s="3"/>
      <c r="J128" s="3"/>
      <c r="K128" s="3"/>
      <c r="L128" s="3"/>
      <c r="M128" s="3"/>
      <c r="N128" s="35"/>
      <c r="O128" s="4"/>
      <c r="P128" s="4"/>
      <c r="Q128" s="4"/>
      <c r="R128" s="4"/>
      <c r="S128" s="4"/>
      <c r="T128" s="4"/>
    </row>
    <row r="129" spans="7:20" x14ac:dyDescent="0.3">
      <c r="G129" s="3"/>
      <c r="H129" s="3"/>
      <c r="I129" s="3"/>
      <c r="J129" s="3"/>
      <c r="K129" s="3"/>
      <c r="L129" s="3"/>
      <c r="M129" s="3"/>
      <c r="N129" s="35"/>
      <c r="O129" s="4"/>
      <c r="P129" s="4"/>
      <c r="Q129" s="4"/>
      <c r="R129" s="4"/>
      <c r="S129" s="4"/>
      <c r="T129" s="4"/>
    </row>
    <row r="130" spans="7:20" x14ac:dyDescent="0.3">
      <c r="G130" s="3"/>
      <c r="H130" s="3"/>
      <c r="I130" s="3"/>
      <c r="J130" s="3"/>
      <c r="K130" s="3"/>
      <c r="L130" s="3"/>
      <c r="M130" s="3"/>
      <c r="N130" s="35"/>
      <c r="O130" s="4"/>
      <c r="P130" s="4"/>
      <c r="Q130" s="4"/>
      <c r="R130" s="4"/>
      <c r="S130" s="4"/>
      <c r="T130" s="4"/>
    </row>
    <row r="131" spans="7:20" x14ac:dyDescent="0.3">
      <c r="G131" s="3"/>
      <c r="H131" s="3"/>
      <c r="I131" s="3"/>
      <c r="J131" s="3"/>
      <c r="K131" s="3"/>
      <c r="L131" s="3"/>
      <c r="M131" s="3"/>
      <c r="N131" s="35"/>
      <c r="O131" s="4"/>
      <c r="P131" s="4"/>
      <c r="Q131" s="4"/>
      <c r="R131" s="4"/>
      <c r="S131" s="4"/>
      <c r="T131" s="4"/>
    </row>
    <row r="132" spans="7:20" x14ac:dyDescent="0.3">
      <c r="G132" s="3"/>
      <c r="H132" s="3"/>
      <c r="I132" s="3"/>
      <c r="J132" s="3"/>
      <c r="K132" s="3"/>
      <c r="L132" s="3"/>
      <c r="M132" s="3"/>
      <c r="N132" s="35"/>
      <c r="O132" s="4"/>
      <c r="P132" s="4"/>
      <c r="Q132" s="4"/>
      <c r="R132" s="4"/>
      <c r="S132" s="4"/>
      <c r="T132" s="4"/>
    </row>
    <row r="133" spans="7:20" x14ac:dyDescent="0.3">
      <c r="G133" s="3"/>
      <c r="H133" s="3"/>
      <c r="I133" s="3"/>
      <c r="J133" s="3"/>
      <c r="K133" s="3"/>
      <c r="L133" s="3"/>
      <c r="M133" s="3"/>
      <c r="N133" s="35"/>
      <c r="O133" s="4"/>
      <c r="P133" s="4"/>
      <c r="Q133" s="4"/>
      <c r="R133" s="4"/>
      <c r="S133" s="4"/>
      <c r="T133" s="4"/>
    </row>
    <row r="134" spans="7:20" x14ac:dyDescent="0.3">
      <c r="G134" s="3"/>
      <c r="H134" s="3"/>
      <c r="I134" s="3"/>
      <c r="J134" s="3"/>
      <c r="K134" s="3"/>
      <c r="L134" s="3"/>
      <c r="M134" s="3"/>
      <c r="N134" s="35"/>
      <c r="O134" s="4"/>
      <c r="P134" s="4"/>
      <c r="Q134" s="4"/>
      <c r="R134" s="4"/>
      <c r="S134" s="4"/>
      <c r="T134" s="4"/>
    </row>
    <row r="135" spans="7:20" x14ac:dyDescent="0.3">
      <c r="G135" s="3"/>
      <c r="H135" s="3"/>
      <c r="I135" s="3"/>
      <c r="J135" s="3"/>
      <c r="K135" s="3"/>
      <c r="L135" s="3"/>
      <c r="M135" s="3"/>
      <c r="N135" s="35"/>
      <c r="O135" s="4"/>
      <c r="P135" s="4"/>
      <c r="Q135" s="4"/>
      <c r="R135" s="4"/>
      <c r="S135" s="4"/>
      <c r="T135" s="4"/>
    </row>
    <row r="136" spans="7:20" x14ac:dyDescent="0.3">
      <c r="G136" s="3"/>
      <c r="H136" s="3"/>
      <c r="I136" s="3"/>
      <c r="J136" s="3"/>
      <c r="K136" s="3"/>
      <c r="L136" s="3"/>
      <c r="M136" s="3"/>
      <c r="N136" s="35"/>
      <c r="O136" s="4"/>
      <c r="P136" s="4"/>
      <c r="Q136" s="4"/>
      <c r="R136" s="4"/>
      <c r="S136" s="4"/>
      <c r="T136" s="4"/>
    </row>
    <row r="137" spans="7:20" x14ac:dyDescent="0.3">
      <c r="G137" s="3"/>
      <c r="H137" s="3"/>
      <c r="I137" s="3"/>
      <c r="J137" s="3"/>
      <c r="K137" s="3"/>
      <c r="L137" s="3"/>
      <c r="M137" s="3"/>
      <c r="N137" s="35"/>
      <c r="O137" s="4"/>
      <c r="P137" s="4"/>
      <c r="Q137" s="4"/>
      <c r="R137" s="4"/>
      <c r="S137" s="4"/>
      <c r="T137" s="4"/>
    </row>
    <row r="138" spans="7:20" x14ac:dyDescent="0.3">
      <c r="G138" s="3"/>
      <c r="H138" s="3"/>
      <c r="I138" s="3"/>
      <c r="J138" s="3"/>
      <c r="K138" s="3"/>
      <c r="L138" s="3"/>
      <c r="M138" s="3"/>
      <c r="N138" s="35"/>
      <c r="O138" s="4"/>
      <c r="P138" s="4"/>
      <c r="Q138" s="4"/>
      <c r="R138" s="4"/>
      <c r="S138" s="4"/>
      <c r="T138" s="4"/>
    </row>
    <row r="139" spans="7:20" x14ac:dyDescent="0.3">
      <c r="G139" s="3"/>
      <c r="H139" s="3"/>
      <c r="I139" s="3"/>
      <c r="J139" s="3"/>
      <c r="K139" s="3"/>
      <c r="L139" s="3"/>
      <c r="M139" s="3"/>
      <c r="N139" s="35"/>
      <c r="O139" s="4"/>
      <c r="P139" s="4"/>
      <c r="Q139" s="4"/>
      <c r="R139" s="4"/>
      <c r="S139" s="4"/>
      <c r="T139" s="4"/>
    </row>
    <row r="140" spans="7:20" x14ac:dyDescent="0.3">
      <c r="G140" s="3"/>
      <c r="H140" s="3"/>
      <c r="I140" s="3"/>
      <c r="J140" s="3"/>
      <c r="K140" s="3"/>
      <c r="L140" s="3"/>
      <c r="M140" s="3"/>
      <c r="N140" s="35"/>
      <c r="O140" s="4"/>
      <c r="P140" s="4"/>
      <c r="Q140" s="4"/>
      <c r="R140" s="4"/>
      <c r="S140" s="4"/>
      <c r="T140" s="4"/>
    </row>
    <row r="141" spans="7:20" x14ac:dyDescent="0.3">
      <c r="G141" s="3"/>
      <c r="H141" s="3"/>
      <c r="I141" s="3"/>
      <c r="J141" s="3"/>
      <c r="K141" s="3"/>
      <c r="L141" s="3"/>
      <c r="M141" s="3"/>
      <c r="N141" s="35"/>
      <c r="O141" s="4"/>
      <c r="P141" s="4"/>
      <c r="Q141" s="4"/>
      <c r="R141" s="4"/>
      <c r="S141" s="4"/>
      <c r="T141" s="4"/>
    </row>
    <row r="142" spans="7:20" x14ac:dyDescent="0.3">
      <c r="G142" s="3"/>
      <c r="H142" s="3"/>
      <c r="I142" s="3"/>
      <c r="J142" s="3"/>
      <c r="K142" s="3"/>
      <c r="L142" s="3"/>
      <c r="M142" s="3"/>
      <c r="N142" s="35"/>
      <c r="O142" s="4"/>
      <c r="P142" s="4"/>
      <c r="Q142" s="4"/>
      <c r="R142" s="4"/>
      <c r="S142" s="4"/>
      <c r="T142" s="4"/>
    </row>
    <row r="143" spans="7:20" x14ac:dyDescent="0.3">
      <c r="G143" s="3"/>
      <c r="H143" s="3"/>
      <c r="I143" s="3"/>
      <c r="J143" s="3"/>
      <c r="K143" s="3"/>
      <c r="L143" s="3"/>
      <c r="M143" s="3"/>
      <c r="N143" s="35"/>
      <c r="O143" s="4"/>
      <c r="P143" s="4"/>
      <c r="Q143" s="4"/>
      <c r="R143" s="4"/>
      <c r="S143" s="4"/>
      <c r="T143" s="4"/>
    </row>
    <row r="144" spans="7:20" x14ac:dyDescent="0.3">
      <c r="G144" s="3"/>
      <c r="H144" s="3"/>
      <c r="I144" s="3"/>
      <c r="J144" s="3"/>
      <c r="K144" s="3"/>
      <c r="L144" s="3"/>
      <c r="M144" s="3"/>
      <c r="N144" s="35"/>
      <c r="O144" s="4"/>
      <c r="P144" s="4"/>
      <c r="Q144" s="4"/>
      <c r="R144" s="4"/>
      <c r="S144" s="4"/>
      <c r="T144" s="4"/>
    </row>
    <row r="145" spans="7:20" x14ac:dyDescent="0.3">
      <c r="G145" s="3"/>
      <c r="H145" s="3"/>
      <c r="I145" s="3"/>
      <c r="J145" s="3"/>
      <c r="K145" s="3"/>
      <c r="L145" s="3"/>
      <c r="M145" s="3"/>
      <c r="N145" s="35"/>
      <c r="O145" s="4"/>
      <c r="P145" s="4"/>
      <c r="Q145" s="4"/>
      <c r="R145" s="4"/>
      <c r="S145" s="4"/>
      <c r="T145" s="4"/>
    </row>
    <row r="146" spans="7:20" x14ac:dyDescent="0.3">
      <c r="G146" s="3"/>
      <c r="H146" s="3"/>
      <c r="I146" s="3"/>
      <c r="J146" s="3"/>
      <c r="K146" s="3"/>
      <c r="L146" s="3"/>
      <c r="M146" s="3"/>
      <c r="N146" s="35"/>
      <c r="O146" s="4"/>
      <c r="P146" s="4"/>
      <c r="Q146" s="4"/>
      <c r="R146" s="4"/>
      <c r="S146" s="4"/>
      <c r="T146" s="4"/>
    </row>
    <row r="147" spans="7:20" x14ac:dyDescent="0.3">
      <c r="G147" s="3"/>
      <c r="H147" s="3"/>
      <c r="I147" s="3"/>
      <c r="J147" s="3"/>
      <c r="K147" s="3"/>
      <c r="L147" s="3"/>
      <c r="M147" s="3"/>
      <c r="N147" s="35"/>
      <c r="O147" s="4"/>
      <c r="P147" s="4"/>
      <c r="Q147" s="4"/>
      <c r="R147" s="4"/>
      <c r="S147" s="4"/>
      <c r="T147" s="4"/>
    </row>
    <row r="148" spans="7:20" x14ac:dyDescent="0.3">
      <c r="G148" s="3"/>
      <c r="H148" s="3"/>
      <c r="I148" s="3"/>
      <c r="J148" s="3"/>
      <c r="K148" s="3"/>
      <c r="L148" s="3"/>
      <c r="M148" s="3"/>
      <c r="N148" s="35"/>
      <c r="O148" s="4"/>
      <c r="P148" s="4"/>
      <c r="Q148" s="4"/>
      <c r="R148" s="4"/>
      <c r="S148" s="4"/>
      <c r="T148" s="4"/>
    </row>
    <row r="149" spans="7:20" x14ac:dyDescent="0.3">
      <c r="G149" s="3"/>
      <c r="H149" s="3"/>
      <c r="I149" s="3"/>
      <c r="J149" s="3"/>
      <c r="K149" s="3"/>
      <c r="L149" s="3"/>
      <c r="M149" s="3"/>
      <c r="N149" s="35"/>
      <c r="O149" s="4"/>
      <c r="P149" s="4"/>
      <c r="Q149" s="4"/>
      <c r="R149" s="4"/>
      <c r="S149" s="4"/>
      <c r="T149" s="4"/>
    </row>
    <row r="150" spans="7:20" x14ac:dyDescent="0.3">
      <c r="G150" s="3"/>
      <c r="H150" s="3"/>
      <c r="I150" s="3"/>
      <c r="J150" s="3"/>
      <c r="K150" s="3"/>
      <c r="L150" s="3"/>
      <c r="M150" s="3"/>
      <c r="N150" s="35"/>
      <c r="O150" s="4"/>
      <c r="P150" s="4"/>
      <c r="Q150" s="4"/>
      <c r="R150" s="4"/>
      <c r="S150" s="4"/>
      <c r="T150" s="4"/>
    </row>
    <row r="151" spans="7:20" x14ac:dyDescent="0.3">
      <c r="G151" s="3"/>
      <c r="H151" s="3"/>
      <c r="I151" s="3"/>
      <c r="J151" s="3"/>
      <c r="K151" s="3"/>
      <c r="L151" s="3"/>
      <c r="M151" s="3"/>
      <c r="N151" s="35"/>
      <c r="O151" s="4"/>
      <c r="P151" s="4"/>
      <c r="Q151" s="4"/>
      <c r="R151" s="4"/>
      <c r="S151" s="4"/>
      <c r="T151" s="4"/>
    </row>
    <row r="152" spans="7:20" x14ac:dyDescent="0.3">
      <c r="G152" s="3"/>
      <c r="H152" s="3"/>
      <c r="I152" s="3"/>
      <c r="J152" s="3"/>
      <c r="K152" s="3"/>
      <c r="L152" s="3"/>
      <c r="M152" s="3"/>
      <c r="N152" s="35"/>
      <c r="O152" s="4"/>
      <c r="P152" s="4"/>
      <c r="Q152" s="4"/>
      <c r="R152" s="4"/>
      <c r="S152" s="4"/>
      <c r="T152" s="4"/>
    </row>
    <row r="153" spans="7:20" x14ac:dyDescent="0.3">
      <c r="G153" s="3"/>
      <c r="H153" s="3"/>
      <c r="I153" s="3"/>
      <c r="J153" s="3"/>
      <c r="K153" s="3"/>
      <c r="L153" s="3"/>
      <c r="M153" s="3"/>
      <c r="N153" s="35"/>
      <c r="O153" s="4"/>
      <c r="P153" s="4"/>
      <c r="Q153" s="4"/>
      <c r="R153" s="4"/>
      <c r="S153" s="4"/>
      <c r="T153" s="4"/>
    </row>
    <row r="154" spans="7:20" x14ac:dyDescent="0.3">
      <c r="G154" s="3"/>
      <c r="H154" s="3"/>
      <c r="I154" s="3"/>
      <c r="J154" s="3"/>
      <c r="K154" s="3"/>
      <c r="L154" s="3"/>
      <c r="M154" s="3"/>
      <c r="N154" s="35"/>
      <c r="O154" s="4"/>
      <c r="P154" s="4"/>
      <c r="Q154" s="4"/>
      <c r="R154" s="4"/>
      <c r="S154" s="4"/>
      <c r="T154" s="4"/>
    </row>
    <row r="155" spans="7:20" x14ac:dyDescent="0.3">
      <c r="G155" s="3"/>
      <c r="H155" s="3"/>
      <c r="I155" s="3"/>
      <c r="J155" s="3"/>
      <c r="K155" s="3"/>
      <c r="L155" s="3"/>
      <c r="M155" s="3"/>
      <c r="N155" s="35"/>
      <c r="O155" s="4"/>
      <c r="P155" s="4"/>
      <c r="Q155" s="4"/>
      <c r="R155" s="4"/>
      <c r="S155" s="4"/>
      <c r="T155" s="4"/>
    </row>
    <row r="156" spans="7:20" x14ac:dyDescent="0.3">
      <c r="G156" s="3"/>
      <c r="H156" s="3"/>
      <c r="I156" s="3"/>
      <c r="J156" s="3"/>
      <c r="K156" s="3"/>
      <c r="L156" s="3"/>
      <c r="M156" s="3"/>
      <c r="N156" s="35"/>
      <c r="O156" s="4"/>
      <c r="P156" s="4"/>
      <c r="Q156" s="4"/>
      <c r="R156" s="4"/>
      <c r="S156" s="4"/>
      <c r="T156" s="4"/>
    </row>
  </sheetData>
  <sheetProtection formatCells="0" formatColumns="0" formatRows="0" insertColumns="0" insertRows="0" sort="0" autoFilter="0" pivotTables="0"/>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9BD5-DFFE-43C5-82DD-A6BBB976EB45}">
  <dimension ref="A1:AC97"/>
  <sheetViews>
    <sheetView topLeftCell="A2" zoomScale="80" zoomScaleNormal="80" workbookViewId="0">
      <selection activeCell="W17" sqref="W17"/>
    </sheetView>
  </sheetViews>
  <sheetFormatPr defaultColWidth="9.109375" defaultRowHeight="15.6" x14ac:dyDescent="0.3"/>
  <cols>
    <col min="1" max="1" width="3.5546875" style="6" customWidth="1"/>
    <col min="2" max="2" width="80.5546875" style="6" customWidth="1"/>
    <col min="3" max="3" width="18.5546875" style="7" customWidth="1"/>
    <col min="4" max="4" width="18.5546875" style="6" customWidth="1"/>
    <col min="5" max="5" width="1.5546875" style="8" customWidth="1"/>
    <col min="6" max="6" width="3.5546875" style="1" customWidth="1"/>
    <col min="7" max="7" width="45" style="1" customWidth="1"/>
    <col min="8" max="8" width="16.5546875" style="1" customWidth="1"/>
    <col min="9" max="9" width="18.44140625" style="1" customWidth="1"/>
    <col min="10" max="10" width="20.5546875" style="1" customWidth="1"/>
    <col min="11" max="11" width="18.44140625" style="1" customWidth="1"/>
    <col min="12" max="12" width="21.21875" style="1" customWidth="1"/>
    <col min="13" max="13" width="1.5546875" style="8" customWidth="1"/>
    <col min="14" max="14" width="3.5546875" style="1" customWidth="1"/>
    <col min="15" max="15" width="45" style="1" customWidth="1"/>
    <col min="16" max="16" width="16.5546875" style="1" customWidth="1"/>
    <col min="17" max="17" width="17" style="1" customWidth="1"/>
    <col min="18" max="19" width="20.5546875" style="1" customWidth="1"/>
    <col min="20" max="20" width="16.5546875" style="1" customWidth="1"/>
    <col min="21" max="21" width="1.5546875" style="8" customWidth="1"/>
    <col min="22" max="22" width="9.109375" style="1"/>
    <col min="23" max="23" width="43.21875" style="1" customWidth="1"/>
    <col min="24" max="28" width="9.109375" style="1"/>
    <col min="29" max="29" width="1.5546875" style="8" customWidth="1"/>
    <col min="30" max="30" width="9" style="1" customWidth="1"/>
    <col min="31" max="16384" width="9.109375" style="1"/>
  </cols>
  <sheetData>
    <row r="1" spans="1:28" x14ac:dyDescent="0.3">
      <c r="A1" s="5" t="s">
        <v>5</v>
      </c>
      <c r="F1" s="5" t="s">
        <v>5</v>
      </c>
      <c r="G1" s="6"/>
      <c r="H1" s="6"/>
      <c r="I1" s="6"/>
      <c r="J1" s="6"/>
      <c r="K1" s="6"/>
      <c r="L1" s="6"/>
      <c r="N1" s="5" t="s">
        <v>5</v>
      </c>
      <c r="O1" s="6"/>
      <c r="P1" s="6"/>
      <c r="Q1" s="6"/>
      <c r="R1" s="6"/>
      <c r="S1" s="6"/>
      <c r="T1" s="6"/>
      <c r="V1" s="5" t="s">
        <v>5</v>
      </c>
      <c r="W1" s="6"/>
      <c r="X1" s="6"/>
      <c r="Y1" s="6"/>
      <c r="Z1" s="6"/>
      <c r="AA1" s="6"/>
      <c r="AB1" s="6"/>
    </row>
    <row r="2" spans="1:28" x14ac:dyDescent="0.3">
      <c r="A2" s="5" t="s">
        <v>40</v>
      </c>
      <c r="F2" s="5" t="s">
        <v>40</v>
      </c>
      <c r="G2" s="6"/>
      <c r="H2" s="6"/>
      <c r="I2" s="6"/>
      <c r="J2" s="6"/>
      <c r="K2" s="6"/>
      <c r="L2" s="6"/>
      <c r="N2" s="5" t="s">
        <v>40</v>
      </c>
      <c r="O2" s="6"/>
      <c r="P2" s="6"/>
      <c r="Q2" s="6"/>
      <c r="R2" s="6"/>
      <c r="S2" s="6"/>
      <c r="T2" s="6"/>
      <c r="V2" s="5" t="s">
        <v>40</v>
      </c>
      <c r="W2" s="6"/>
      <c r="X2" s="6"/>
      <c r="Y2" s="6"/>
      <c r="Z2" s="6"/>
      <c r="AA2" s="6"/>
      <c r="AB2" s="6"/>
    </row>
    <row r="3" spans="1:28" x14ac:dyDescent="0.3">
      <c r="A3" s="5" t="s">
        <v>122</v>
      </c>
      <c r="F3" s="5" t="s">
        <v>122</v>
      </c>
      <c r="G3" s="6"/>
      <c r="H3" s="6"/>
      <c r="I3" s="6"/>
      <c r="J3" s="6"/>
      <c r="K3" s="6"/>
      <c r="L3" s="6"/>
      <c r="N3" s="5" t="s">
        <v>122</v>
      </c>
      <c r="O3" s="6"/>
      <c r="P3" s="6"/>
      <c r="Q3" s="6"/>
      <c r="R3" s="6"/>
      <c r="S3" s="6"/>
      <c r="T3" s="6"/>
      <c r="V3" s="5" t="s">
        <v>122</v>
      </c>
      <c r="W3" s="6"/>
      <c r="X3" s="6"/>
      <c r="Y3" s="6"/>
      <c r="Z3" s="6"/>
      <c r="AA3" s="6"/>
      <c r="AB3" s="6"/>
    </row>
    <row r="4" spans="1:28" x14ac:dyDescent="0.3">
      <c r="F4" s="6"/>
      <c r="G4" s="6"/>
      <c r="H4" s="6"/>
      <c r="I4" s="6"/>
      <c r="J4" s="6"/>
      <c r="K4" s="6"/>
      <c r="L4" s="6"/>
      <c r="N4" s="6"/>
      <c r="O4" s="6"/>
      <c r="P4" s="6"/>
      <c r="Q4" s="6"/>
      <c r="R4" s="6"/>
      <c r="S4" s="6"/>
      <c r="T4" s="6"/>
      <c r="V4" s="6"/>
      <c r="W4" s="6"/>
      <c r="X4" s="6"/>
      <c r="Y4" s="6"/>
      <c r="Z4" s="6"/>
      <c r="AA4" s="6"/>
      <c r="AB4" s="6"/>
    </row>
    <row r="5" spans="1:28" ht="16.2" x14ac:dyDescent="0.35">
      <c r="A5" s="9" t="s">
        <v>0</v>
      </c>
      <c r="D5" s="7"/>
      <c r="F5" s="9" t="s">
        <v>121</v>
      </c>
      <c r="G5" s="6"/>
      <c r="H5" s="6"/>
      <c r="I5" s="6"/>
      <c r="J5" s="6"/>
      <c r="K5" s="6"/>
      <c r="L5" s="6"/>
      <c r="N5" s="9" t="s">
        <v>120</v>
      </c>
      <c r="O5" s="6"/>
      <c r="P5" s="6"/>
      <c r="Q5" s="6"/>
      <c r="R5" s="6"/>
      <c r="S5" s="6"/>
      <c r="T5" s="6"/>
      <c r="V5" s="9" t="s">
        <v>119</v>
      </c>
      <c r="W5" s="6"/>
      <c r="X5" s="6"/>
      <c r="Y5" s="6"/>
      <c r="Z5" s="6"/>
      <c r="AA5" s="6"/>
      <c r="AB5" s="6"/>
    </row>
    <row r="6" spans="1:28" x14ac:dyDescent="0.3">
      <c r="D6" s="7"/>
      <c r="F6" s="6"/>
      <c r="G6" s="6"/>
      <c r="H6" s="6"/>
      <c r="I6" s="6"/>
      <c r="J6" s="6"/>
      <c r="K6" s="6"/>
      <c r="L6" s="6"/>
      <c r="N6" s="6"/>
      <c r="O6" s="6"/>
      <c r="P6" s="6"/>
      <c r="Q6" s="6"/>
      <c r="R6" s="6"/>
      <c r="S6" s="6"/>
      <c r="T6" s="6"/>
      <c r="V6" s="6"/>
      <c r="W6" s="6"/>
      <c r="X6" s="6"/>
      <c r="Y6" s="6"/>
      <c r="Z6" s="6"/>
      <c r="AA6" s="6"/>
      <c r="AB6" s="6"/>
    </row>
    <row r="7" spans="1:28" x14ac:dyDescent="0.3">
      <c r="B7" s="6" t="s">
        <v>118</v>
      </c>
      <c r="D7" s="7"/>
      <c r="F7" s="6" t="s">
        <v>1</v>
      </c>
      <c r="G7" s="6" t="s">
        <v>117</v>
      </c>
      <c r="H7" s="6"/>
      <c r="I7" s="6"/>
      <c r="J7" s="6"/>
      <c r="K7" s="6"/>
      <c r="L7" s="6"/>
      <c r="N7" s="6" t="s">
        <v>34</v>
      </c>
      <c r="O7" s="6" t="s">
        <v>116</v>
      </c>
      <c r="P7" s="6"/>
      <c r="Q7" s="6"/>
      <c r="R7" s="6"/>
      <c r="S7" s="6"/>
      <c r="T7" s="6"/>
      <c r="V7" s="6" t="s">
        <v>115</v>
      </c>
      <c r="W7" s="6" t="s">
        <v>114</v>
      </c>
      <c r="X7" s="6"/>
      <c r="Y7" s="6"/>
      <c r="Z7" s="6"/>
      <c r="AA7" s="6"/>
      <c r="AB7" s="6"/>
    </row>
    <row r="8" spans="1:28" x14ac:dyDescent="0.3">
      <c r="B8" s="6" t="s">
        <v>113</v>
      </c>
      <c r="D8" s="7"/>
      <c r="F8" s="6"/>
      <c r="G8" s="6"/>
      <c r="H8" s="6"/>
      <c r="I8" s="6"/>
      <c r="J8" s="6"/>
      <c r="K8" s="6"/>
      <c r="L8" s="6"/>
      <c r="N8" s="6"/>
      <c r="O8" s="6"/>
      <c r="P8" s="6"/>
      <c r="Q8" s="6"/>
      <c r="R8" s="6"/>
      <c r="S8" s="6"/>
      <c r="T8" s="6"/>
      <c r="V8" s="6"/>
      <c r="W8" s="6" t="s">
        <v>55</v>
      </c>
      <c r="X8" s="6"/>
      <c r="Y8" s="6"/>
      <c r="Z8" s="6"/>
      <c r="AA8" s="6"/>
      <c r="AB8" s="6"/>
    </row>
    <row r="9" spans="1:28" x14ac:dyDescent="0.3">
      <c r="B9" s="6" t="s">
        <v>112</v>
      </c>
      <c r="D9" s="7"/>
      <c r="F9" s="6"/>
      <c r="G9" s="6"/>
      <c r="H9" s="6"/>
      <c r="I9" s="6"/>
      <c r="J9" s="6"/>
      <c r="K9" s="6"/>
      <c r="L9" s="6"/>
      <c r="N9" s="6"/>
      <c r="O9" s="6" t="s">
        <v>64</v>
      </c>
      <c r="P9" s="6"/>
      <c r="Q9" s="6"/>
      <c r="R9" s="6"/>
      <c r="S9" s="6"/>
      <c r="T9" s="6"/>
      <c r="V9" s="6"/>
      <c r="W9" s="6"/>
      <c r="X9" s="6"/>
      <c r="Y9" s="6"/>
      <c r="Z9" s="6"/>
      <c r="AA9" s="6"/>
      <c r="AB9" s="6"/>
    </row>
    <row r="10" spans="1:28" x14ac:dyDescent="0.3">
      <c r="D10" s="7"/>
      <c r="F10" s="6"/>
      <c r="G10" s="6"/>
      <c r="H10" s="6"/>
      <c r="I10" s="6"/>
      <c r="J10" s="6"/>
      <c r="K10" s="6"/>
      <c r="L10" s="6"/>
      <c r="N10" s="6"/>
      <c r="O10" s="6" t="s">
        <v>62</v>
      </c>
      <c r="P10" s="6"/>
      <c r="Q10" s="6"/>
      <c r="R10" s="6"/>
      <c r="S10" s="6"/>
      <c r="T10" s="6"/>
      <c r="V10" s="6"/>
      <c r="W10" s="6" t="s">
        <v>52</v>
      </c>
      <c r="X10" s="6"/>
      <c r="Y10" s="6"/>
      <c r="Z10" s="6"/>
      <c r="AA10" s="6"/>
      <c r="AB10" s="6"/>
    </row>
    <row r="11" spans="1:28" x14ac:dyDescent="0.3">
      <c r="B11" s="57" t="s">
        <v>87</v>
      </c>
      <c r="C11" s="49"/>
      <c r="D11" s="7"/>
      <c r="F11" s="6"/>
      <c r="G11" s="6"/>
      <c r="H11" s="6"/>
      <c r="I11" s="6"/>
      <c r="J11" s="6"/>
      <c r="K11" s="6"/>
      <c r="L11" s="6"/>
      <c r="N11" s="6"/>
      <c r="O11" s="6"/>
      <c r="P11" s="6"/>
      <c r="Q11" s="6"/>
      <c r="R11" s="6"/>
      <c r="S11" s="6"/>
      <c r="T11" s="6"/>
      <c r="V11" s="6"/>
      <c r="W11" s="6"/>
      <c r="X11" s="6"/>
      <c r="Y11" s="6"/>
      <c r="Z11" s="6"/>
      <c r="AA11" s="6"/>
      <c r="AB11" s="6"/>
    </row>
    <row r="12" spans="1:28" x14ac:dyDescent="0.3">
      <c r="B12" s="56" t="s">
        <v>85</v>
      </c>
      <c r="C12" s="49">
        <v>22500325</v>
      </c>
      <c r="D12" s="7"/>
      <c r="F12" s="6"/>
      <c r="G12" s="6"/>
      <c r="H12" s="6"/>
      <c r="I12" s="6"/>
      <c r="J12" s="6"/>
      <c r="K12" s="6"/>
      <c r="L12" s="6"/>
      <c r="N12" s="6"/>
      <c r="O12" s="6"/>
      <c r="P12" s="6"/>
      <c r="Q12" s="6"/>
      <c r="R12" s="6"/>
      <c r="S12" s="6"/>
      <c r="T12" s="6"/>
      <c r="V12" s="6"/>
      <c r="W12" s="6"/>
      <c r="X12" s="6"/>
      <c r="Y12" s="6"/>
      <c r="Z12" s="6"/>
      <c r="AA12" s="6"/>
      <c r="AB12" s="6"/>
    </row>
    <row r="13" spans="1:28" x14ac:dyDescent="0.3">
      <c r="B13" s="56" t="s">
        <v>83</v>
      </c>
      <c r="C13" s="49">
        <v>18465100</v>
      </c>
      <c r="D13" s="7"/>
    </row>
    <row r="14" spans="1:28" ht="16.2" x14ac:dyDescent="0.35">
      <c r="B14" s="55" t="s">
        <v>81</v>
      </c>
      <c r="C14" s="54">
        <v>38315000</v>
      </c>
      <c r="D14" s="7"/>
      <c r="G14" s="66" t="s">
        <v>111</v>
      </c>
      <c r="O14" s="66" t="s">
        <v>111</v>
      </c>
    </row>
    <row r="15" spans="1:28" x14ac:dyDescent="0.3">
      <c r="B15" s="55" t="s">
        <v>84</v>
      </c>
      <c r="C15" s="54">
        <v>523000</v>
      </c>
      <c r="D15" s="65"/>
      <c r="G15" s="42" t="s">
        <v>110</v>
      </c>
      <c r="O15" s="42" t="s">
        <v>86</v>
      </c>
      <c r="W15" s="36" t="s">
        <v>109</v>
      </c>
    </row>
    <row r="16" spans="1:28" x14ac:dyDescent="0.3">
      <c r="B16" s="53" t="s">
        <v>79</v>
      </c>
      <c r="C16" s="52">
        <v>5.2499999999999998E-2</v>
      </c>
      <c r="D16" s="65"/>
      <c r="G16" s="42" t="s">
        <v>95</v>
      </c>
      <c r="O16" s="42" t="s">
        <v>108</v>
      </c>
      <c r="W16" s="36" t="s">
        <v>107</v>
      </c>
    </row>
    <row r="17" spans="1:20" x14ac:dyDescent="0.3">
      <c r="B17" s="50" t="s">
        <v>106</v>
      </c>
      <c r="C17" s="52">
        <v>5.45E-2</v>
      </c>
      <c r="D17" s="65"/>
      <c r="G17" s="1" t="s">
        <v>93</v>
      </c>
      <c r="K17" s="51">
        <f>C21</f>
        <v>-9543300</v>
      </c>
      <c r="O17" s="1" t="s">
        <v>85</v>
      </c>
      <c r="S17" s="63">
        <f>C12*55/50</f>
        <v>24750357.5</v>
      </c>
      <c r="T17" s="37"/>
    </row>
    <row r="18" spans="1:20" x14ac:dyDescent="0.3">
      <c r="B18" s="50" t="s">
        <v>105</v>
      </c>
      <c r="C18" s="54">
        <v>2400000</v>
      </c>
      <c r="D18" s="64"/>
      <c r="G18" s="1" t="s">
        <v>91</v>
      </c>
      <c r="K18" s="51">
        <f>10%*(MAX(C12+C13,C14))</f>
        <v>4096542.5</v>
      </c>
      <c r="O18" s="1" t="s">
        <v>83</v>
      </c>
      <c r="S18" s="63">
        <f>C13</f>
        <v>18465100</v>
      </c>
    </row>
    <row r="19" spans="1:20" x14ac:dyDescent="0.3">
      <c r="B19" s="50" t="s">
        <v>104</v>
      </c>
      <c r="C19" s="54">
        <v>725000</v>
      </c>
      <c r="D19" s="61"/>
      <c r="G19" s="1" t="s">
        <v>90</v>
      </c>
      <c r="K19" s="40">
        <f>SIGN(K17)*MAX(0,ABS(K17)-K18)</f>
        <v>-5446757.5</v>
      </c>
    </row>
    <row r="20" spans="1:20" x14ac:dyDescent="0.3">
      <c r="B20" s="50" t="s">
        <v>103</v>
      </c>
      <c r="C20" s="54">
        <v>0</v>
      </c>
      <c r="D20" s="61"/>
      <c r="G20" s="1" t="s">
        <v>88</v>
      </c>
      <c r="K20" s="40">
        <f>K19/C23</f>
        <v>-389054.10714285716</v>
      </c>
      <c r="O20" s="1" t="s">
        <v>84</v>
      </c>
      <c r="S20" s="43">
        <f>C15*55/50</f>
        <v>575300</v>
      </c>
      <c r="T20" s="37"/>
    </row>
    <row r="21" spans="1:20" x14ac:dyDescent="0.3">
      <c r="B21" s="50" t="s">
        <v>43</v>
      </c>
      <c r="C21" s="54">
        <v>-9543300</v>
      </c>
      <c r="D21" s="61"/>
      <c r="T21" s="37"/>
    </row>
    <row r="22" spans="1:20" ht="16.2" x14ac:dyDescent="0.35">
      <c r="B22" s="50" t="s">
        <v>102</v>
      </c>
      <c r="C22" s="54" t="s">
        <v>91</v>
      </c>
      <c r="D22" s="61"/>
      <c r="G22" s="42" t="s">
        <v>101</v>
      </c>
      <c r="J22" s="41" t="s">
        <v>44</v>
      </c>
      <c r="K22" s="41"/>
      <c r="O22" s="1" t="s">
        <v>100</v>
      </c>
      <c r="S22" s="40">
        <f>SUM(S17:S18)-SUM(C12:C13)</f>
        <v>2250032.5</v>
      </c>
    </row>
    <row r="23" spans="1:20" x14ac:dyDescent="0.3">
      <c r="B23" s="48" t="s">
        <v>75</v>
      </c>
      <c r="C23" s="47">
        <v>14</v>
      </c>
      <c r="D23" s="61"/>
      <c r="G23" s="1" t="s">
        <v>84</v>
      </c>
      <c r="J23" s="51">
        <f>C15</f>
        <v>523000</v>
      </c>
      <c r="K23" s="51"/>
      <c r="S23" s="62"/>
    </row>
    <row r="24" spans="1:20" ht="16.2" x14ac:dyDescent="0.35">
      <c r="C24" s="6"/>
      <c r="D24" s="61"/>
      <c r="G24" s="1" t="s">
        <v>82</v>
      </c>
      <c r="J24" s="51">
        <f>(C12+C13+J23)*$C$16-$C$18*$C$16*0.5</f>
        <v>2115142.3125</v>
      </c>
      <c r="K24" s="51"/>
      <c r="O24" s="1" t="s">
        <v>99</v>
      </c>
      <c r="R24" s="41"/>
      <c r="S24" s="41"/>
    </row>
    <row r="25" spans="1:20" x14ac:dyDescent="0.3">
      <c r="A25" s="13" t="s">
        <v>4</v>
      </c>
      <c r="C25" s="6"/>
      <c r="D25" s="61"/>
      <c r="G25" s="1" t="s">
        <v>80</v>
      </c>
      <c r="J25" s="51">
        <f>-($C$14*$C$17+($C$19-$C$18)*$C$17/2)</f>
        <v>-2042523.75</v>
      </c>
      <c r="K25" s="51"/>
      <c r="O25" s="42" t="s">
        <v>47</v>
      </c>
      <c r="R25" s="40"/>
      <c r="S25" s="40"/>
    </row>
    <row r="26" spans="1:20" x14ac:dyDescent="0.3">
      <c r="B26" s="6" t="s">
        <v>98</v>
      </c>
      <c r="D26" s="11"/>
      <c r="G26" s="1" t="s">
        <v>78</v>
      </c>
      <c r="J26" s="51">
        <f>K20</f>
        <v>-389054.10714285716</v>
      </c>
      <c r="K26" s="51"/>
      <c r="O26" s="1" t="s">
        <v>97</v>
      </c>
      <c r="R26" s="40"/>
      <c r="S26" s="40">
        <f>S22</f>
        <v>2250032.5</v>
      </c>
    </row>
    <row r="27" spans="1:20" x14ac:dyDescent="0.3">
      <c r="D27" s="7"/>
      <c r="G27" s="1" t="s">
        <v>47</v>
      </c>
      <c r="J27" s="51">
        <v>0</v>
      </c>
      <c r="K27" s="51"/>
      <c r="O27" s="1" t="s">
        <v>75</v>
      </c>
      <c r="S27" s="60">
        <f>C23</f>
        <v>14</v>
      </c>
    </row>
    <row r="28" spans="1:20" x14ac:dyDescent="0.3">
      <c r="B28" s="6" t="s">
        <v>2</v>
      </c>
      <c r="D28" s="12"/>
      <c r="O28" s="1" t="s">
        <v>47</v>
      </c>
      <c r="S28" s="51">
        <f>S26/S27</f>
        <v>160716.60714285713</v>
      </c>
    </row>
    <row r="29" spans="1:20" x14ac:dyDescent="0.3">
      <c r="D29" s="12"/>
      <c r="G29" s="39" t="s">
        <v>74</v>
      </c>
      <c r="H29" s="39"/>
      <c r="I29" s="39"/>
      <c r="J29" s="38">
        <f>SUM(J23:J27)</f>
        <v>206564.45535714284</v>
      </c>
      <c r="K29" s="38"/>
    </row>
    <row r="30" spans="1:20" x14ac:dyDescent="0.3">
      <c r="A30" s="13"/>
      <c r="B30" s="58" t="s">
        <v>96</v>
      </c>
      <c r="C30" s="59"/>
      <c r="D30" s="12"/>
      <c r="G30" s="2"/>
      <c r="H30" s="46"/>
      <c r="I30" s="46"/>
      <c r="J30" s="46"/>
      <c r="O30" s="42" t="s">
        <v>95</v>
      </c>
      <c r="T30" s="37"/>
    </row>
    <row r="31" spans="1:20" x14ac:dyDescent="0.3">
      <c r="B31" s="58" t="s">
        <v>94</v>
      </c>
      <c r="G31" s="2"/>
      <c r="H31" s="46"/>
      <c r="O31" s="1" t="s">
        <v>93</v>
      </c>
      <c r="S31" s="51">
        <f>K17</f>
        <v>-9543300</v>
      </c>
      <c r="T31" s="37"/>
    </row>
    <row r="32" spans="1:20" x14ac:dyDescent="0.3">
      <c r="B32" s="58" t="s">
        <v>92</v>
      </c>
      <c r="O32" s="1" t="s">
        <v>91</v>
      </c>
      <c r="S32" s="51">
        <f>10%*(MAX(S17+S18,C14))</f>
        <v>4321545.75</v>
      </c>
    </row>
    <row r="33" spans="1:20" ht="16.2" x14ac:dyDescent="0.35">
      <c r="B33" s="58"/>
      <c r="G33" s="44"/>
      <c r="H33" s="46"/>
      <c r="I33" s="46"/>
      <c r="J33" s="41"/>
      <c r="K33" s="41"/>
      <c r="O33" s="1" t="s">
        <v>90</v>
      </c>
      <c r="S33" s="40">
        <f>SIGN(S31)*MAX(0,ABS(S31)-S32)</f>
        <v>-5221754.25</v>
      </c>
    </row>
    <row r="34" spans="1:20" x14ac:dyDescent="0.3">
      <c r="A34" s="13"/>
      <c r="B34" s="6" t="s">
        <v>89</v>
      </c>
      <c r="G34" s="2"/>
      <c r="H34" s="46"/>
      <c r="I34" s="46"/>
      <c r="J34" s="46"/>
      <c r="O34" s="1" t="s">
        <v>88</v>
      </c>
      <c r="S34" s="40">
        <f>S33/C23</f>
        <v>-372982.44642857142</v>
      </c>
    </row>
    <row r="35" spans="1:20" x14ac:dyDescent="0.3">
      <c r="G35" s="2"/>
      <c r="H35" s="2"/>
      <c r="I35" s="2"/>
      <c r="J35" s="2"/>
      <c r="K35" s="2"/>
    </row>
    <row r="36" spans="1:20" ht="16.2" x14ac:dyDescent="0.35">
      <c r="B36" s="57" t="s">
        <v>87</v>
      </c>
      <c r="C36" s="49"/>
      <c r="G36" s="2"/>
      <c r="H36" s="2"/>
      <c r="I36" s="2"/>
      <c r="J36" s="2"/>
      <c r="K36" s="2"/>
      <c r="O36" s="42" t="s">
        <v>86</v>
      </c>
      <c r="R36" s="41" t="s">
        <v>44</v>
      </c>
      <c r="S36" s="41"/>
    </row>
    <row r="37" spans="1:20" x14ac:dyDescent="0.3">
      <c r="B37" s="56" t="s">
        <v>85</v>
      </c>
      <c r="C37" s="49">
        <v>27099000</v>
      </c>
      <c r="G37" s="2"/>
      <c r="H37" s="2"/>
      <c r="I37" s="2"/>
      <c r="J37" s="2"/>
      <c r="K37" s="2"/>
      <c r="O37" s="1" t="s">
        <v>84</v>
      </c>
      <c r="R37" s="51">
        <f>$S$20</f>
        <v>575300</v>
      </c>
      <c r="S37" s="51"/>
    </row>
    <row r="38" spans="1:20" x14ac:dyDescent="0.3">
      <c r="B38" s="56" t="s">
        <v>83</v>
      </c>
      <c r="C38" s="49">
        <v>16732000</v>
      </c>
      <c r="G38" s="2"/>
      <c r="H38" s="2"/>
      <c r="I38" s="2"/>
      <c r="J38" s="2"/>
      <c r="K38" s="2"/>
      <c r="O38" s="1" t="s">
        <v>82</v>
      </c>
      <c r="R38" s="51">
        <f>(S17+S18+S20)*$C$16-$C$18*$C$16*0.5</f>
        <v>2236014.7687499998</v>
      </c>
      <c r="S38" s="51"/>
    </row>
    <row r="39" spans="1:20" x14ac:dyDescent="0.3">
      <c r="B39" s="55" t="s">
        <v>81</v>
      </c>
      <c r="C39" s="54">
        <v>36474000</v>
      </c>
      <c r="G39" s="2"/>
      <c r="H39" s="2"/>
      <c r="I39" s="2"/>
      <c r="J39" s="2"/>
      <c r="K39" s="2"/>
      <c r="O39" s="1" t="s">
        <v>80</v>
      </c>
      <c r="R39" s="51">
        <f>-($C$14*$C$17+($C$19-$C$18)*$C$17/2)</f>
        <v>-2042523.75</v>
      </c>
      <c r="S39" s="51"/>
    </row>
    <row r="40" spans="1:20" ht="15.75" customHeight="1" x14ac:dyDescent="0.3">
      <c r="B40" s="53" t="s">
        <v>79</v>
      </c>
      <c r="C40" s="52">
        <v>5.2499999999999998E-2</v>
      </c>
      <c r="G40" s="2"/>
      <c r="H40" s="2"/>
      <c r="I40" s="2"/>
      <c r="J40" s="2"/>
      <c r="K40" s="2"/>
      <c r="O40" s="1" t="s">
        <v>78</v>
      </c>
      <c r="R40" s="51">
        <f>S34</f>
        <v>-372982.44642857142</v>
      </c>
      <c r="S40" s="51"/>
    </row>
    <row r="41" spans="1:20" x14ac:dyDescent="0.3">
      <c r="B41" s="50" t="s">
        <v>77</v>
      </c>
      <c r="C41" s="49">
        <v>2750000</v>
      </c>
      <c r="G41" s="2"/>
      <c r="H41" s="2"/>
      <c r="I41" s="2"/>
      <c r="J41" s="2"/>
      <c r="K41" s="2"/>
      <c r="O41" s="1" t="s">
        <v>47</v>
      </c>
      <c r="R41" s="51">
        <f>S28</f>
        <v>160716.60714285713</v>
      </c>
      <c r="S41" s="51"/>
    </row>
    <row r="42" spans="1:20" x14ac:dyDescent="0.3">
      <c r="B42" s="50" t="s">
        <v>76</v>
      </c>
      <c r="C42" s="49">
        <v>775000</v>
      </c>
      <c r="G42" s="2"/>
      <c r="H42" s="2"/>
      <c r="I42" s="2"/>
      <c r="J42" s="2"/>
      <c r="K42" s="2"/>
    </row>
    <row r="43" spans="1:20" x14ac:dyDescent="0.3">
      <c r="B43" s="48" t="s">
        <v>75</v>
      </c>
      <c r="C43" s="47">
        <v>13.5</v>
      </c>
      <c r="G43" s="2"/>
      <c r="H43" s="2"/>
      <c r="I43" s="2"/>
      <c r="J43" s="2"/>
      <c r="K43" s="2"/>
      <c r="O43" s="39" t="s">
        <v>74</v>
      </c>
      <c r="P43" s="39"/>
      <c r="Q43" s="39"/>
      <c r="R43" s="38">
        <f>SUM(R37:R41)</f>
        <v>556525.17946428549</v>
      </c>
      <c r="S43" s="38"/>
    </row>
    <row r="44" spans="1:20" x14ac:dyDescent="0.3">
      <c r="C44" s="6"/>
      <c r="G44" s="2"/>
      <c r="H44" s="2"/>
      <c r="I44" s="2"/>
      <c r="J44" s="2"/>
      <c r="K44" s="2"/>
    </row>
    <row r="45" spans="1:20" ht="16.2" x14ac:dyDescent="0.35">
      <c r="A45" s="13"/>
      <c r="B45" s="6" t="s">
        <v>73</v>
      </c>
      <c r="C45" s="6"/>
      <c r="G45" s="2"/>
      <c r="H45" s="2"/>
      <c r="I45" s="2"/>
      <c r="J45" s="2"/>
      <c r="K45" s="2"/>
      <c r="O45" s="44" t="s">
        <v>72</v>
      </c>
      <c r="P45" s="46"/>
      <c r="R45" s="41" t="s">
        <v>44</v>
      </c>
      <c r="S45" s="41"/>
    </row>
    <row r="46" spans="1:20" x14ac:dyDescent="0.3">
      <c r="B46" s="6" t="s">
        <v>71</v>
      </c>
      <c r="C46" s="6"/>
      <c r="O46" s="2" t="s">
        <v>70</v>
      </c>
      <c r="P46" s="46"/>
      <c r="S46" s="40"/>
    </row>
    <row r="47" spans="1:20" x14ac:dyDescent="0.3">
      <c r="C47" s="6"/>
      <c r="G47" s="1" t="s">
        <v>69</v>
      </c>
      <c r="O47" s="2" t="s">
        <v>68</v>
      </c>
      <c r="R47" s="46">
        <f>(S17+S18+R37+R38-C41)</f>
        <v>43276772.268749997</v>
      </c>
      <c r="S47" s="40"/>
    </row>
    <row r="48" spans="1:20" x14ac:dyDescent="0.3">
      <c r="A48" s="13" t="s">
        <v>3</v>
      </c>
      <c r="C48" s="6"/>
      <c r="R48" s="45"/>
      <c r="S48" s="45"/>
      <c r="T48" s="37"/>
    </row>
    <row r="49" spans="1:20" x14ac:dyDescent="0.3">
      <c r="B49" s="6" t="s">
        <v>67</v>
      </c>
      <c r="C49" s="6"/>
      <c r="O49" s="1" t="s">
        <v>66</v>
      </c>
      <c r="T49" s="37"/>
    </row>
    <row r="50" spans="1:20" x14ac:dyDescent="0.3">
      <c r="C50" s="6"/>
      <c r="O50" s="1" t="s">
        <v>65</v>
      </c>
      <c r="R50" s="46">
        <f>$C$14+(C42-C41)-R39</f>
        <v>38382523.75</v>
      </c>
      <c r="S50" s="46"/>
    </row>
    <row r="51" spans="1:20" x14ac:dyDescent="0.3">
      <c r="B51" s="6" t="s">
        <v>64</v>
      </c>
      <c r="C51" s="6"/>
      <c r="R51" s="45"/>
      <c r="S51" s="45"/>
    </row>
    <row r="52" spans="1:20" x14ac:dyDescent="0.3">
      <c r="C52" s="6"/>
      <c r="O52" s="1" t="s">
        <v>63</v>
      </c>
      <c r="R52" s="40"/>
      <c r="S52" s="40"/>
    </row>
    <row r="53" spans="1:20" x14ac:dyDescent="0.3">
      <c r="B53" s="6" t="s">
        <v>62</v>
      </c>
      <c r="C53" s="6"/>
      <c r="O53" s="1" t="s">
        <v>61</v>
      </c>
      <c r="R53" s="40">
        <f>S31-S34</f>
        <v>-9170317.5535714291</v>
      </c>
      <c r="S53" s="40"/>
    </row>
    <row r="54" spans="1:20" x14ac:dyDescent="0.3">
      <c r="C54" s="6"/>
    </row>
    <row r="55" spans="1:20" x14ac:dyDescent="0.3">
      <c r="B55" s="6" t="s">
        <v>2</v>
      </c>
      <c r="C55" s="6"/>
      <c r="O55" s="44" t="s">
        <v>60</v>
      </c>
    </row>
    <row r="56" spans="1:20" x14ac:dyDescent="0.3">
      <c r="C56" s="6"/>
      <c r="O56" s="1" t="s">
        <v>59</v>
      </c>
      <c r="R56" s="43">
        <f>SUM(C37:C38)</f>
        <v>43831000</v>
      </c>
      <c r="S56" s="43"/>
    </row>
    <row r="57" spans="1:20" x14ac:dyDescent="0.3">
      <c r="A57" s="13" t="s">
        <v>58</v>
      </c>
      <c r="C57" s="6"/>
      <c r="O57" s="2" t="s">
        <v>57</v>
      </c>
      <c r="R57" s="43">
        <f>R56-R47</f>
        <v>554227.73125000298</v>
      </c>
      <c r="S57" s="43"/>
    </row>
    <row r="58" spans="1:20" x14ac:dyDescent="0.3">
      <c r="B58" s="6" t="s">
        <v>56</v>
      </c>
      <c r="C58" s="6"/>
    </row>
    <row r="59" spans="1:20" x14ac:dyDescent="0.3">
      <c r="B59" s="6" t="s">
        <v>55</v>
      </c>
      <c r="C59" s="6"/>
      <c r="O59" s="1" t="s">
        <v>54</v>
      </c>
      <c r="R59" s="43">
        <f>C39</f>
        <v>36474000</v>
      </c>
      <c r="S59" s="43"/>
    </row>
    <row r="60" spans="1:20" x14ac:dyDescent="0.3">
      <c r="C60" s="6"/>
      <c r="O60" s="2" t="s">
        <v>53</v>
      </c>
      <c r="R60" s="43">
        <f>R50-R59</f>
        <v>1908523.75</v>
      </c>
      <c r="S60" s="43"/>
    </row>
    <row r="61" spans="1:20" x14ac:dyDescent="0.3">
      <c r="B61" s="6" t="s">
        <v>52</v>
      </c>
    </row>
    <row r="62" spans="1:20" x14ac:dyDescent="0.3">
      <c r="O62" s="2" t="s">
        <v>51</v>
      </c>
    </row>
    <row r="63" spans="1:20" x14ac:dyDescent="0.3">
      <c r="O63" s="2" t="s">
        <v>50</v>
      </c>
      <c r="R63" s="40">
        <f>R53+R60+R57</f>
        <v>-6707566.0723214261</v>
      </c>
      <c r="S63" s="40"/>
    </row>
    <row r="65" spans="15:20" x14ac:dyDescent="0.3">
      <c r="O65" s="42" t="s">
        <v>49</v>
      </c>
    </row>
    <row r="66" spans="15:20" x14ac:dyDescent="0.3">
      <c r="O66" s="1" t="s">
        <v>48</v>
      </c>
      <c r="S66" s="40">
        <v>2250032.5</v>
      </c>
    </row>
    <row r="67" spans="15:20" x14ac:dyDescent="0.3">
      <c r="O67" s="1" t="s">
        <v>47</v>
      </c>
      <c r="S67" s="40">
        <v>-160716.60714285713</v>
      </c>
    </row>
    <row r="68" spans="15:20" x14ac:dyDescent="0.3">
      <c r="O68" s="1" t="s">
        <v>46</v>
      </c>
      <c r="S68" s="40">
        <v>2089315.892857143</v>
      </c>
      <c r="T68" s="37"/>
    </row>
    <row r="70" spans="15:20" ht="16.2" x14ac:dyDescent="0.35">
      <c r="O70" s="42" t="s">
        <v>45</v>
      </c>
      <c r="R70" s="41" t="s">
        <v>44</v>
      </c>
      <c r="S70" s="41"/>
    </row>
    <row r="71" spans="15:20" x14ac:dyDescent="0.3">
      <c r="O71" s="1" t="s">
        <v>43</v>
      </c>
      <c r="R71" s="40">
        <f>R63</f>
        <v>-6707566.0723214261</v>
      </c>
      <c r="S71" s="40"/>
    </row>
    <row r="72" spans="15:20" x14ac:dyDescent="0.3">
      <c r="O72" s="1" t="s">
        <v>42</v>
      </c>
      <c r="R72" s="40">
        <f>S68</f>
        <v>2089315.892857143</v>
      </c>
      <c r="S72" s="40"/>
    </row>
    <row r="74" spans="15:20" x14ac:dyDescent="0.3">
      <c r="O74" s="39" t="s">
        <v>41</v>
      </c>
      <c r="P74" s="39"/>
      <c r="Q74" s="39"/>
      <c r="R74" s="38">
        <f>SUM(R71:R72)</f>
        <v>-4618250.1794642834</v>
      </c>
      <c r="S74" s="38"/>
    </row>
    <row r="97" spans="20:20" x14ac:dyDescent="0.3">
      <c r="T97" s="3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B93E5-044A-4F9A-BA7F-7A40E98279E3}">
  <dimension ref="A1:AF65"/>
  <sheetViews>
    <sheetView tabSelected="1" zoomScale="70" zoomScaleNormal="70" workbookViewId="0">
      <selection activeCell="C1" sqref="C1"/>
    </sheetView>
  </sheetViews>
  <sheetFormatPr defaultRowHeight="14.4" x14ac:dyDescent="0.3"/>
  <cols>
    <col min="1" max="1" width="5.5546875" customWidth="1"/>
    <col min="2" max="2" width="27.5546875" customWidth="1"/>
    <col min="3" max="3" width="66.5546875" customWidth="1"/>
    <col min="4" max="4" width="20.5546875" customWidth="1"/>
    <col min="5" max="5" width="2.5546875" style="67" customWidth="1"/>
    <col min="8" max="8" width="10.21875" bestFit="1" customWidth="1"/>
    <col min="9" max="9" width="13.44140625" bestFit="1" customWidth="1"/>
    <col min="10" max="10" width="15.5546875" customWidth="1"/>
    <col min="11" max="11" width="10.5546875" bestFit="1" customWidth="1"/>
    <col min="12" max="12" width="11.5546875" bestFit="1" customWidth="1"/>
    <col min="13" max="13" width="14.5546875" bestFit="1" customWidth="1"/>
    <col min="14" max="14" width="16.77734375" bestFit="1" customWidth="1"/>
    <col min="15" max="15" width="11.33203125" bestFit="1" customWidth="1"/>
    <col min="16" max="16" width="12.77734375" bestFit="1" customWidth="1"/>
    <col min="17" max="17" width="9" customWidth="1"/>
    <col min="18" max="18" width="11.77734375" bestFit="1" customWidth="1"/>
    <col min="19" max="19" width="15" bestFit="1" customWidth="1"/>
    <col min="20" max="21" width="15" customWidth="1"/>
    <col min="22" max="22" width="2.5546875" style="67" customWidth="1"/>
    <col min="24" max="24" width="30.5546875" customWidth="1"/>
    <col min="25" max="25" width="19.44140625" customWidth="1"/>
  </cols>
  <sheetData>
    <row r="1" spans="1:32" ht="15.6" x14ac:dyDescent="0.3">
      <c r="A1" s="5" t="s">
        <v>5</v>
      </c>
      <c r="B1" s="72"/>
      <c r="C1" s="6"/>
      <c r="D1" s="6"/>
      <c r="F1" s="5" t="s">
        <v>5</v>
      </c>
      <c r="G1" s="6"/>
      <c r="H1" s="6"/>
      <c r="I1" s="72"/>
      <c r="J1" s="72"/>
      <c r="K1" s="72"/>
      <c r="L1" s="72"/>
      <c r="M1" s="72"/>
      <c r="N1" s="72"/>
      <c r="O1" s="72"/>
      <c r="P1" s="72"/>
      <c r="Q1" s="72"/>
      <c r="R1" s="72"/>
      <c r="S1" s="72"/>
      <c r="T1" s="72"/>
      <c r="U1" s="72"/>
      <c r="W1" s="5" t="s">
        <v>5</v>
      </c>
      <c r="X1" s="6"/>
      <c r="Y1" s="72"/>
      <c r="Z1" s="72"/>
      <c r="AA1" s="72"/>
      <c r="AB1" s="72"/>
      <c r="AC1" s="72"/>
      <c r="AD1" s="72"/>
      <c r="AE1" s="72"/>
      <c r="AF1" s="72"/>
    </row>
    <row r="2" spans="1:32" ht="15.6" x14ac:dyDescent="0.3">
      <c r="A2" s="5" t="s">
        <v>40</v>
      </c>
      <c r="B2" s="72"/>
      <c r="C2" s="6"/>
      <c r="D2" s="6"/>
      <c r="F2" s="5" t="s">
        <v>40</v>
      </c>
      <c r="G2" s="6"/>
      <c r="H2" s="6"/>
      <c r="I2" s="72"/>
      <c r="J2" s="72"/>
      <c r="K2" s="72"/>
      <c r="L2" s="72"/>
      <c r="M2" s="72"/>
      <c r="N2" s="72"/>
      <c r="O2" s="72"/>
      <c r="P2" s="72"/>
      <c r="Q2" s="72"/>
      <c r="R2" s="72"/>
      <c r="S2" s="72"/>
      <c r="T2" s="72"/>
      <c r="U2" s="72"/>
      <c r="W2" s="5" t="s">
        <v>40</v>
      </c>
      <c r="X2" s="6"/>
      <c r="Y2" s="72"/>
      <c r="Z2" s="72"/>
      <c r="AA2" s="72"/>
      <c r="AB2" s="72"/>
      <c r="AC2" s="72"/>
      <c r="AD2" s="72"/>
      <c r="AE2" s="72"/>
      <c r="AF2" s="72"/>
    </row>
    <row r="3" spans="1:32" ht="15.6" x14ac:dyDescent="0.3">
      <c r="A3" s="5" t="s">
        <v>191</v>
      </c>
      <c r="B3" s="72"/>
      <c r="C3" s="6"/>
      <c r="D3" s="6"/>
      <c r="F3" s="5" t="s">
        <v>191</v>
      </c>
      <c r="G3" s="6"/>
      <c r="H3" s="6"/>
      <c r="I3" s="72"/>
      <c r="J3" s="72"/>
      <c r="K3" s="72"/>
      <c r="L3" s="72"/>
      <c r="M3" s="72"/>
      <c r="N3" s="72"/>
      <c r="O3" s="72"/>
      <c r="P3" s="72"/>
      <c r="Q3" s="72"/>
      <c r="R3" s="72"/>
      <c r="S3" s="72"/>
      <c r="T3" s="72"/>
      <c r="U3" s="72"/>
      <c r="W3" s="5" t="s">
        <v>191</v>
      </c>
      <c r="X3" s="6"/>
      <c r="Y3" s="72"/>
      <c r="Z3" s="72"/>
      <c r="AA3" s="72"/>
      <c r="AB3" s="72"/>
      <c r="AC3" s="72"/>
      <c r="AD3" s="72"/>
      <c r="AE3" s="72"/>
      <c r="AF3" s="72"/>
    </row>
    <row r="4" spans="1:32" ht="15.6" x14ac:dyDescent="0.3">
      <c r="A4" s="6"/>
      <c r="B4" s="72"/>
      <c r="C4" s="6"/>
      <c r="D4" s="6"/>
      <c r="F4" s="6"/>
      <c r="G4" s="6"/>
      <c r="H4" s="6"/>
      <c r="I4" s="72"/>
      <c r="J4" s="72"/>
      <c r="K4" s="72"/>
      <c r="L4" s="72"/>
      <c r="M4" s="72"/>
      <c r="N4" s="72"/>
      <c r="O4" s="72"/>
      <c r="P4" s="72"/>
      <c r="Q4" s="72"/>
      <c r="R4" s="72"/>
      <c r="S4" s="72"/>
      <c r="T4" s="72"/>
      <c r="U4" s="72"/>
      <c r="W4" s="6"/>
      <c r="X4" s="6"/>
      <c r="Y4" s="72"/>
      <c r="Z4" s="72"/>
      <c r="AA4" s="72"/>
      <c r="AB4" s="72"/>
      <c r="AC4" s="72"/>
      <c r="AD4" s="72"/>
      <c r="AE4" s="72"/>
      <c r="AF4" s="72"/>
    </row>
    <row r="5" spans="1:32" ht="16.2" x14ac:dyDescent="0.35">
      <c r="A5" s="9" t="s">
        <v>0</v>
      </c>
      <c r="B5" s="72"/>
      <c r="C5" s="6"/>
      <c r="D5" s="6"/>
      <c r="F5" s="9" t="s">
        <v>121</v>
      </c>
      <c r="G5" s="6"/>
      <c r="H5" s="6"/>
      <c r="I5" s="72"/>
      <c r="J5" s="72"/>
      <c r="K5" s="72"/>
      <c r="L5" s="72"/>
      <c r="M5" s="72"/>
      <c r="N5" s="72"/>
      <c r="O5" s="72"/>
      <c r="P5" s="72"/>
      <c r="Q5" s="72"/>
      <c r="R5" s="72"/>
      <c r="S5" s="72"/>
      <c r="T5" s="72"/>
      <c r="U5" s="72"/>
      <c r="W5" s="9" t="s">
        <v>120</v>
      </c>
      <c r="X5" s="6"/>
      <c r="Y5" s="72"/>
      <c r="Z5" s="72"/>
      <c r="AA5" s="72"/>
      <c r="AB5" s="72"/>
      <c r="AC5" s="72"/>
      <c r="AD5" s="72"/>
      <c r="AE5" s="72"/>
      <c r="AF5" s="72"/>
    </row>
    <row r="6" spans="1:32" ht="16.2" x14ac:dyDescent="0.35">
      <c r="A6" s="72"/>
      <c r="B6" s="9"/>
      <c r="C6" s="6"/>
      <c r="D6" s="6"/>
      <c r="F6" s="9"/>
      <c r="G6" s="6"/>
      <c r="H6" s="6"/>
      <c r="I6" s="72"/>
      <c r="J6" s="72"/>
      <c r="K6" s="72"/>
      <c r="L6" s="72"/>
      <c r="M6" s="72"/>
      <c r="N6" s="72"/>
      <c r="O6" s="72"/>
      <c r="P6" s="72"/>
      <c r="Q6" s="72"/>
      <c r="R6" s="72"/>
      <c r="S6" s="72"/>
      <c r="T6" s="72"/>
      <c r="U6" s="72"/>
      <c r="W6" s="6"/>
      <c r="X6" s="6"/>
      <c r="Y6" s="72"/>
      <c r="Z6" s="72"/>
      <c r="AA6" s="72"/>
      <c r="AB6" s="72"/>
      <c r="AC6" s="72"/>
      <c r="AD6" s="72"/>
      <c r="AE6" s="72"/>
      <c r="AF6" s="72"/>
    </row>
    <row r="7" spans="1:32" ht="15.6" x14ac:dyDescent="0.3">
      <c r="A7" s="72"/>
      <c r="B7" s="117"/>
      <c r="C7" s="72"/>
      <c r="D7" s="72"/>
      <c r="F7" s="6" t="s">
        <v>1</v>
      </c>
      <c r="G7" s="6" t="s">
        <v>190</v>
      </c>
      <c r="H7" s="72"/>
      <c r="I7" s="72"/>
      <c r="J7" s="72"/>
      <c r="K7" s="72"/>
      <c r="L7" s="72"/>
      <c r="M7" s="72"/>
      <c r="N7" s="72"/>
      <c r="O7" s="72"/>
      <c r="P7" s="72"/>
      <c r="Q7" s="72"/>
      <c r="R7" s="72"/>
      <c r="S7" s="72"/>
      <c r="T7" s="72"/>
      <c r="U7" s="72"/>
      <c r="W7" s="6" t="s">
        <v>34</v>
      </c>
      <c r="X7" s="6" t="s">
        <v>189</v>
      </c>
      <c r="Y7" s="72"/>
      <c r="Z7" s="72"/>
      <c r="AA7" s="72"/>
      <c r="AB7" s="72"/>
      <c r="AC7" s="72"/>
      <c r="AD7" s="72"/>
      <c r="AE7" s="72"/>
      <c r="AF7" s="72"/>
    </row>
    <row r="8" spans="1:32" ht="15.6" x14ac:dyDescent="0.3">
      <c r="A8" s="72"/>
      <c r="B8" s="98" t="s">
        <v>188</v>
      </c>
      <c r="C8" s="72"/>
      <c r="D8" s="72"/>
      <c r="F8" s="6"/>
      <c r="G8" s="6"/>
      <c r="H8" s="72"/>
      <c r="I8" s="72"/>
      <c r="J8" s="72"/>
      <c r="K8" s="72"/>
      <c r="L8" s="72"/>
      <c r="M8" s="72"/>
      <c r="N8" s="72"/>
      <c r="O8" s="72"/>
      <c r="P8" s="72"/>
      <c r="Q8" s="72"/>
      <c r="R8" s="72"/>
      <c r="S8" s="72"/>
      <c r="T8" s="72"/>
      <c r="U8" s="72"/>
      <c r="W8" s="73"/>
      <c r="X8" s="72"/>
      <c r="Y8" s="72"/>
      <c r="Z8" s="72"/>
      <c r="AA8" s="72"/>
      <c r="AB8" s="72"/>
      <c r="AC8" s="72"/>
      <c r="AD8" s="72"/>
      <c r="AE8" s="72"/>
      <c r="AF8" s="72"/>
    </row>
    <row r="9" spans="1:32" ht="15.6" x14ac:dyDescent="0.3">
      <c r="A9" s="72"/>
      <c r="B9" s="72" t="s">
        <v>187</v>
      </c>
      <c r="C9" s="72"/>
      <c r="D9" s="72"/>
      <c r="F9" s="6"/>
      <c r="G9" s="6" t="s">
        <v>186</v>
      </c>
      <c r="H9" s="72"/>
      <c r="I9" s="72"/>
      <c r="J9" s="72"/>
      <c r="K9" s="72"/>
      <c r="L9" s="72"/>
      <c r="M9" s="72"/>
      <c r="N9" s="72"/>
      <c r="O9" s="72"/>
      <c r="P9" s="72"/>
      <c r="Q9" s="72"/>
      <c r="R9" s="72"/>
      <c r="S9" s="72"/>
      <c r="T9" s="72"/>
      <c r="U9" s="72"/>
      <c r="W9" s="73"/>
      <c r="X9" s="72"/>
      <c r="Y9" s="72"/>
      <c r="Z9" s="72"/>
      <c r="AA9" s="72"/>
      <c r="AB9" s="72"/>
      <c r="AC9" s="72"/>
      <c r="AD9" s="72"/>
      <c r="AE9" s="72"/>
      <c r="AF9" s="72"/>
    </row>
    <row r="10" spans="1:32" ht="16.2" thickBot="1" x14ac:dyDescent="0.35">
      <c r="A10" s="72"/>
      <c r="B10" s="72"/>
      <c r="C10" s="72"/>
      <c r="D10" s="72"/>
      <c r="F10" s="6"/>
      <c r="G10" s="6" t="s">
        <v>185</v>
      </c>
      <c r="H10" s="72"/>
      <c r="I10" s="72"/>
      <c r="J10" s="72"/>
      <c r="K10" s="72"/>
      <c r="L10" s="72"/>
      <c r="M10" s="72"/>
      <c r="N10" s="72"/>
      <c r="O10" s="72"/>
      <c r="P10" s="72"/>
      <c r="Q10" s="72"/>
      <c r="R10" s="72"/>
      <c r="S10" s="72"/>
      <c r="T10" s="72"/>
      <c r="U10" s="72"/>
      <c r="W10" s="72"/>
      <c r="X10" s="72"/>
      <c r="Y10" s="72"/>
      <c r="Z10" s="72"/>
      <c r="AA10" s="72"/>
      <c r="AB10" s="72"/>
      <c r="AC10" s="72"/>
      <c r="AD10" s="72"/>
      <c r="AE10" s="72"/>
      <c r="AF10" s="72"/>
    </row>
    <row r="11" spans="1:32" ht="16.2" thickBot="1" x14ac:dyDescent="0.35">
      <c r="A11" s="72"/>
      <c r="B11" s="97" t="s">
        <v>184</v>
      </c>
      <c r="C11" s="96" t="s">
        <v>182</v>
      </c>
      <c r="D11" s="94"/>
      <c r="F11" s="116"/>
    </row>
    <row r="12" spans="1:32" ht="16.2" thickBot="1" x14ac:dyDescent="0.35">
      <c r="A12" s="72"/>
      <c r="B12" s="91" t="s">
        <v>183</v>
      </c>
      <c r="C12" s="95" t="s">
        <v>182</v>
      </c>
      <c r="D12" s="94"/>
      <c r="F12" s="36"/>
      <c r="X12" s="76"/>
      <c r="Y12" s="76"/>
      <c r="Z12" s="76"/>
    </row>
    <row r="13" spans="1:32" ht="16.2" thickBot="1" x14ac:dyDescent="0.35">
      <c r="A13" s="72"/>
      <c r="B13" s="91" t="s">
        <v>181</v>
      </c>
      <c r="C13" s="95">
        <v>65</v>
      </c>
      <c r="D13" s="99"/>
      <c r="F13" s="36"/>
    </row>
    <row r="14" spans="1:32" ht="16.2" thickBot="1" x14ac:dyDescent="0.35">
      <c r="A14" s="72"/>
      <c r="B14" s="91" t="s">
        <v>180</v>
      </c>
      <c r="C14" s="95">
        <v>55</v>
      </c>
      <c r="D14" s="99"/>
      <c r="X14" t="s">
        <v>179</v>
      </c>
      <c r="Y14" s="115">
        <f>AVERAGE(J35:J37)*1.8%*I38</f>
        <v>126156.84816631021</v>
      </c>
    </row>
    <row r="15" spans="1:32" ht="40.200000000000003" customHeight="1" thickBot="1" x14ac:dyDescent="0.35">
      <c r="A15" s="72"/>
      <c r="B15" s="97" t="s">
        <v>178</v>
      </c>
      <c r="C15" s="96" t="s">
        <v>177</v>
      </c>
      <c r="D15" s="94"/>
      <c r="G15" s="114" t="s">
        <v>176</v>
      </c>
      <c r="H15" s="113"/>
      <c r="I15" s="113"/>
      <c r="J15" s="113"/>
      <c r="K15" s="112" t="s">
        <v>175</v>
      </c>
      <c r="L15" s="112"/>
      <c r="M15" s="111"/>
      <c r="N15" s="110"/>
      <c r="O15" s="108" t="s">
        <v>174</v>
      </c>
      <c r="X15" t="s">
        <v>173</v>
      </c>
      <c r="Y15" s="74">
        <f>P38/M38</f>
        <v>0.67511863702452313</v>
      </c>
    </row>
    <row r="16" spans="1:32" ht="16.2" thickBot="1" x14ac:dyDescent="0.35">
      <c r="A16" s="72"/>
      <c r="B16" s="91" t="s">
        <v>172</v>
      </c>
      <c r="C16" s="95" t="s">
        <v>171</v>
      </c>
      <c r="D16" s="94"/>
      <c r="G16" s="108" t="s">
        <v>7</v>
      </c>
      <c r="H16" s="108" t="s">
        <v>170</v>
      </c>
      <c r="I16" s="108" t="s">
        <v>169</v>
      </c>
      <c r="J16" s="108" t="s">
        <v>168</v>
      </c>
      <c r="K16" s="107" t="s">
        <v>167</v>
      </c>
      <c r="L16" s="107" t="s">
        <v>166</v>
      </c>
      <c r="M16" s="108" t="s">
        <v>165</v>
      </c>
      <c r="N16" s="108" t="s">
        <v>164</v>
      </c>
      <c r="O16" s="109" t="s">
        <v>163</v>
      </c>
      <c r="P16" s="107" t="s">
        <v>162</v>
      </c>
      <c r="Q16" s="109" t="s">
        <v>161</v>
      </c>
      <c r="R16" s="108" t="s">
        <v>160</v>
      </c>
      <c r="S16" s="107" t="s">
        <v>159</v>
      </c>
      <c r="T16" s="106" t="s">
        <v>158</v>
      </c>
      <c r="U16" s="106" t="s">
        <v>157</v>
      </c>
      <c r="X16" t="s">
        <v>156</v>
      </c>
      <c r="Y16" s="105">
        <f>Y14*Y15</f>
        <v>85170.839385349056</v>
      </c>
    </row>
    <row r="17" spans="1:25" ht="16.2" thickBot="1" x14ac:dyDescent="0.35">
      <c r="A17" s="72"/>
      <c r="B17" s="91" t="s">
        <v>155</v>
      </c>
      <c r="C17" s="95" t="s">
        <v>154</v>
      </c>
      <c r="D17" s="94"/>
      <c r="G17" s="83">
        <v>2022</v>
      </c>
      <c r="H17" s="86"/>
      <c r="I17" s="86"/>
      <c r="J17" s="102">
        <f>C37</f>
        <v>160000</v>
      </c>
      <c r="K17" s="104"/>
      <c r="L17" s="104"/>
      <c r="M17" s="103"/>
      <c r="N17" s="103"/>
    </row>
    <row r="18" spans="1:25" ht="16.2" thickBot="1" x14ac:dyDescent="0.35">
      <c r="A18" s="72"/>
      <c r="B18" s="91" t="s">
        <v>153</v>
      </c>
      <c r="C18" s="95" t="s">
        <v>152</v>
      </c>
      <c r="D18" s="94"/>
      <c r="G18" s="83">
        <v>2023</v>
      </c>
      <c r="H18" s="86"/>
      <c r="I18" s="86"/>
      <c r="J18" s="102">
        <f>C36</f>
        <v>172000</v>
      </c>
      <c r="K18" s="104"/>
      <c r="L18" s="104"/>
      <c r="M18" s="103"/>
      <c r="N18" s="103"/>
    </row>
    <row r="19" spans="1:25" ht="16.2" x14ac:dyDescent="0.35">
      <c r="A19" s="72"/>
      <c r="B19" s="72"/>
      <c r="C19" s="72"/>
      <c r="D19" s="72"/>
      <c r="G19" s="83">
        <v>2024</v>
      </c>
      <c r="H19" s="86"/>
      <c r="I19" s="86"/>
      <c r="J19" s="102">
        <f>C35</f>
        <v>185000</v>
      </c>
      <c r="K19" s="104"/>
      <c r="L19" s="104"/>
      <c r="M19" s="103"/>
      <c r="N19" s="103"/>
      <c r="X19" s="71"/>
    </row>
    <row r="20" spans="1:25" ht="15.6" x14ac:dyDescent="0.3">
      <c r="A20" s="72"/>
      <c r="B20" s="98" t="s">
        <v>151</v>
      </c>
      <c r="C20" s="72"/>
      <c r="D20" s="72"/>
      <c r="G20" s="83">
        <v>2025</v>
      </c>
      <c r="H20">
        <v>42</v>
      </c>
      <c r="I20">
        <v>3</v>
      </c>
      <c r="J20" s="102">
        <f>C34</f>
        <v>200000</v>
      </c>
      <c r="K20" s="83">
        <v>0</v>
      </c>
      <c r="L20" s="100">
        <v>0.1</v>
      </c>
      <c r="M20" s="101"/>
      <c r="N20" s="80">
        <f>(1/(1+5.75%))^($G$43-G20)</f>
        <v>0.2764084724830102</v>
      </c>
      <c r="O20" s="80">
        <v>1</v>
      </c>
      <c r="P20" s="81">
        <f>$M$43*N20</f>
        <v>3.4551059060376277</v>
      </c>
      <c r="Q20" s="80">
        <f>(1/(1+5.75%)^(G20-$G$20))</f>
        <v>1</v>
      </c>
      <c r="R20" s="79">
        <f>AVERAGE(J17:J19)</f>
        <v>172333.33333333334</v>
      </c>
      <c r="S20" s="78">
        <f>1.8%*R20*$I$20</f>
        <v>9306.0000000000018</v>
      </c>
      <c r="T20" s="78">
        <f>S20*P20*Q20*(K20+L20)*O20</f>
        <v>3215.3215561586171</v>
      </c>
      <c r="U20" s="78">
        <f>$S$20*P20*Q20*(K20+L20)*O20</f>
        <v>3215.3215561586171</v>
      </c>
      <c r="X20" s="3"/>
    </row>
    <row r="21" spans="1:25" ht="16.2" thickBot="1" x14ac:dyDescent="0.35">
      <c r="A21" s="72"/>
      <c r="B21" s="72"/>
      <c r="C21" s="72"/>
      <c r="D21" s="72"/>
      <c r="G21">
        <f>G20+1</f>
        <v>2026</v>
      </c>
      <c r="H21">
        <f>H20+1</f>
        <v>43</v>
      </c>
      <c r="I21">
        <f>I20+1</f>
        <v>4</v>
      </c>
      <c r="J21" s="87">
        <f>J20*(1+3.25%)</f>
        <v>206500</v>
      </c>
      <c r="K21" s="83">
        <v>0</v>
      </c>
      <c r="L21" s="100">
        <v>0.1</v>
      </c>
      <c r="M21" s="101"/>
      <c r="N21" s="80">
        <f>(1/(1+5.75%))^($G$43-G21)</f>
        <v>0.29230195965078332</v>
      </c>
      <c r="O21" s="80">
        <f>O20*(1-K20-L20)</f>
        <v>0.9</v>
      </c>
      <c r="P21" s="81">
        <f>$M$43*N21</f>
        <v>3.6537744956347913</v>
      </c>
      <c r="Q21" s="80">
        <f>(1/(1+5.75%)^(G21-$G$20))</f>
        <v>0.94562647754137108</v>
      </c>
      <c r="R21" s="79">
        <f>AVERAGE(J18:J20)</f>
        <v>185666.66666666666</v>
      </c>
      <c r="S21" s="78">
        <f>1.8%*R21*$I$20</f>
        <v>10026</v>
      </c>
      <c r="T21" s="78">
        <f>S21*P21*Q21*(K21+L21)*O21</f>
        <v>3117.680263253993</v>
      </c>
      <c r="U21" s="78">
        <f>$S$20*P21*Q21*(K21+L21)*O21</f>
        <v>2893.7894005427556</v>
      </c>
      <c r="X21" s="70"/>
    </row>
    <row r="22" spans="1:25" ht="16.2" thickBot="1" x14ac:dyDescent="0.35">
      <c r="A22" s="72"/>
      <c r="B22" s="97" t="s">
        <v>79</v>
      </c>
      <c r="C22" s="96" t="s">
        <v>150</v>
      </c>
      <c r="D22" s="94"/>
      <c r="G22">
        <f>G21+1</f>
        <v>2027</v>
      </c>
      <c r="H22">
        <f>H21+1</f>
        <v>44</v>
      </c>
      <c r="I22">
        <f>I21+1</f>
        <v>5</v>
      </c>
      <c r="J22" s="87">
        <f>J21*(1+3.25%)</f>
        <v>213211.25</v>
      </c>
      <c r="K22" s="83">
        <v>0</v>
      </c>
      <c r="L22" s="100">
        <v>0.1</v>
      </c>
      <c r="M22" s="86"/>
      <c r="N22" s="80">
        <f>(1/(1+5.75%))^($G$43-G22)</f>
        <v>0.30910932233070337</v>
      </c>
      <c r="O22" s="80">
        <f>O21*(1-K21-L21)</f>
        <v>0.81</v>
      </c>
      <c r="P22" s="81">
        <f>$M$43*N22</f>
        <v>3.8638665291337921</v>
      </c>
      <c r="Q22" s="80">
        <f>(1/(1+5.75%)^(G22-$G$20))</f>
        <v>0.8942094350273011</v>
      </c>
      <c r="R22" s="79">
        <f>AVERAGE(J19:J21)</f>
        <v>197166.66666666666</v>
      </c>
      <c r="S22" s="78">
        <f>1.8%*R22*$I$20</f>
        <v>10647.000000000002</v>
      </c>
      <c r="T22" s="78">
        <f>S22*P22*Q22*(K22+L22)*O22</f>
        <v>2979.7075191081922</v>
      </c>
      <c r="U22" s="78">
        <f>$S$20*P22*Q22*(K22+L22)*O22</f>
        <v>2604.4104604884797</v>
      </c>
      <c r="X22" s="2"/>
      <c r="Y22" s="74"/>
    </row>
    <row r="23" spans="1:25" ht="16.2" thickBot="1" x14ac:dyDescent="0.35">
      <c r="A23" s="72"/>
      <c r="B23" s="91" t="s">
        <v>149</v>
      </c>
      <c r="C23" s="95" t="s">
        <v>148</v>
      </c>
      <c r="D23" s="94"/>
      <c r="G23">
        <f>G22+1</f>
        <v>2028</v>
      </c>
      <c r="H23">
        <f>H22+1</f>
        <v>45</v>
      </c>
      <c r="I23">
        <f>I22+1</f>
        <v>6</v>
      </c>
      <c r="J23" s="87">
        <f>J22*(1+3.25%)</f>
        <v>220140.61562500001</v>
      </c>
      <c r="K23" s="83">
        <v>0</v>
      </c>
      <c r="L23" s="100">
        <v>0.1</v>
      </c>
      <c r="M23" s="86"/>
      <c r="N23" s="80">
        <f>(1/(1+5.75%))^($G$43-G23)</f>
        <v>0.3268831083647189</v>
      </c>
      <c r="O23" s="80">
        <f>O22*(1-K22-L22)</f>
        <v>0.72900000000000009</v>
      </c>
      <c r="P23" s="81">
        <f>$M$43*N23</f>
        <v>4.0860388545589865</v>
      </c>
      <c r="Q23" s="80">
        <f>(1/(1+5.75%)^(G23-$G$20))</f>
        <v>0.84558811822912627</v>
      </c>
      <c r="R23" s="79">
        <f>AVERAGE(J20:J22)</f>
        <v>206570.41666666666</v>
      </c>
      <c r="S23" s="78">
        <f>1.8%*R23*$I$20</f>
        <v>11154.802500000002</v>
      </c>
      <c r="T23" s="78">
        <f>S23*P23*Q23*(K23+L23)*O23</f>
        <v>2809.6406494857879</v>
      </c>
      <c r="U23" s="78">
        <f>$S$20*P23*Q23*(K23+L23)*O23</f>
        <v>2343.9694144396326</v>
      </c>
      <c r="X23" s="70"/>
      <c r="Y23" s="74"/>
    </row>
    <row r="24" spans="1:25" ht="16.2" thickBot="1" x14ac:dyDescent="0.35">
      <c r="A24" s="72"/>
      <c r="B24" s="97" t="s">
        <v>147</v>
      </c>
      <c r="C24" s="96" t="s">
        <v>146</v>
      </c>
      <c r="D24" s="94"/>
      <c r="G24">
        <f>G23+1</f>
        <v>2029</v>
      </c>
      <c r="H24">
        <f>H23+1</f>
        <v>46</v>
      </c>
      <c r="I24">
        <f>I23+1</f>
        <v>7</v>
      </c>
      <c r="J24" s="87">
        <f>J23*(1+3.25%)</f>
        <v>227295.1856328125</v>
      </c>
      <c r="K24" s="83">
        <v>0</v>
      </c>
      <c r="L24" s="100">
        <v>0.1</v>
      </c>
      <c r="M24" s="86"/>
      <c r="N24" s="80">
        <f>(1/(1+5.75%))^($G$43-G24)</f>
        <v>0.34567888709569022</v>
      </c>
      <c r="O24" s="80">
        <f>O23*(1-K23-L23)</f>
        <v>0.65610000000000013</v>
      </c>
      <c r="P24" s="81">
        <f>$M$43*N24</f>
        <v>4.3209860886961282</v>
      </c>
      <c r="Q24" s="80">
        <f>(1/(1+5.75%)^(G24-$G$20))</f>
        <v>0.7996105136918451</v>
      </c>
      <c r="R24" s="79">
        <f>AVERAGE(J21:J23)</f>
        <v>213283.95520833333</v>
      </c>
      <c r="S24" s="78">
        <f>1.8%*R24*$I$20</f>
        <v>11517.333581250001</v>
      </c>
      <c r="T24" s="78">
        <f>S24*P24*Q24*(K24+L24)*O24</f>
        <v>2610.8585735346687</v>
      </c>
      <c r="U24" s="78">
        <f>$S$20*P24*Q24*(K24+L24)*O24</f>
        <v>2109.5724729956692</v>
      </c>
      <c r="X24" s="70"/>
    </row>
    <row r="25" spans="1:25" ht="16.2" thickBot="1" x14ac:dyDescent="0.35">
      <c r="A25" s="72"/>
      <c r="B25" s="91" t="s">
        <v>145</v>
      </c>
      <c r="C25" s="95" t="s">
        <v>144</v>
      </c>
      <c r="D25" s="94"/>
      <c r="G25">
        <f>G24+1</f>
        <v>2030</v>
      </c>
      <c r="H25">
        <f>H24+1</f>
        <v>47</v>
      </c>
      <c r="I25">
        <f>I24+1</f>
        <v>8</v>
      </c>
      <c r="J25" s="87">
        <f>J24*(1+3.25%)</f>
        <v>234682.27916587889</v>
      </c>
      <c r="K25" s="83">
        <v>0</v>
      </c>
      <c r="L25" s="100">
        <v>0.1</v>
      </c>
      <c r="M25" s="86"/>
      <c r="N25" s="80">
        <f>(1/(1+5.75%))^($G$43-G25)</f>
        <v>0.36555542310369243</v>
      </c>
      <c r="O25" s="80">
        <f>O24*(1-K24-L24)</f>
        <v>0.59049000000000018</v>
      </c>
      <c r="P25" s="81">
        <f>$M$43*N25</f>
        <v>4.5694427887961551</v>
      </c>
      <c r="Q25" s="80">
        <f>(1/(1+5.75%)^(G25-$G$20))</f>
        <v>0.75613287346746572</v>
      </c>
      <c r="R25" s="79">
        <f>AVERAGE(J22:J24)</f>
        <v>220215.68375260415</v>
      </c>
      <c r="S25" s="78">
        <f>1.8%*R25*$I$20</f>
        <v>11891.646922640624</v>
      </c>
      <c r="T25" s="78">
        <f>S25*P25*Q25*(K25+L25)*O25</f>
        <v>2426.14032945709</v>
      </c>
      <c r="U25" s="78">
        <f>$S$20*P25*Q25*(K25+L25)*O25</f>
        <v>1898.6152256961018</v>
      </c>
      <c r="X25" s="2"/>
    </row>
    <row r="26" spans="1:25" ht="16.2" thickBot="1" x14ac:dyDescent="0.35">
      <c r="A26" s="72"/>
      <c r="B26" s="91" t="s">
        <v>143</v>
      </c>
      <c r="C26" s="95" t="s">
        <v>142</v>
      </c>
      <c r="D26" s="94"/>
      <c r="G26">
        <f>G25+1</f>
        <v>2031</v>
      </c>
      <c r="H26">
        <f>H25+1</f>
        <v>48</v>
      </c>
      <c r="I26">
        <f>I25+1</f>
        <v>9</v>
      </c>
      <c r="J26" s="87">
        <f>J25*(1+3.25%)</f>
        <v>242309.45323876996</v>
      </c>
      <c r="K26" s="83">
        <v>0</v>
      </c>
      <c r="L26" s="100">
        <v>0.1</v>
      </c>
      <c r="M26" s="86"/>
      <c r="N26" s="80">
        <f>(1/(1+5.75%))^($G$43-G26)</f>
        <v>0.38657485993215479</v>
      </c>
      <c r="O26" s="80">
        <f>O25*(1-K25-L25)</f>
        <v>0.53144100000000016</v>
      </c>
      <c r="P26" s="81">
        <f>$M$43*N26</f>
        <v>4.8321857491519351</v>
      </c>
      <c r="Q26" s="80">
        <f>(1/(1+5.75%)^(G26-$G$20))</f>
        <v>0.71501926569027474</v>
      </c>
      <c r="R26" s="79">
        <f>AVERAGE(J23:J25)</f>
        <v>227372.6934745638</v>
      </c>
      <c r="S26" s="78">
        <f>1.8%*R26*$I$20</f>
        <v>12278.125447626448</v>
      </c>
      <c r="T26" s="78">
        <f>S26*P26*Q26*(K26+L26)*O26</f>
        <v>2254.4909011480013</v>
      </c>
      <c r="U26" s="78">
        <f>$S$20*P26*Q26*(K26+L26)*O26</f>
        <v>1708.7537031264917</v>
      </c>
      <c r="X26" s="2"/>
    </row>
    <row r="27" spans="1:25" ht="16.2" thickBot="1" x14ac:dyDescent="0.35">
      <c r="A27" s="72"/>
      <c r="B27" s="91" t="s">
        <v>141</v>
      </c>
      <c r="C27" s="95">
        <v>12.5</v>
      </c>
      <c r="D27" s="99"/>
      <c r="G27">
        <f>G26+1</f>
        <v>2032</v>
      </c>
      <c r="H27">
        <f>H26+1</f>
        <v>49</v>
      </c>
      <c r="I27">
        <f>I26+1</f>
        <v>10</v>
      </c>
      <c r="J27" s="87">
        <f>J26*(1+3.25%)</f>
        <v>250184.51046902998</v>
      </c>
      <c r="K27" s="83">
        <v>0</v>
      </c>
      <c r="L27" s="100">
        <v>0.1</v>
      </c>
      <c r="M27" s="86"/>
      <c r="N27" s="80">
        <f>(1/(1+5.75%))^($G$43-G27)</f>
        <v>0.40880291437825372</v>
      </c>
      <c r="O27" s="80">
        <f>O26*(1-K26-L26)</f>
        <v>0.47829690000000014</v>
      </c>
      <c r="P27" s="81">
        <f>$M$43*N27</f>
        <v>5.1100364297281713</v>
      </c>
      <c r="Q27" s="80">
        <f>(1/(1+5.75%)^(G27-$G$20))</f>
        <v>0.67614114958891225</v>
      </c>
      <c r="R27" s="79">
        <f>AVERAGE(J24:J26)</f>
        <v>234762.30601248713</v>
      </c>
      <c r="S27" s="78">
        <f>1.8%*R27*$I$20</f>
        <v>12677.164524674306</v>
      </c>
      <c r="T27" s="78">
        <f>S27*P27*Q27*(K27+L27)*O27</f>
        <v>2094.9856698917802</v>
      </c>
      <c r="U27" s="78">
        <f>$S$20*P27*Q27*(K27+L27)*O27</f>
        <v>1537.8783328138425</v>
      </c>
      <c r="X27" s="2"/>
    </row>
    <row r="28" spans="1:25" ht="16.2" thickBot="1" x14ac:dyDescent="0.35">
      <c r="A28" s="72"/>
      <c r="B28" s="91" t="s">
        <v>140</v>
      </c>
      <c r="C28" s="95">
        <v>14</v>
      </c>
      <c r="D28" s="99"/>
      <c r="G28">
        <f>G27+1</f>
        <v>2033</v>
      </c>
      <c r="H28">
        <f>H27+1</f>
        <v>50</v>
      </c>
      <c r="I28">
        <f>I27+1</f>
        <v>11</v>
      </c>
      <c r="J28" s="87">
        <f>J27*(1+3.25%)</f>
        <v>258315.50705927346</v>
      </c>
      <c r="K28" s="83">
        <v>0</v>
      </c>
      <c r="L28" s="82">
        <v>0.05</v>
      </c>
      <c r="M28" s="86"/>
      <c r="N28" s="80">
        <f>(1/(1+5.75%))^($G$43-G28)</f>
        <v>0.43230908195500339</v>
      </c>
      <c r="O28" s="80">
        <f>O27*(1-K27-L27)</f>
        <v>0.43046721000000016</v>
      </c>
      <c r="P28" s="81">
        <f>$M$43*N28</f>
        <v>5.4038635244375426</v>
      </c>
      <c r="Q28" s="80">
        <f>(1/(1+5.75%)^(G28-$G$20))</f>
        <v>0.63937697360653634</v>
      </c>
      <c r="R28" s="79">
        <f>AVERAGE(J25:J27)</f>
        <v>242392.08095789293</v>
      </c>
      <c r="S28" s="78">
        <f>1.8%*R28*$I$20</f>
        <v>13089.172371726221</v>
      </c>
      <c r="T28" s="78">
        <f>S28*P28*Q28*(K28+L28)*O28</f>
        <v>973.38271687346844</v>
      </c>
      <c r="U28" s="78">
        <f>$S$20*P28*Q28*(K28+L28)*O28</f>
        <v>692.04524976622929</v>
      </c>
      <c r="X28" s="69"/>
    </row>
    <row r="29" spans="1:25" ht="15.6" x14ac:dyDescent="0.3">
      <c r="A29" s="72"/>
      <c r="B29" s="72"/>
      <c r="C29" s="72"/>
      <c r="D29" s="72"/>
      <c r="G29">
        <f>G28+1</f>
        <v>2034</v>
      </c>
      <c r="H29">
        <f>H28+1</f>
        <v>51</v>
      </c>
      <c r="I29">
        <f>I28+1</f>
        <v>12</v>
      </c>
      <c r="J29" s="87">
        <f>J28*(1+3.25%)</f>
        <v>266710.76103869983</v>
      </c>
      <c r="K29" s="83">
        <v>0</v>
      </c>
      <c r="L29" s="82">
        <v>0.05</v>
      </c>
      <c r="M29" s="86"/>
      <c r="N29" s="80">
        <f>(1/(1+5.75%))^($G$43-G29)</f>
        <v>0.45716685416741609</v>
      </c>
      <c r="O29" s="80">
        <f>O28*(1-K28-L28)</f>
        <v>0.40894384950000012</v>
      </c>
      <c r="P29" s="81">
        <f>$M$43*N29</f>
        <v>5.7145856770927015</v>
      </c>
      <c r="Q29" s="80">
        <f>(1/(1+5.75%)^(G29-$G$20))</f>
        <v>0.60461179537261112</v>
      </c>
      <c r="R29" s="79">
        <f>AVERAGE(J26:J28)</f>
        <v>250269.82358902445</v>
      </c>
      <c r="S29" s="78">
        <f>1.8%*R29*$I$20</f>
        <v>13514.570473807322</v>
      </c>
      <c r="T29" s="78">
        <f>S29*P29*Q29*(K29+L29)*O29</f>
        <v>954.76677241326308</v>
      </c>
      <c r="U29" s="78">
        <f>$S$20*P29*Q29*(K29+L29)*O29</f>
        <v>657.44298727791772</v>
      </c>
      <c r="X29" s="69"/>
    </row>
    <row r="30" spans="1:25" ht="15.6" x14ac:dyDescent="0.3">
      <c r="A30" s="72"/>
      <c r="B30" s="98" t="s">
        <v>139</v>
      </c>
      <c r="C30" s="72"/>
      <c r="D30" s="72"/>
      <c r="G30">
        <f>G29+1</f>
        <v>2035</v>
      </c>
      <c r="H30">
        <f>H29+1</f>
        <v>52</v>
      </c>
      <c r="I30">
        <f>I29+1</f>
        <v>13</v>
      </c>
      <c r="J30" s="87">
        <f>J29*(1+3.25%)</f>
        <v>275378.86077245756</v>
      </c>
      <c r="K30" s="83">
        <v>0</v>
      </c>
      <c r="L30" s="82">
        <v>0.05</v>
      </c>
      <c r="M30" s="86"/>
      <c r="N30" s="80">
        <f>(1/(1+5.75%))^($G$43-G30)</f>
        <v>0.48345394828204252</v>
      </c>
      <c r="O30" s="80">
        <f>O29*(1-K29-L29)</f>
        <v>0.38849665702500008</v>
      </c>
      <c r="P30" s="81">
        <f>$M$43*N30</f>
        <v>6.0431743535255311</v>
      </c>
      <c r="Q30" s="80">
        <f>(1/(1+5.75%)^(G30-$G$20))</f>
        <v>0.57173692233816642</v>
      </c>
      <c r="R30" s="79">
        <f>AVERAGE(J27:J29)</f>
        <v>258403.59285566778</v>
      </c>
      <c r="S30" s="78">
        <f>1.8%*R30*$I$20</f>
        <v>13953.794014206062</v>
      </c>
      <c r="T30" s="78">
        <f>S30*P30*Q30*(K30+L30)*O30</f>
        <v>936.50685789085912</v>
      </c>
      <c r="U30" s="78">
        <f>$S$20*P30*Q30*(K30+L30)*O30</f>
        <v>624.57083791402158</v>
      </c>
      <c r="X30" s="69"/>
    </row>
    <row r="31" spans="1:25" ht="16.2" thickBot="1" x14ac:dyDescent="0.35">
      <c r="A31" s="72"/>
      <c r="B31" s="98"/>
      <c r="C31" s="72"/>
      <c r="D31" s="72"/>
      <c r="G31">
        <f>G30+1</f>
        <v>2036</v>
      </c>
      <c r="H31">
        <f>H30+1</f>
        <v>53</v>
      </c>
      <c r="I31">
        <f>I30+1</f>
        <v>14</v>
      </c>
      <c r="J31" s="87">
        <f>J30*(1+3.25%)</f>
        <v>284328.6737475624</v>
      </c>
      <c r="K31" s="83">
        <v>0</v>
      </c>
      <c r="L31" s="82">
        <v>0.05</v>
      </c>
      <c r="M31" s="86"/>
      <c r="N31" s="80">
        <f>(1/(1+5.75%))^($G$43-G31)</f>
        <v>0.51125255030826011</v>
      </c>
      <c r="O31" s="80">
        <f>O30*(1-K30-L30)</f>
        <v>0.36907182417375006</v>
      </c>
      <c r="P31" s="81">
        <f>$M$43*N31</f>
        <v>6.3906568788532514</v>
      </c>
      <c r="Q31" s="80">
        <f>(1/(1+5.75%)^(G31-$G$20))</f>
        <v>0.54064957195098473</v>
      </c>
      <c r="R31" s="79">
        <f>AVERAGE(J28:J30)</f>
        <v>266801.70962347696</v>
      </c>
      <c r="S31" s="78">
        <f>1.8%*R31*$I$20</f>
        <v>14407.292319667758</v>
      </c>
      <c r="T31" s="78">
        <f>S31*P31*Q31*(K31+L31)*O31</f>
        <v>918.59616423369675</v>
      </c>
      <c r="U31" s="78">
        <f>$S$20*P31*Q31*(K31+L31)*O31</f>
        <v>593.34229601832055</v>
      </c>
      <c r="X31" s="68"/>
    </row>
    <row r="32" spans="1:25" ht="16.2" thickBot="1" x14ac:dyDescent="0.35">
      <c r="A32" s="72"/>
      <c r="B32" s="97" t="s">
        <v>138</v>
      </c>
      <c r="C32" s="96">
        <v>42</v>
      </c>
      <c r="D32" s="94"/>
      <c r="G32">
        <f>G31+1</f>
        <v>2037</v>
      </c>
      <c r="H32">
        <f>H31+1</f>
        <v>54</v>
      </c>
      <c r="I32">
        <f>I31+1</f>
        <v>15</v>
      </c>
      <c r="J32" s="87">
        <f>J31*(1+3.25%)</f>
        <v>293569.35564435815</v>
      </c>
      <c r="K32" s="83">
        <v>0</v>
      </c>
      <c r="L32" s="82">
        <v>0.05</v>
      </c>
      <c r="M32" s="86"/>
      <c r="N32" s="80">
        <f>(1/(1+5.75%))^($G$43-G32)</f>
        <v>0.54064957195098506</v>
      </c>
      <c r="O32" s="80">
        <f>O31*(1-K31-L31)</f>
        <v>0.35061823296506256</v>
      </c>
      <c r="P32" s="81">
        <f>$M$43*N32</f>
        <v>6.7581196493873135</v>
      </c>
      <c r="Q32" s="80">
        <f>(1/(1+5.75%)^(G32-$G$20))</f>
        <v>0.51125255030825978</v>
      </c>
      <c r="R32" s="79">
        <f>AVERAGE(J29:J31)</f>
        <v>275472.76518623991</v>
      </c>
      <c r="S32" s="78">
        <f>1.8%*R32*$I$20</f>
        <v>14875.529320056958</v>
      </c>
      <c r="T32" s="78">
        <f>S32*P32*Q32*(K32+L32)*O32</f>
        <v>901.02801259272712</v>
      </c>
      <c r="U32" s="78">
        <f>$S$20*P32*Q32*(K32+L32)*O32</f>
        <v>563.67518121740454</v>
      </c>
      <c r="X32" s="69"/>
    </row>
    <row r="33" spans="1:24" ht="16.2" thickBot="1" x14ac:dyDescent="0.35">
      <c r="A33" s="72"/>
      <c r="B33" s="91" t="s">
        <v>137</v>
      </c>
      <c r="C33" s="95" t="s">
        <v>136</v>
      </c>
      <c r="D33" s="94"/>
      <c r="G33">
        <f>G32+1</f>
        <v>2038</v>
      </c>
      <c r="H33">
        <f>H32+1</f>
        <v>55</v>
      </c>
      <c r="I33">
        <f>I32+1</f>
        <v>16</v>
      </c>
      <c r="J33" s="87">
        <f>J32*(1+3.25%)</f>
        <v>303110.35970279976</v>
      </c>
      <c r="K33" s="83">
        <v>0</v>
      </c>
      <c r="L33" s="82">
        <v>0</v>
      </c>
      <c r="M33" s="86"/>
      <c r="N33" s="80">
        <f>(1/(1+5.75%))^($G$43-G33)</f>
        <v>0.57173692233816675</v>
      </c>
      <c r="O33" s="80">
        <f>O32*(1-K32-L32)</f>
        <v>0.3330873213168094</v>
      </c>
      <c r="P33" s="81">
        <f>$M$43*N33</f>
        <v>7.1467115292270842</v>
      </c>
      <c r="Q33" s="80">
        <f>(1/(1+5.75%)^(G33-$G$20))</f>
        <v>0.4834539482820423</v>
      </c>
      <c r="R33" s="79">
        <f>AVERAGE(J30:J32)</f>
        <v>284425.63005479268</v>
      </c>
      <c r="S33" s="78">
        <f>1.8%*R33*$I$20</f>
        <v>15358.984022958804</v>
      </c>
      <c r="T33" s="78">
        <f>S33*P33*Q33*(K33+L33)*O33</f>
        <v>0</v>
      </c>
      <c r="U33" s="78">
        <f>$S$20*P33*Q33*(K33+L33)*O33</f>
        <v>0</v>
      </c>
      <c r="X33" s="2"/>
    </row>
    <row r="34" spans="1:24" ht="16.2" thickBot="1" x14ac:dyDescent="0.35">
      <c r="A34" s="72"/>
      <c r="B34" s="91" t="s">
        <v>135</v>
      </c>
      <c r="C34" s="93">
        <v>200000</v>
      </c>
      <c r="D34" s="92"/>
      <c r="G34">
        <f>G33+1</f>
        <v>2039</v>
      </c>
      <c r="H34">
        <f>H33+1</f>
        <v>56</v>
      </c>
      <c r="I34">
        <f>I33+1</f>
        <v>17</v>
      </c>
      <c r="J34" s="87">
        <f>J33*(1+3.25%)</f>
        <v>312961.44639314077</v>
      </c>
      <c r="K34" s="83">
        <v>0</v>
      </c>
      <c r="L34" s="82">
        <v>0</v>
      </c>
      <c r="M34" s="86"/>
      <c r="N34" s="80">
        <f>(1/(1+5.75%))^($G$43-G34)</f>
        <v>0.60461179537261134</v>
      </c>
      <c r="O34" s="80">
        <f>O33*(1-K33-L33)</f>
        <v>0.3330873213168094</v>
      </c>
      <c r="P34" s="81">
        <f>$M$43*N34</f>
        <v>7.5576474421576414</v>
      </c>
      <c r="Q34" s="80">
        <f>(1/(1+5.75%)^(G34-$G$20))</f>
        <v>0.45716685416741581</v>
      </c>
      <c r="R34" s="79">
        <f>AVERAGE(J31:J33)</f>
        <v>293669.46303157345</v>
      </c>
      <c r="S34" s="78">
        <f>1.8%*R34*$I$20</f>
        <v>15858.151003704968</v>
      </c>
      <c r="T34" s="78">
        <f>S34*P34*Q34*(K34+L34)*O34</f>
        <v>0</v>
      </c>
      <c r="U34" s="78">
        <f>$S$20*P34*Q34*(K34+L34)*O34</f>
        <v>0</v>
      </c>
      <c r="X34" s="2"/>
    </row>
    <row r="35" spans="1:24" ht="16.2" thickBot="1" x14ac:dyDescent="0.35">
      <c r="A35" s="72"/>
      <c r="B35" s="91" t="s">
        <v>134</v>
      </c>
      <c r="C35" s="90">
        <v>185000</v>
      </c>
      <c r="D35" s="89"/>
      <c r="G35">
        <f>G34+1</f>
        <v>2040</v>
      </c>
      <c r="H35">
        <f>H34+1</f>
        <v>57</v>
      </c>
      <c r="I35">
        <f>I34+1</f>
        <v>18</v>
      </c>
      <c r="J35" s="87">
        <f>J34*(1+3.25%)</f>
        <v>323132.69340091781</v>
      </c>
      <c r="K35" s="83">
        <v>0</v>
      </c>
      <c r="L35" s="82">
        <v>0</v>
      </c>
      <c r="M35" s="86"/>
      <c r="N35" s="80">
        <f>(1/(1+5.75%))^($G$43-G35)</f>
        <v>0.63937697360653656</v>
      </c>
      <c r="O35" s="80">
        <f>O34*(1-K34-L34)</f>
        <v>0.3330873213168094</v>
      </c>
      <c r="P35" s="81">
        <f>$M$43*N35</f>
        <v>7.9922121700817073</v>
      </c>
      <c r="Q35" s="80">
        <f>(1/(1+5.75%)^(G35-$G$20))</f>
        <v>0.43230908195500312</v>
      </c>
      <c r="R35" s="79">
        <f>AVERAGE(J32:J34)</f>
        <v>303213.72058009956</v>
      </c>
      <c r="S35" s="78">
        <f>1.8%*R35*$I$20</f>
        <v>16373.540911325379</v>
      </c>
      <c r="T35" s="78">
        <f>S35*P35*Q35*(K35+L35)*O35</f>
        <v>0</v>
      </c>
      <c r="U35" s="78">
        <f>$S$20*P35*Q35*(K35+L35)*O35</f>
        <v>0</v>
      </c>
      <c r="X35" s="68"/>
    </row>
    <row r="36" spans="1:24" ht="16.2" thickBot="1" x14ac:dyDescent="0.35">
      <c r="A36" s="72"/>
      <c r="B36" s="91" t="s">
        <v>133</v>
      </c>
      <c r="C36" s="90">
        <v>172000</v>
      </c>
      <c r="D36" s="89"/>
      <c r="G36">
        <f>G35+1</f>
        <v>2041</v>
      </c>
      <c r="H36">
        <f>H35+1</f>
        <v>58</v>
      </c>
      <c r="I36">
        <f>I35+1</f>
        <v>19</v>
      </c>
      <c r="J36" s="87">
        <f>J35*(1+3.25%)</f>
        <v>333634.50593644765</v>
      </c>
      <c r="K36" s="83">
        <v>0</v>
      </c>
      <c r="L36" s="82">
        <v>0</v>
      </c>
      <c r="M36" s="86"/>
      <c r="N36" s="80">
        <f>(1/(1+5.75%))^($G$43-G36)</f>
        <v>0.67614114958891247</v>
      </c>
      <c r="O36" s="80">
        <f>O35*(1-K35-L35)</f>
        <v>0.3330873213168094</v>
      </c>
      <c r="P36" s="81">
        <f>$M$43*N36</f>
        <v>8.4517643698614062</v>
      </c>
      <c r="Q36" s="80">
        <f>(1/(1+5.75%)^(G36-$G$20))</f>
        <v>0.40880291437825339</v>
      </c>
      <c r="R36" s="79">
        <f>AVERAGE(J33:J35)</f>
        <v>313068.16649895278</v>
      </c>
      <c r="S36" s="78">
        <f>1.8%*R36*$I$20</f>
        <v>16905.680990943452</v>
      </c>
      <c r="T36" s="78">
        <f>S36*P36*Q36*(K36+L36)*O36</f>
        <v>0</v>
      </c>
      <c r="U36" s="78">
        <f>$S$20*P36*Q36*(K36+L36)*O36</f>
        <v>0</v>
      </c>
    </row>
    <row r="37" spans="1:24" ht="16.2" thickBot="1" x14ac:dyDescent="0.35">
      <c r="A37" s="72"/>
      <c r="B37" s="91" t="s">
        <v>132</v>
      </c>
      <c r="C37" s="90">
        <v>160000</v>
      </c>
      <c r="D37" s="89"/>
      <c r="G37">
        <f>G36+1</f>
        <v>2042</v>
      </c>
      <c r="H37">
        <f>H36+1</f>
        <v>59</v>
      </c>
      <c r="I37">
        <f>I36+1</f>
        <v>20</v>
      </c>
      <c r="J37" s="87">
        <f>J36*(1+3.25%)</f>
        <v>344477.6273793822</v>
      </c>
      <c r="K37" s="83">
        <v>0</v>
      </c>
      <c r="L37" s="82">
        <v>0</v>
      </c>
      <c r="M37" s="86"/>
      <c r="N37" s="80">
        <f>(1/(1+5.75%))^($G$43-G37)</f>
        <v>0.71501926569027496</v>
      </c>
      <c r="O37" s="80">
        <f>O36*(1-K36-L36)</f>
        <v>0.3330873213168094</v>
      </c>
      <c r="P37" s="81">
        <f>$M$43*N37</f>
        <v>8.9377408211284362</v>
      </c>
      <c r="Q37" s="80">
        <f>(1/(1+5.75%)^(G37-$G$20))</f>
        <v>0.38657485993215446</v>
      </c>
      <c r="R37" s="79">
        <f>AVERAGE(J34:J36)</f>
        <v>323242.88191016874</v>
      </c>
      <c r="S37" s="78">
        <f>1.8%*R37*$I$20</f>
        <v>17455.115623149111</v>
      </c>
      <c r="T37" s="78">
        <f>S37*P37*Q37*(K37+L37)*O37</f>
        <v>0</v>
      </c>
      <c r="U37" s="78">
        <f>$S$20*P37*Q37*(K37+L37)*O37</f>
        <v>0</v>
      </c>
    </row>
    <row r="38" spans="1:24" x14ac:dyDescent="0.3">
      <c r="A38" s="72"/>
      <c r="B38" s="72"/>
      <c r="C38" s="72"/>
      <c r="D38" s="72"/>
      <c r="G38">
        <f>G37+1</f>
        <v>2043</v>
      </c>
      <c r="H38">
        <f>H37+1</f>
        <v>60</v>
      </c>
      <c r="I38">
        <f>I37+1</f>
        <v>21</v>
      </c>
      <c r="J38" s="87">
        <f>J37*(1+3.25%)</f>
        <v>355673.15026921214</v>
      </c>
      <c r="K38" s="83">
        <v>0</v>
      </c>
      <c r="L38" s="82">
        <v>0</v>
      </c>
      <c r="M38">
        <f>C28</f>
        <v>14</v>
      </c>
      <c r="N38" s="80">
        <f>(1/(1+5.75%))^($G$43-G38)</f>
        <v>0.75613287346746583</v>
      </c>
      <c r="O38" s="80">
        <f>O37*(1-K37-L37)</f>
        <v>0.3330873213168094</v>
      </c>
      <c r="P38" s="81">
        <f>$M$43*N38</f>
        <v>9.4516609183433236</v>
      </c>
      <c r="Q38" s="80">
        <f>(1/(1+5.75%)^(G38-$G$20))</f>
        <v>0.36555542310369216</v>
      </c>
      <c r="R38" s="79">
        <f>AVERAGE(J35:J37)</f>
        <v>333748.2755722492</v>
      </c>
      <c r="S38" s="88">
        <f>1.8%*R38*$I$20</f>
        <v>18022.406880901457</v>
      </c>
      <c r="T38" s="78">
        <f>S38*P38*Q38*(K38+L38)*O38</f>
        <v>0</v>
      </c>
      <c r="U38" s="78">
        <f>$S$20*P38*Q38*(K38+L38)*O38</f>
        <v>0</v>
      </c>
    </row>
    <row r="39" spans="1:24" ht="15.6" x14ac:dyDescent="0.3">
      <c r="A39" s="72"/>
      <c r="B39" s="73" t="s">
        <v>131</v>
      </c>
      <c r="C39" s="72"/>
      <c r="D39" s="72"/>
      <c r="G39">
        <f>G38+1</f>
        <v>2044</v>
      </c>
      <c r="H39">
        <f>H38+1</f>
        <v>61</v>
      </c>
      <c r="I39">
        <f>I38+1</f>
        <v>22</v>
      </c>
      <c r="J39" s="87">
        <f>J38*(1+3.25%)</f>
        <v>367232.52765296155</v>
      </c>
      <c r="K39" s="83">
        <v>0</v>
      </c>
      <c r="L39" s="82">
        <v>0</v>
      </c>
      <c r="M39" s="86"/>
      <c r="N39" s="80">
        <f>(1/(1+5.75%))^($G$43-G39)</f>
        <v>0.79961051369184521</v>
      </c>
      <c r="O39" s="80">
        <f>O38*(1-K38-L38)</f>
        <v>0.3330873213168094</v>
      </c>
      <c r="P39" s="81">
        <f>$M$43*N39</f>
        <v>9.9951314211480646</v>
      </c>
      <c r="Q39" s="80">
        <f>(1/(1+5.75%)^(G39-$G$20))</f>
        <v>0.34567888709568995</v>
      </c>
      <c r="R39" s="79">
        <f>AVERAGE(J36:J38)</f>
        <v>344595.09452834731</v>
      </c>
      <c r="S39" s="78">
        <f>1.8%*R39*$I$20</f>
        <v>18608.135104530757</v>
      </c>
      <c r="T39" s="78">
        <f>S39*P39*Q39*(K39+L39)*O39</f>
        <v>0</v>
      </c>
      <c r="U39" s="78">
        <f>$S$20*P39*Q39*(K39+L39)*O39</f>
        <v>0</v>
      </c>
    </row>
    <row r="40" spans="1:24" x14ac:dyDescent="0.3">
      <c r="A40" s="72"/>
      <c r="B40" s="72"/>
      <c r="C40" s="72"/>
      <c r="D40" s="72"/>
      <c r="G40">
        <f>G39+1</f>
        <v>2045</v>
      </c>
      <c r="H40">
        <f>H39+1</f>
        <v>62</v>
      </c>
      <c r="I40">
        <f>I39+1</f>
        <v>23</v>
      </c>
      <c r="J40" s="87">
        <f>J39*(1+3.25%)</f>
        <v>379167.58480168279</v>
      </c>
      <c r="K40" s="83">
        <v>0</v>
      </c>
      <c r="L40" s="82">
        <v>0</v>
      </c>
      <c r="M40" s="86"/>
      <c r="N40" s="80">
        <f>(1/(1+5.75%))^($G$43-G40)</f>
        <v>0.84558811822912638</v>
      </c>
      <c r="O40" s="80">
        <f>O39*(1-K39-L39)</f>
        <v>0.3330873213168094</v>
      </c>
      <c r="P40" s="81">
        <f>$M$43*N40</f>
        <v>10.569851477864081</v>
      </c>
      <c r="Q40" s="80">
        <f>(1/(1+5.75%)^(G40-$G$20))</f>
        <v>0.32688310836471851</v>
      </c>
      <c r="R40" s="79">
        <f>AVERAGE(J37:J39)</f>
        <v>355794.43510051863</v>
      </c>
      <c r="S40" s="78">
        <f>1.8%*R40*$I$20</f>
        <v>19212.899495428006</v>
      </c>
      <c r="T40" s="78">
        <f>S40*P40*Q40*(K40+L40)*O40</f>
        <v>0</v>
      </c>
      <c r="U40" s="78">
        <f>$S$20*P40*Q40*(K40+L40)*O40</f>
        <v>0</v>
      </c>
    </row>
    <row r="41" spans="1:24" ht="15.6" x14ac:dyDescent="0.3">
      <c r="A41" s="72"/>
      <c r="B41" s="85" t="s">
        <v>130</v>
      </c>
      <c r="C41" s="72"/>
      <c r="D41" s="72"/>
      <c r="G41">
        <f>G40+1</f>
        <v>2046</v>
      </c>
      <c r="H41">
        <f>H40+1</f>
        <v>63</v>
      </c>
      <c r="I41">
        <f>I40+1</f>
        <v>24</v>
      </c>
      <c r="J41" s="87">
        <f>J40*(1+3.25%)</f>
        <v>391490.53130773746</v>
      </c>
      <c r="K41" s="83">
        <v>0</v>
      </c>
      <c r="L41" s="82">
        <v>0</v>
      </c>
      <c r="M41" s="86"/>
      <c r="N41" s="80">
        <f>(1/(1+5.75%))^($G$43-G41)</f>
        <v>0.89420943502730121</v>
      </c>
      <c r="O41" s="80">
        <f>O40*(1-K40-L40)</f>
        <v>0.3330873213168094</v>
      </c>
      <c r="P41" s="81">
        <f>$M$43*N41</f>
        <v>11.177617937841266</v>
      </c>
      <c r="Q41" s="80">
        <f>(1/(1+5.75%)^(G41-$G$20))</f>
        <v>0.3091093223307031</v>
      </c>
      <c r="R41" s="79">
        <f>AVERAGE(J38:J40)</f>
        <v>367357.75424128544</v>
      </c>
      <c r="S41" s="78">
        <f>1.8%*R41*$I$20</f>
        <v>19837.318729029415</v>
      </c>
      <c r="T41" s="78">
        <f>S41*P41*Q41*(K41+L41)*O41</f>
        <v>0</v>
      </c>
      <c r="U41" s="78">
        <f>$S$20*P41*Q41*(K41+L41)*O41</f>
        <v>0</v>
      </c>
    </row>
    <row r="42" spans="1:24" ht="15.6" x14ac:dyDescent="0.3">
      <c r="A42" s="72"/>
      <c r="B42" s="85"/>
      <c r="C42" s="72"/>
      <c r="D42" s="72"/>
      <c r="G42">
        <f>G41+1</f>
        <v>2047</v>
      </c>
      <c r="H42">
        <f>H41+1</f>
        <v>64</v>
      </c>
      <c r="I42">
        <f>I41+1</f>
        <v>25</v>
      </c>
      <c r="J42" s="87">
        <f>J41*(1+3.25%)</f>
        <v>404213.9735752389</v>
      </c>
      <c r="K42" s="83">
        <v>0</v>
      </c>
      <c r="L42" s="82">
        <v>0</v>
      </c>
      <c r="M42" s="86"/>
      <c r="N42" s="80">
        <f>(1/(1+5.75%))^($G$43-G42)</f>
        <v>0.94562647754137108</v>
      </c>
      <c r="O42" s="80">
        <f>O41*(1-K41-L41)</f>
        <v>0.3330873213168094</v>
      </c>
      <c r="P42" s="81">
        <f>$M$43*N42</f>
        <v>11.820330969267138</v>
      </c>
      <c r="Q42" s="80">
        <f>(1/(1+5.75%)^(G42-$G$20))</f>
        <v>0.29230195965078304</v>
      </c>
      <c r="R42" s="79">
        <f>AVERAGE(J39:J41)</f>
        <v>379296.88125412725</v>
      </c>
      <c r="S42" s="78">
        <f>1.8%*R42*$I$20</f>
        <v>20482.031587722871</v>
      </c>
      <c r="T42" s="78">
        <f>S42*P42*Q42*(K42+L42)*O42</f>
        <v>0</v>
      </c>
      <c r="U42" s="78">
        <f>$S$20*P42*Q42*(K42+L42)*O42</f>
        <v>0</v>
      </c>
    </row>
    <row r="43" spans="1:24" ht="15.6" x14ac:dyDescent="0.3">
      <c r="A43" s="72"/>
      <c r="B43" s="85" t="s">
        <v>129</v>
      </c>
      <c r="C43" s="72"/>
      <c r="D43" s="72"/>
      <c r="G43">
        <f>G42+1</f>
        <v>2048</v>
      </c>
      <c r="H43">
        <f>H42+1</f>
        <v>65</v>
      </c>
      <c r="I43">
        <f>I42+1</f>
        <v>26</v>
      </c>
      <c r="J43" s="84"/>
      <c r="K43" s="83">
        <v>1</v>
      </c>
      <c r="L43" s="82">
        <v>0</v>
      </c>
      <c r="M43">
        <f>C27</f>
        <v>12.5</v>
      </c>
      <c r="N43" s="80">
        <f>(1/(1+5.75%))^($G$43-G43)</f>
        <v>1</v>
      </c>
      <c r="O43" s="80">
        <f>O42*(1-K42-L42)</f>
        <v>0.3330873213168094</v>
      </c>
      <c r="P43" s="81">
        <f>$M$43*N43</f>
        <v>12.5</v>
      </c>
      <c r="Q43" s="80">
        <f>(1/(1+5.75%)^(G43-$G$20))</f>
        <v>0.27640847248300993</v>
      </c>
      <c r="R43" s="79">
        <f>AVERAGE(J40:J42)</f>
        <v>391624.02989488636</v>
      </c>
      <c r="S43" s="78">
        <f>1.8%*R43*$I$20</f>
        <v>21147.697614323864</v>
      </c>
      <c r="T43" s="78">
        <f>S43*P43*Q43*(K43+L43)*O43</f>
        <v>24337.869483839724</v>
      </c>
      <c r="U43" s="78">
        <f>$S$20*P43*Q43*(K43+L43)*O43</f>
        <v>10709.828443130678</v>
      </c>
    </row>
    <row r="44" spans="1:24" ht="15.6" x14ac:dyDescent="0.3">
      <c r="A44" s="72"/>
      <c r="B44" s="73"/>
      <c r="C44" s="72"/>
      <c r="D44" s="72"/>
    </row>
    <row r="45" spans="1:24" ht="15.6" x14ac:dyDescent="0.3">
      <c r="A45" s="72"/>
      <c r="B45" s="73" t="s">
        <v>2</v>
      </c>
      <c r="C45" s="72"/>
      <c r="D45" s="72"/>
      <c r="H45" s="76" t="s">
        <v>128</v>
      </c>
      <c r="J45" s="77">
        <f>SUM(U20:U43)</f>
        <v>32153.215561586163</v>
      </c>
      <c r="K45" t="s">
        <v>127</v>
      </c>
      <c r="P45" s="74"/>
    </row>
    <row r="46" spans="1:24" x14ac:dyDescent="0.3">
      <c r="A46" s="72"/>
      <c r="B46" s="72"/>
      <c r="C46" s="72"/>
      <c r="D46" s="72"/>
      <c r="H46" s="76" t="s">
        <v>126</v>
      </c>
      <c r="J46" s="75">
        <f>SUM(T20:T43)</f>
        <v>50530.975469881865</v>
      </c>
      <c r="K46" t="s">
        <v>125</v>
      </c>
      <c r="S46" s="74"/>
    </row>
    <row r="47" spans="1:24" ht="15.6" x14ac:dyDescent="0.3">
      <c r="A47" s="72"/>
      <c r="B47" s="73" t="s">
        <v>124</v>
      </c>
      <c r="C47" s="72"/>
      <c r="D47" s="72"/>
    </row>
    <row r="48" spans="1:24" ht="15.6" x14ac:dyDescent="0.3">
      <c r="A48" s="72"/>
      <c r="B48" s="73"/>
      <c r="C48" s="72"/>
      <c r="D48" s="72"/>
    </row>
    <row r="49" spans="1:6" ht="16.2" x14ac:dyDescent="0.35">
      <c r="A49" s="72"/>
      <c r="B49" s="73" t="s">
        <v>123</v>
      </c>
      <c r="C49" s="72"/>
      <c r="D49" s="72"/>
      <c r="F49" s="71"/>
    </row>
    <row r="50" spans="1:6" ht="15.6" x14ac:dyDescent="0.3">
      <c r="F50" s="3"/>
    </row>
    <row r="51" spans="1:6" ht="15.6" x14ac:dyDescent="0.3">
      <c r="F51" s="70"/>
    </row>
    <row r="52" spans="1:6" ht="15.6" x14ac:dyDescent="0.3">
      <c r="F52" s="2"/>
    </row>
    <row r="53" spans="1:6" ht="15.6" x14ac:dyDescent="0.3">
      <c r="F53" s="2"/>
    </row>
    <row r="55" spans="1:6" ht="15.6" x14ac:dyDescent="0.3">
      <c r="F55" s="2"/>
    </row>
    <row r="56" spans="1:6" ht="15.6" x14ac:dyDescent="0.3">
      <c r="F56" s="2"/>
    </row>
    <row r="58" spans="1:6" ht="15.6" x14ac:dyDescent="0.3">
      <c r="F58" s="69"/>
    </row>
    <row r="60" spans="1:6" ht="15.6" x14ac:dyDescent="0.3">
      <c r="F60" s="69"/>
    </row>
    <row r="61" spans="1:6" ht="15.6" x14ac:dyDescent="0.3">
      <c r="F61" s="2"/>
    </row>
    <row r="62" spans="1:6" ht="15.6" x14ac:dyDescent="0.3">
      <c r="F62" s="69"/>
    </row>
    <row r="63" spans="1:6" ht="15.6" x14ac:dyDescent="0.3">
      <c r="F63" s="2"/>
    </row>
    <row r="64" spans="1:6" ht="15.6" x14ac:dyDescent="0.3">
      <c r="F64" s="2"/>
    </row>
    <row r="65" spans="6:6" ht="15.6" x14ac:dyDescent="0.3">
      <c r="F65" s="68"/>
    </row>
  </sheetData>
  <mergeCells count="1">
    <mergeCell ref="K15:L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7dc3d3663935be6bf10a75b4167b61c7">
  <xsd:schema xmlns:xsd="http://www.w3.org/2001/XMLSchema" xmlns:xs="http://www.w3.org/2001/XMLSchema" xmlns:p="http://schemas.microsoft.com/office/2006/metadata/properties" xmlns:ns2="16a415e0-cbd2-494f-bd0b-9ec9526163e9" targetNamespace="http://schemas.microsoft.com/office/2006/metadata/properties" ma:root="true" ma:fieldsID="a1fda67aa6625a839560a09cea5ca94f"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3834999-4E01-4C08-895E-70ADDBAA1C0E}"/>
</file>

<file path=customXml/itemProps2.xml><?xml version="1.0" encoding="utf-8"?>
<ds:datastoreItem xmlns:ds="http://schemas.openxmlformats.org/officeDocument/2006/customXml" ds:itemID="{19FA7A14-0B31-4C50-A254-B5D87AB73FBB}"/>
</file>

<file path=customXml/itemProps3.xml><?xml version="1.0" encoding="utf-8"?>
<ds:datastoreItem xmlns:ds="http://schemas.openxmlformats.org/officeDocument/2006/customXml" ds:itemID="{D34CB6E2-D747-4525-B33B-A352F5837523}"/>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Question 1 Model Solution</vt:lpstr>
      <vt:lpstr>Question 5 Model Solution</vt:lpstr>
      <vt:lpstr>Question 7 Model Solution</vt:lpstr>
    </vt:vector>
  </TitlesOfParts>
  <Company>Loblaw Companies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Suu Chei Lee (LCL)</dc:creator>
  <cp:lastModifiedBy>Mark Dulceak</cp:lastModifiedBy>
  <dcterms:created xsi:type="dcterms:W3CDTF">2023-08-18T17:08:42Z</dcterms:created>
  <dcterms:modified xsi:type="dcterms:W3CDTF">2026-01-05T16:57:19Z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ebdb4e0-4ac9-4b4f-ae84-2ade086bb6da_Enabled">
    <vt:lpwstr>true</vt:lpwstr>
  </property>
  <property fmtid="{D5CDD505-2E9C-101B-9397-08002B2CF9AE}" pid="3" name="MSIP_Label_6ebdb4e0-4ac9-4b4f-ae84-2ade086bb6da_SetDate">
    <vt:lpwstr>2023-08-18T17:08:46Z</vt:lpwstr>
  </property>
  <property fmtid="{D5CDD505-2E9C-101B-9397-08002B2CF9AE}" pid="4" name="MSIP_Label_6ebdb4e0-4ac9-4b4f-ae84-2ade086bb6da_Method">
    <vt:lpwstr>Privileged</vt:lpwstr>
  </property>
  <property fmtid="{D5CDD505-2E9C-101B-9397-08002B2CF9AE}" pid="5" name="MSIP_Label_6ebdb4e0-4ac9-4b4f-ae84-2ade086bb6da_Name">
    <vt:lpwstr>GWL - Public</vt:lpwstr>
  </property>
  <property fmtid="{D5CDD505-2E9C-101B-9397-08002B2CF9AE}" pid="6" name="MSIP_Label_6ebdb4e0-4ac9-4b4f-ae84-2ade086bb6da_SiteId">
    <vt:lpwstr>eaa6cb52-58d7-45cd-8bd6-b1d2a8e61312</vt:lpwstr>
  </property>
  <property fmtid="{D5CDD505-2E9C-101B-9397-08002B2CF9AE}" pid="7" name="MSIP_Label_6ebdb4e0-4ac9-4b4f-ae84-2ade086bb6da_ActionId">
    <vt:lpwstr>abe73ccb-5db0-412e-8c90-830f04ddd23b</vt:lpwstr>
  </property>
  <property fmtid="{D5CDD505-2E9C-101B-9397-08002B2CF9AE}" pid="8" name="MSIP_Label_6ebdb4e0-4ac9-4b4f-ae84-2ade086bb6da_ContentBits">
    <vt:lpwstr>0</vt:lpwstr>
  </property>
  <property fmtid="{D5CDD505-2E9C-101B-9397-08002B2CF9AE}" pid="9" name="MSIP_Label_8a61ff1b-bdde-47b0-83ea-21bd281745d3_Enabled">
    <vt:lpwstr>true</vt:lpwstr>
  </property>
  <property fmtid="{D5CDD505-2E9C-101B-9397-08002B2CF9AE}" pid="10" name="MSIP_Label_8a61ff1b-bdde-47b0-83ea-21bd281745d3_SetDate">
    <vt:lpwstr>2025-02-12T16:45:03Z</vt:lpwstr>
  </property>
  <property fmtid="{D5CDD505-2E9C-101B-9397-08002B2CF9AE}" pid="11" name="MSIP_Label_8a61ff1b-bdde-47b0-83ea-21bd281745d3_Method">
    <vt:lpwstr>Standard</vt:lpwstr>
  </property>
  <property fmtid="{D5CDD505-2E9C-101B-9397-08002B2CF9AE}" pid="12" name="MSIP_Label_8a61ff1b-bdde-47b0-83ea-21bd281745d3_Name">
    <vt:lpwstr>8a61ff1b-bdde-47b0-83ea-21bd281745d3</vt:lpwstr>
  </property>
  <property fmtid="{D5CDD505-2E9C-101B-9397-08002B2CF9AE}" pid="13" name="MSIP_Label_8a61ff1b-bdde-47b0-83ea-21bd281745d3_SiteId">
    <vt:lpwstr>a530807a-40d9-47ea-ad58-8e093f2f9f49</vt:lpwstr>
  </property>
  <property fmtid="{D5CDD505-2E9C-101B-9397-08002B2CF9AE}" pid="14" name="MSIP_Label_8a61ff1b-bdde-47b0-83ea-21bd281745d3_ActionId">
    <vt:lpwstr>f9342329-bb4c-4a4c-ad26-bfe1b1b2bf7d</vt:lpwstr>
  </property>
  <property fmtid="{D5CDD505-2E9C-101B-9397-08002B2CF9AE}" pid="15" name="MSIP_Label_8a61ff1b-bdde-47b0-83ea-21bd281745d3_ContentBits">
    <vt:lpwstr>0</vt:lpwstr>
  </property>
  <property fmtid="{D5CDD505-2E9C-101B-9397-08002B2CF9AE}" pid="16" name="MSIP_Label_9043f10a-881e-4653-a55e-02ca2cc829dc_Enabled">
    <vt:lpwstr>true</vt:lpwstr>
  </property>
  <property fmtid="{D5CDD505-2E9C-101B-9397-08002B2CF9AE}" pid="17" name="MSIP_Label_9043f10a-881e-4653-a55e-02ca2cc829dc_SetDate">
    <vt:lpwstr>2025-12-13T17:13:51Z</vt:lpwstr>
  </property>
  <property fmtid="{D5CDD505-2E9C-101B-9397-08002B2CF9AE}" pid="18" name="MSIP_Label_9043f10a-881e-4653-a55e-02ca2cc829dc_Method">
    <vt:lpwstr>Standard</vt:lpwstr>
  </property>
  <property fmtid="{D5CDD505-2E9C-101B-9397-08002B2CF9AE}" pid="19" name="MSIP_Label_9043f10a-881e-4653-a55e-02ca2cc829dc_Name">
    <vt:lpwstr>ADC_class_200</vt:lpwstr>
  </property>
  <property fmtid="{D5CDD505-2E9C-101B-9397-08002B2CF9AE}" pid="20" name="MSIP_Label_9043f10a-881e-4653-a55e-02ca2cc829dc_SiteId">
    <vt:lpwstr>94cfddbc-0627-494a-ad7a-29aea3aea832</vt:lpwstr>
  </property>
  <property fmtid="{D5CDD505-2E9C-101B-9397-08002B2CF9AE}" pid="21" name="MSIP_Label_9043f10a-881e-4653-a55e-02ca2cc829dc_ActionId">
    <vt:lpwstr>28a38e3a-ce93-42dc-bff3-0028b59d17ff</vt:lpwstr>
  </property>
  <property fmtid="{D5CDD505-2E9C-101B-9397-08002B2CF9AE}" pid="22" name="MSIP_Label_9043f10a-881e-4653-a55e-02ca2cc829dc_ContentBits">
    <vt:lpwstr>0</vt:lpwstr>
  </property>
  <property fmtid="{D5CDD505-2E9C-101B-9397-08002B2CF9AE}" pid="23" name="MSIP_Label_9043f10a-881e-4653-a55e-02ca2cc829dc_Tag">
    <vt:lpwstr>10, 3, 0, 1</vt:lpwstr>
  </property>
  <property fmtid="{D5CDD505-2E9C-101B-9397-08002B2CF9AE}" pid="24" name="ContentTypeId">
    <vt:lpwstr>0x010100A13D16CE4023BB4BB4110DFC2802C897</vt:lpwstr>
  </property>
</Properties>
</file>