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societyofactuaries-my.sharepoint.com/personal/mdulceak_soa_org/Documents/U_Drive/Solutions/November 2025 Solutions/GI 101/"/>
    </mc:Choice>
  </mc:AlternateContent>
  <xr:revisionPtr revIDLastSave="0" documentId="8_{34BA3368-CAC6-484D-ACDC-0FB0A2EEC40D}" xr6:coauthVersionLast="47" xr6:coauthVersionMax="47" xr10:uidLastSave="{00000000-0000-0000-0000-000000000000}"/>
  <bookViews>
    <workbookView xWindow="1536" yWindow="720" windowWidth="19632" windowHeight="12240" tabRatio="784" xr2:uid="{00000000-000D-0000-FFFF-FFFF00000000}"/>
  </bookViews>
  <sheets>
    <sheet name="Question 1" sheetId="41" r:id="rId1"/>
    <sheet name="Question 2" sheetId="42" r:id="rId2"/>
    <sheet name="Question 3" sheetId="43" r:id="rId3"/>
    <sheet name="Question 4" sheetId="44" r:id="rId4"/>
    <sheet name="Question 5" sheetId="45" r:id="rId5"/>
    <sheet name="Question 6" sheetId="46" r:id="rId6"/>
    <sheet name="Question 7" sheetId="47" r:id="rId7"/>
    <sheet name="Question 8" sheetId="48" r:id="rId8"/>
    <sheet name="Question 9" sheetId="49" r:id="rId9"/>
    <sheet name="Question 10" sheetId="50" r:id="rId10"/>
    <sheet name="Question 11" sheetId="5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L21" i="46" l="1"/>
  <c r="AD21" i="46"/>
  <c r="V21" i="46"/>
  <c r="R21" i="46"/>
  <c r="D30" i="41"/>
  <c r="C30" i="41"/>
  <c r="E30" i="41" s="1"/>
  <c r="D29" i="41"/>
  <c r="C29" i="41"/>
  <c r="D28" i="41"/>
  <c r="C28" i="41"/>
  <c r="D27" i="41"/>
  <c r="C27" i="41"/>
  <c r="D26" i="41"/>
  <c r="D31" i="41" s="1"/>
  <c r="C26" i="41"/>
  <c r="G27" i="41" l="1"/>
  <c r="G29" i="41"/>
  <c r="C31" i="41"/>
  <c r="C37" i="41" s="1"/>
  <c r="G28" i="41"/>
  <c r="E29" i="41"/>
  <c r="E28" i="41" s="1"/>
  <c r="E27" i="41" s="1"/>
  <c r="E26" i="41" s="1"/>
  <c r="G30" i="41"/>
  <c r="H30" i="41" s="1"/>
  <c r="H29" i="41" s="1"/>
  <c r="G26" i="41"/>
  <c r="G31" i="41" l="1"/>
  <c r="H28" i="41"/>
  <c r="H27" i="41" l="1"/>
  <c r="H26" i="41" l="1"/>
  <c r="H31" i="41" l="1"/>
  <c r="I26" i="41"/>
  <c r="I30" i="41" l="1"/>
  <c r="I31" i="41" s="1"/>
  <c r="I29" i="41"/>
  <c r="I28" i="41"/>
  <c r="I27" i="41"/>
  <c r="C55" i="51" l="1"/>
  <c r="F55" i="51" s="1"/>
  <c r="C36" i="51"/>
  <c r="C35" i="51"/>
  <c r="C34" i="51"/>
  <c r="C33" i="51"/>
  <c r="C32" i="51"/>
  <c r="C31" i="51"/>
  <c r="C54" i="51" l="1"/>
  <c r="F54" i="51" s="1"/>
  <c r="G55" i="51"/>
  <c r="D36" i="51"/>
  <c r="D33" i="51"/>
  <c r="D34" i="51"/>
  <c r="D35" i="51"/>
  <c r="D32" i="51"/>
  <c r="C37" i="51" a="1"/>
  <c r="C37" i="51" s="1"/>
  <c r="D37" i="51" l="1"/>
  <c r="B39" i="51" s="1"/>
  <c r="D54" i="51" s="1"/>
  <c r="E54" i="51" s="1"/>
  <c r="D55" i="51"/>
  <c r="E55" i="51" s="1"/>
  <c r="H55" i="51" s="1"/>
  <c r="C53" i="51"/>
  <c r="F53" i="51" s="1"/>
  <c r="G54" i="51"/>
  <c r="C52" i="51" l="1"/>
  <c r="F52" i="51" s="1"/>
  <c r="D52" i="51"/>
  <c r="D53" i="51"/>
  <c r="E53" i="51" s="1"/>
  <c r="H54" i="51"/>
  <c r="G53" i="51"/>
  <c r="C51" i="51"/>
  <c r="F51" i="51" l="1"/>
  <c r="D51" i="51"/>
  <c r="C50" i="51"/>
  <c r="G52" i="51"/>
  <c r="E52" i="51"/>
  <c r="H53" i="51"/>
  <c r="F50" i="51" l="1"/>
  <c r="D50" i="51"/>
  <c r="E50" i="51" s="1"/>
  <c r="G50" i="51"/>
  <c r="H52" i="51"/>
  <c r="G51" i="51"/>
  <c r="E51" i="51"/>
  <c r="H50" i="51" l="1"/>
  <c r="H51" i="51"/>
  <c r="D47" i="50" l="1"/>
  <c r="D46" i="50"/>
  <c r="D45" i="50"/>
  <c r="D44" i="50"/>
  <c r="D43" i="50"/>
  <c r="C47" i="50"/>
  <c r="C46" i="50"/>
  <c r="C45" i="50"/>
  <c r="C44" i="50"/>
  <c r="C43" i="50"/>
  <c r="B44" i="50"/>
  <c r="B45" i="50" s="1"/>
  <c r="B46" i="50" s="1"/>
  <c r="B47" i="50" s="1"/>
  <c r="C35" i="50"/>
  <c r="D35" i="50" s="1"/>
  <c r="E35" i="50" s="1"/>
  <c r="C34" i="50"/>
  <c r="D34" i="50" s="1"/>
  <c r="E34" i="50" s="1"/>
  <c r="C33" i="50"/>
  <c r="D33" i="50" s="1"/>
  <c r="E33" i="50" s="1"/>
  <c r="C32" i="50"/>
  <c r="D32" i="50" s="1"/>
  <c r="E32" i="50" s="1"/>
  <c r="C31" i="50"/>
  <c r="D31" i="50" s="1"/>
  <c r="E31" i="50" s="1"/>
  <c r="B32" i="50"/>
  <c r="B33" i="50" s="1"/>
  <c r="B34" i="50" s="1"/>
  <c r="B35" i="50" s="1"/>
  <c r="D48" i="50" l="1"/>
  <c r="E36" i="50"/>
  <c r="F149" i="48" l="1"/>
  <c r="D70" i="48"/>
  <c r="E70" i="48" s="1"/>
  <c r="C70" i="48"/>
  <c r="E65" i="48"/>
  <c r="C65" i="48"/>
  <c r="D65" i="48"/>
  <c r="E64" i="48"/>
  <c r="D64" i="48"/>
  <c r="C64" i="48"/>
  <c r="C129" i="48"/>
  <c r="C128" i="48" s="1"/>
  <c r="C127" i="48" s="1"/>
  <c r="C126" i="48" s="1"/>
  <c r="C125" i="48" s="1"/>
  <c r="C124" i="48" s="1"/>
  <c r="D128" i="48"/>
  <c r="D127" i="48" s="1"/>
  <c r="D126" i="48" s="1"/>
  <c r="D125" i="48" s="1"/>
  <c r="D124" i="48" s="1"/>
  <c r="F126" i="48"/>
  <c r="F125" i="48" s="1"/>
  <c r="F124" i="48" s="1"/>
  <c r="G125" i="48"/>
  <c r="G124" i="48" s="1"/>
  <c r="H124" i="48"/>
  <c r="E106" i="48"/>
  <c r="D106" i="48"/>
  <c r="C106" i="48"/>
  <c r="E102" i="48"/>
  <c r="D102" i="48"/>
  <c r="C102" i="48"/>
  <c r="C66" i="48" l="1"/>
  <c r="D72" i="48"/>
  <c r="D86" i="48" s="1"/>
  <c r="C72" i="48"/>
  <c r="E133" i="48"/>
  <c r="C133" i="48"/>
  <c r="D133" i="48"/>
  <c r="E66" i="48"/>
  <c r="D66" i="48"/>
  <c r="E72" i="48"/>
  <c r="E86" i="48" s="1"/>
  <c r="C76" i="48" l="1"/>
  <c r="C82" i="48" s="1"/>
  <c r="D76" i="48"/>
  <c r="D82" i="48" s="1"/>
  <c r="D138" i="48"/>
  <c r="C86" i="48"/>
  <c r="C138" i="48" s="1"/>
  <c r="E76" i="48"/>
  <c r="E82" i="48" l="1"/>
  <c r="E127" i="48" s="1"/>
  <c r="E126" i="48" s="1"/>
  <c r="E125" i="48" s="1"/>
  <c r="E124" i="48" s="1"/>
  <c r="F151" i="48"/>
  <c r="E138" i="48" l="1"/>
  <c r="F148" i="48" s="1"/>
  <c r="F150" i="48" s="1"/>
  <c r="F152" i="48" s="1"/>
  <c r="E56" i="47" l="1"/>
  <c r="E55" i="47"/>
  <c r="D74" i="47"/>
  <c r="C73" i="47"/>
  <c r="C72" i="47" s="1"/>
  <c r="C71" i="47" s="1"/>
  <c r="C70" i="47" s="1"/>
  <c r="C69" i="47" s="1"/>
  <c r="C68" i="47" s="1"/>
  <c r="D68" i="47" s="1"/>
  <c r="B68" i="47"/>
  <c r="B69" i="47" s="1"/>
  <c r="B70" i="47" s="1"/>
  <c r="B71" i="47" s="1"/>
  <c r="B72" i="47" s="1"/>
  <c r="B73" i="47" s="1"/>
  <c r="B74" i="47" s="1"/>
  <c r="B44" i="47"/>
  <c r="B45" i="47" s="1"/>
  <c r="B46" i="47" s="1"/>
  <c r="B47" i="47" s="1"/>
  <c r="B48" i="47" s="1"/>
  <c r="B49" i="47" s="1"/>
  <c r="B50" i="47" s="1"/>
  <c r="B23" i="47"/>
  <c r="B24" i="47" s="1"/>
  <c r="B25" i="47" s="1"/>
  <c r="B26" i="47" s="1"/>
  <c r="B27" i="47" s="1"/>
  <c r="B28" i="47" s="1"/>
  <c r="B29" i="47" s="1"/>
  <c r="C29" i="47"/>
  <c r="E29" i="47" s="1"/>
  <c r="C50" i="47" s="1"/>
  <c r="E50" i="47" s="1"/>
  <c r="C28" i="47"/>
  <c r="E28" i="47" s="1"/>
  <c r="C49" i="47" s="1"/>
  <c r="C27" i="47"/>
  <c r="E27" i="47" s="1"/>
  <c r="C48" i="47" s="1"/>
  <c r="C26" i="47"/>
  <c r="E26" i="47" s="1"/>
  <c r="C47" i="47" s="1"/>
  <c r="C25" i="47"/>
  <c r="E25" i="47" s="1"/>
  <c r="C46" i="47" s="1"/>
  <c r="C24" i="47"/>
  <c r="E24" i="47" s="1"/>
  <c r="C45" i="47" s="1"/>
  <c r="C23" i="47"/>
  <c r="E23" i="47" s="1"/>
  <c r="C44" i="47" s="1"/>
  <c r="C43" i="47"/>
  <c r="D69" i="47" l="1"/>
  <c r="D70" i="47"/>
  <c r="D71" i="47"/>
  <c r="D73" i="47"/>
  <c r="D72" i="47"/>
  <c r="C56" i="47"/>
  <c r="B52" i="47"/>
  <c r="F28" i="47"/>
  <c r="F25" i="47"/>
  <c r="F29" i="47"/>
  <c r="F26" i="47"/>
  <c r="F27" i="47"/>
  <c r="F24" i="47"/>
  <c r="F34" i="47" l="1"/>
  <c r="F36" i="47" s="1"/>
  <c r="D49" i="47" s="1"/>
  <c r="F32" i="47"/>
  <c r="F31" i="47"/>
  <c r="E49" i="47" l="1"/>
  <c r="D48" i="47"/>
  <c r="D47" i="47" l="1"/>
  <c r="E48" i="47"/>
  <c r="E47" i="47" l="1"/>
  <c r="D46" i="47"/>
  <c r="E46" i="47" l="1"/>
  <c r="D45" i="47"/>
  <c r="D44" i="47" l="1"/>
  <c r="E45" i="47"/>
  <c r="E54" i="47" s="1"/>
  <c r="F50" i="47" l="1"/>
  <c r="E74" i="47" s="1"/>
  <c r="F74" i="47" s="1"/>
  <c r="F49" i="47"/>
  <c r="E73" i="47" s="1"/>
  <c r="F73" i="47" s="1"/>
  <c r="F48" i="47"/>
  <c r="E72" i="47" s="1"/>
  <c r="F72" i="47" s="1"/>
  <c r="F47" i="47"/>
  <c r="E71" i="47" s="1"/>
  <c r="F71" i="47" s="1"/>
  <c r="F46" i="47"/>
  <c r="E70" i="47" s="1"/>
  <c r="F70" i="47" s="1"/>
  <c r="F44" i="47"/>
  <c r="F45" i="47"/>
  <c r="E69" i="47" s="1"/>
  <c r="F69" i="47" s="1"/>
  <c r="E44" i="47"/>
  <c r="E53" i="47" s="1"/>
  <c r="E68" i="47" l="1"/>
  <c r="F68" i="47" s="1"/>
  <c r="F75" i="47" s="1"/>
  <c r="F51" i="47"/>
  <c r="F86" i="49" l="1"/>
  <c r="F87" i="49" s="1"/>
  <c r="F88" i="49" s="1"/>
  <c r="F76" i="49"/>
  <c r="E76" i="49"/>
  <c r="I76" i="49" s="1"/>
  <c r="D76" i="49"/>
  <c r="C76" i="49"/>
  <c r="G75" i="49"/>
  <c r="F75" i="49"/>
  <c r="E75" i="49"/>
  <c r="I75" i="49" s="1"/>
  <c r="J75" i="49" s="1"/>
  <c r="D75" i="49"/>
  <c r="C75" i="49"/>
  <c r="H75" i="49" s="1"/>
  <c r="K74" i="49"/>
  <c r="K75" i="49" s="1"/>
  <c r="K76" i="49" s="1"/>
  <c r="H74" i="49"/>
  <c r="G74" i="49"/>
  <c r="I74" i="49" s="1"/>
  <c r="J74" i="49" s="1"/>
  <c r="F74" i="49"/>
  <c r="E74" i="49"/>
  <c r="D74" i="49"/>
  <c r="C74" i="49"/>
  <c r="K73" i="49"/>
  <c r="F73" i="49"/>
  <c r="E73" i="49"/>
  <c r="D73" i="49"/>
  <c r="C73" i="49"/>
  <c r="F72" i="49"/>
  <c r="E72" i="49"/>
  <c r="D72" i="49"/>
  <c r="C72" i="49"/>
  <c r="K71" i="49"/>
  <c r="F71" i="49"/>
  <c r="E71" i="49"/>
  <c r="D71" i="49"/>
  <c r="C71" i="49"/>
  <c r="H71" i="49" s="1"/>
  <c r="G73" i="49" l="1"/>
  <c r="G72" i="49" s="1"/>
  <c r="G71" i="49" s="1"/>
  <c r="I71" i="49" s="1"/>
  <c r="J71" i="49" s="1"/>
  <c r="H72" i="49"/>
  <c r="H73" i="49"/>
  <c r="H76" i="49"/>
  <c r="J76" i="49" s="1"/>
  <c r="I72" i="49" l="1"/>
  <c r="J72" i="49" s="1"/>
  <c r="I73" i="49"/>
  <c r="J73" i="49" s="1"/>
  <c r="K78" i="49" l="1"/>
  <c r="E66" i="45"/>
  <c r="C66" i="45"/>
  <c r="E65" i="45"/>
  <c r="C65" i="45"/>
  <c r="E64" i="45"/>
  <c r="C64" i="45"/>
  <c r="G63" i="45"/>
  <c r="H63" i="45" s="1"/>
  <c r="E63" i="45"/>
  <c r="C63" i="45"/>
  <c r="H62" i="45"/>
  <c r="E62" i="45"/>
  <c r="C62" i="45"/>
  <c r="H61" i="45"/>
  <c r="H60" i="45"/>
  <c r="F42" i="45"/>
  <c r="E42" i="45"/>
  <c r="D42" i="45"/>
  <c r="F40" i="45"/>
  <c r="D40" i="45"/>
  <c r="C40" i="45"/>
  <c r="I39" i="45"/>
  <c r="I38" i="45" s="1"/>
  <c r="I37" i="45" s="1"/>
  <c r="J37" i="45" s="1"/>
  <c r="F39" i="45"/>
  <c r="D39" i="45"/>
  <c r="C39" i="45"/>
  <c r="F38" i="45"/>
  <c r="D38" i="45"/>
  <c r="C38" i="45"/>
  <c r="F37" i="45"/>
  <c r="D37" i="45"/>
  <c r="C37" i="45"/>
  <c r="J36" i="45"/>
  <c r="G64" i="45" l="1"/>
  <c r="G65" i="45" s="1"/>
  <c r="J39" i="45"/>
  <c r="G66" i="45"/>
  <c r="H66" i="45" s="1"/>
  <c r="H65" i="45"/>
  <c r="H64" i="45"/>
  <c r="E37" i="45"/>
  <c r="E38" i="45" s="1"/>
  <c r="J40" i="45"/>
  <c r="J38" i="45"/>
  <c r="G37" i="45" l="1"/>
  <c r="H37" i="45" s="1"/>
  <c r="K37" i="45" s="1"/>
  <c r="G38" i="45"/>
  <c r="H38" i="45" s="1"/>
  <c r="K38" i="45" s="1"/>
  <c r="E39" i="45"/>
  <c r="E40" i="45" l="1"/>
  <c r="G39" i="45"/>
  <c r="H39" i="45" s="1"/>
  <c r="K39" i="45" s="1"/>
  <c r="G40" i="45" l="1"/>
  <c r="H40" i="45" s="1"/>
  <c r="K40" i="45" s="1"/>
  <c r="K44" i="45" s="1"/>
  <c r="D62" i="45"/>
  <c r="I62" i="45" l="1"/>
  <c r="I63" i="45"/>
  <c r="I66" i="45"/>
  <c r="I65" i="45"/>
  <c r="I64" i="45"/>
  <c r="D63" i="45"/>
  <c r="F62" i="45"/>
  <c r="J62" i="45" s="1"/>
  <c r="D64" i="45" l="1"/>
  <c r="F63" i="45"/>
  <c r="J63" i="45" s="1"/>
  <c r="F64" i="45" l="1"/>
  <c r="J64" i="45" s="1"/>
  <c r="D65" i="45"/>
  <c r="F65" i="45" l="1"/>
  <c r="J65" i="45" s="1"/>
  <c r="D66" i="45"/>
  <c r="F66" i="45" s="1"/>
  <c r="J66" i="45" s="1"/>
  <c r="J67" i="45" l="1"/>
  <c r="D65" i="46"/>
  <c r="C65" i="46"/>
  <c r="D64" i="46"/>
  <c r="C64" i="46"/>
  <c r="D63" i="46"/>
  <c r="C63" i="46"/>
  <c r="D62" i="46"/>
  <c r="C62" i="46"/>
  <c r="D61" i="46"/>
  <c r="C61" i="46"/>
  <c r="D60" i="46"/>
  <c r="C60" i="46"/>
  <c r="D59" i="46"/>
  <c r="C59" i="46"/>
  <c r="E64" i="46"/>
  <c r="E63" i="46" s="1"/>
  <c r="E62" i="46" s="1"/>
  <c r="E61" i="46" s="1"/>
  <c r="E60" i="46" s="1"/>
  <c r="E59" i="46" s="1"/>
  <c r="F59" i="46"/>
  <c r="F60" i="46" s="1"/>
  <c r="F61" i="46" s="1"/>
  <c r="F62" i="46" s="1"/>
  <c r="AI24" i="46"/>
  <c r="Z24" i="46"/>
  <c r="S24" i="46"/>
  <c r="O24" i="46"/>
  <c r="B31" i="46"/>
  <c r="B30" i="46"/>
  <c r="B29" i="46"/>
  <c r="B28" i="46"/>
  <c r="C28" i="46"/>
  <c r="C29" i="46" s="1"/>
  <c r="C30" i="46" s="1"/>
  <c r="C31" i="46" s="1"/>
  <c r="H32" i="46"/>
  <c r="G32" i="46"/>
  <c r="D32" i="46"/>
  <c r="E29" i="46"/>
  <c r="I31" i="46" s="1"/>
  <c r="F28" i="46"/>
  <c r="F29" i="46" s="1"/>
  <c r="J31" i="46" s="1"/>
  <c r="E26" i="46"/>
  <c r="F26" i="46" s="1"/>
  <c r="G26" i="46" s="1"/>
  <c r="H26" i="46" s="1"/>
  <c r="I26" i="46" s="1"/>
  <c r="J26" i="46" s="1"/>
  <c r="E28" i="46" l="1"/>
  <c r="I30" i="46" s="1"/>
  <c r="I32" i="46" s="1"/>
  <c r="J30" i="46"/>
  <c r="J32" i="46" s="1"/>
  <c r="F32" i="46"/>
  <c r="E32" i="46" l="1"/>
  <c r="G33" i="46" l="1"/>
  <c r="J33" i="46"/>
  <c r="H33" i="46" l="1"/>
  <c r="H34" i="46" s="1"/>
  <c r="G63" i="46" s="1"/>
  <c r="H63" i="46" s="1"/>
  <c r="J34" i="46"/>
  <c r="G65" i="46" s="1"/>
  <c r="H65" i="46" s="1"/>
  <c r="G34" i="46"/>
  <c r="G62" i="46" s="1"/>
  <c r="H62" i="46" s="1"/>
  <c r="E33" i="46"/>
  <c r="E34" i="46" s="1"/>
  <c r="G60" i="46" s="1"/>
  <c r="H60" i="46" s="1"/>
  <c r="F33" i="46"/>
  <c r="F34" i="46" s="1"/>
  <c r="G61" i="46" s="1"/>
  <c r="H61" i="46" s="1"/>
  <c r="I33" i="46"/>
  <c r="I34" i="46" s="1"/>
  <c r="G64" i="46" s="1"/>
  <c r="H64" i="46" s="1"/>
  <c r="D33" i="46"/>
  <c r="D34" i="46" s="1"/>
  <c r="G59" i="46" s="1"/>
  <c r="H59" i="46" s="1"/>
  <c r="H67" i="46" l="1"/>
  <c r="H69" i="46"/>
  <c r="H71" i="46" s="1"/>
  <c r="D78" i="46" s="1"/>
  <c r="D80" i="46" s="1"/>
  <c r="H70" i="46"/>
  <c r="H68" i="46"/>
  <c r="I31" i="44" l="1"/>
  <c r="I18" i="44"/>
  <c r="I32" i="44" s="1"/>
  <c r="I17" i="44"/>
  <c r="I21" i="44" s="1"/>
  <c r="I22" i="44" l="1"/>
  <c r="I36" i="44" s="1"/>
  <c r="I33" i="44"/>
  <c r="I35" i="44"/>
  <c r="I19" i="44"/>
  <c r="I23" i="44" l="1"/>
  <c r="I25" i="44" s="1"/>
  <c r="I38" i="44"/>
  <c r="I40" i="44" s="1"/>
  <c r="J66" i="43" l="1"/>
  <c r="G60" i="43"/>
  <c r="G59" i="43"/>
  <c r="G58" i="43"/>
  <c r="G57" i="43"/>
  <c r="G56" i="43"/>
  <c r="G55" i="43"/>
  <c r="G54" i="43"/>
  <c r="G53" i="43"/>
  <c r="G52" i="43"/>
  <c r="G51" i="43"/>
  <c r="H51" i="43" s="1"/>
  <c r="I51" i="43" s="1"/>
  <c r="E60" i="43"/>
  <c r="D60" i="43"/>
  <c r="C60" i="43"/>
  <c r="J64" i="43" s="1"/>
  <c r="E59" i="43"/>
  <c r="D59" i="43"/>
  <c r="C59" i="43"/>
  <c r="E58" i="43"/>
  <c r="D58" i="43"/>
  <c r="C58" i="43"/>
  <c r="E57" i="43"/>
  <c r="D57" i="43"/>
  <c r="C57" i="43"/>
  <c r="E56" i="43"/>
  <c r="D56" i="43"/>
  <c r="C56" i="43"/>
  <c r="E55" i="43"/>
  <c r="D55" i="43"/>
  <c r="C55" i="43"/>
  <c r="E54" i="43"/>
  <c r="D54" i="43"/>
  <c r="C54" i="43"/>
  <c r="E53" i="43"/>
  <c r="D53" i="43"/>
  <c r="C53" i="43"/>
  <c r="E52" i="43"/>
  <c r="D52" i="43"/>
  <c r="C52" i="43"/>
  <c r="E51" i="43"/>
  <c r="D51" i="43"/>
  <c r="C51" i="43"/>
  <c r="B52" i="43"/>
  <c r="B53" i="43" s="1"/>
  <c r="F51" i="43"/>
  <c r="E61" i="43" l="1"/>
  <c r="D61" i="43"/>
  <c r="J51" i="43"/>
  <c r="C61" i="43"/>
  <c r="F53" i="43"/>
  <c r="B54" i="43"/>
  <c r="F52" i="43"/>
  <c r="H52" i="43" l="1"/>
  <c r="H53" i="43"/>
  <c r="B55" i="43"/>
  <c r="F54" i="43"/>
  <c r="I52" i="43" l="1"/>
  <c r="J52" i="43" s="1"/>
  <c r="I53" i="43"/>
  <c r="J53" i="43" s="1"/>
  <c r="H54" i="43"/>
  <c r="F55" i="43"/>
  <c r="H55" i="43" s="1"/>
  <c r="B56" i="43"/>
  <c r="I54" i="43" l="1"/>
  <c r="J54" i="43" s="1"/>
  <c r="I55" i="43"/>
  <c r="J55" i="43" s="1"/>
  <c r="B57" i="43"/>
  <c r="F56" i="43"/>
  <c r="H56" i="43" s="1"/>
  <c r="I56" i="43" l="1"/>
  <c r="J56" i="43" s="1"/>
  <c r="F57" i="43"/>
  <c r="H57" i="43" s="1"/>
  <c r="B58" i="43"/>
  <c r="I57" i="43" l="1"/>
  <c r="J57" i="43" s="1"/>
  <c r="B59" i="43"/>
  <c r="F58" i="43"/>
  <c r="H58" i="43" s="1"/>
  <c r="I58" i="43" l="1"/>
  <c r="J58" i="43" s="1"/>
  <c r="F59" i="43"/>
  <c r="B60" i="43"/>
  <c r="H59" i="43"/>
  <c r="I59" i="43" l="1"/>
  <c r="J59" i="43" s="1"/>
  <c r="F60" i="43"/>
  <c r="H60" i="43" s="1"/>
  <c r="I60" i="43" l="1"/>
  <c r="J60" i="43" s="1"/>
  <c r="J61" i="43" s="1"/>
  <c r="J63" i="43" l="1"/>
  <c r="J65" i="43"/>
  <c r="J67" i="43" l="1"/>
  <c r="F85" i="42" l="1"/>
  <c r="C85" i="42"/>
  <c r="F78" i="42"/>
  <c r="E78" i="42"/>
  <c r="D78" i="42"/>
  <c r="C78" i="42"/>
  <c r="C75" i="42"/>
  <c r="D74" i="42"/>
  <c r="C74" i="42"/>
  <c r="E73" i="42"/>
  <c r="D73" i="42"/>
  <c r="C73" i="42"/>
  <c r="F72" i="42"/>
  <c r="E72" i="42"/>
  <c r="D72" i="42"/>
  <c r="C72" i="42"/>
  <c r="G71" i="42"/>
  <c r="G77" i="42" s="1"/>
  <c r="G78" i="42" s="1"/>
  <c r="F71" i="42"/>
  <c r="E71" i="42"/>
  <c r="D71" i="42"/>
  <c r="C71" i="42"/>
  <c r="C54" i="42"/>
  <c r="D53" i="42"/>
  <c r="C53" i="42"/>
  <c r="E52" i="42"/>
  <c r="D52" i="42"/>
  <c r="C52" i="42"/>
  <c r="F51" i="42"/>
  <c r="E51" i="42"/>
  <c r="D51" i="42"/>
  <c r="C51" i="42"/>
  <c r="G50" i="42"/>
  <c r="F50" i="42"/>
  <c r="E50" i="42"/>
  <c r="D50" i="42"/>
  <c r="C50" i="42"/>
  <c r="H49" i="42"/>
  <c r="G49" i="42"/>
  <c r="F49" i="42"/>
  <c r="E49" i="42"/>
  <c r="D49" i="42"/>
  <c r="C49" i="42"/>
  <c r="D48" i="42"/>
  <c r="E48" i="42" s="1"/>
  <c r="F48" i="42" s="1"/>
  <c r="G48" i="42" s="1"/>
  <c r="H48" i="42" s="1"/>
  <c r="Q19" i="46"/>
  <c r="U19" i="46" s="1"/>
  <c r="Y19" i="46" s="1"/>
  <c r="AC19" i="46" s="1"/>
  <c r="AG19" i="46" s="1"/>
  <c r="AK19" i="46" s="1"/>
  <c r="C77" i="42" l="1"/>
  <c r="C79" i="42" s="1"/>
  <c r="F77" i="42"/>
  <c r="F79" i="42" s="1"/>
  <c r="G79" i="42"/>
  <c r="H79" i="42" s="1"/>
  <c r="H80" i="42" s="1"/>
  <c r="G80" i="42" s="1"/>
  <c r="E77" i="42"/>
  <c r="E79" i="42" s="1"/>
  <c r="D77" i="42"/>
  <c r="D79" i="42" s="1"/>
  <c r="F80" i="42" l="1"/>
  <c r="E80" i="42" s="1"/>
  <c r="D80" i="42" s="1"/>
  <c r="C80" i="42" s="1"/>
  <c r="D85" i="42" s="1"/>
  <c r="E85" i="42" s="1"/>
  <c r="G85" i="42" s="1"/>
  <c r="F33" i="47" l="1" a="1"/>
  <c r="F33" i="4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<sst xmlns="http://schemas.openxmlformats.org/spreadsheetml/2006/main" count="608" uniqueCount="408">
  <si>
    <t>(c)</t>
  </si>
  <si>
    <t>ANSWER:</t>
  </si>
  <si>
    <t>(d)</t>
  </si>
  <si>
    <t>(e)</t>
  </si>
  <si>
    <t>(a)</t>
  </si>
  <si>
    <t>(b)</t>
  </si>
  <si>
    <r>
      <t>(</t>
    </r>
    <r>
      <rPr>
        <i/>
        <sz val="12"/>
        <color rgb="FF002060"/>
        <rFont val="Times New Roman"/>
        <family val="1"/>
      </rPr>
      <t>4 points</t>
    </r>
    <r>
      <rPr>
        <sz val="12"/>
        <color rgb="FF002060"/>
        <rFont val="Times New Roman"/>
        <family val="1"/>
      </rPr>
      <t>)</t>
    </r>
  </si>
  <si>
    <t>Question 1</t>
  </si>
  <si>
    <r>
      <t>(</t>
    </r>
    <r>
      <rPr>
        <i/>
        <sz val="12"/>
        <color rgb="FF002060"/>
        <rFont val="Times New Roman"/>
        <family val="1"/>
      </rPr>
      <t>5 points</t>
    </r>
    <r>
      <rPr>
        <sz val="12"/>
        <color rgb="FF002060"/>
        <rFont val="Times New Roman"/>
        <family val="1"/>
      </rPr>
      <t>)</t>
    </r>
  </si>
  <si>
    <t>You may choose to draw on this diagram to assist you in responding to this question. Use of this diagram is not required for full credit.</t>
  </si>
  <si>
    <r>
      <t>(</t>
    </r>
    <r>
      <rPr>
        <i/>
        <sz val="12"/>
        <color rgb="FF002060"/>
        <rFont val="Times New Roman"/>
        <family val="1"/>
      </rPr>
      <t>3 points</t>
    </r>
    <r>
      <rPr>
        <sz val="12"/>
        <color rgb="FF002060"/>
        <rFont val="Times New Roman"/>
        <family val="1"/>
      </rPr>
      <t>)</t>
    </r>
  </si>
  <si>
    <t>You are conducting a ratemaking exercise and are given:</t>
  </si>
  <si>
    <t>Accident Year</t>
  </si>
  <si>
    <t>Earned Exposure</t>
  </si>
  <si>
    <t>Ultimate Counts</t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</si>
  <si>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Recommend the weights to assign to each year when estimating the weighted average trended claim ratio for the indicated rate change.  Justify your recommendation.</t>
    </r>
  </si>
  <si>
    <r>
      <t>(</t>
    </r>
    <r>
      <rPr>
        <i/>
        <sz val="12"/>
        <color rgb="FF002060"/>
        <rFont val="Times New Roman"/>
        <family val="1"/>
      </rPr>
      <t>0.5 points</t>
    </r>
    <r>
      <rPr>
        <sz val="12"/>
        <color rgb="FF002060"/>
        <rFont val="Times New Roman"/>
        <family val="1"/>
      </rPr>
      <t>)  Calculate the credibility assigned to the experience using the square root rule associated with classical credibility.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</si>
  <si>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two options for the complement of credibility.</t>
    </r>
  </si>
  <si>
    <t>Question 2</t>
  </si>
  <si>
    <r>
      <t>(</t>
    </r>
    <r>
      <rPr>
        <i/>
        <sz val="12"/>
        <color rgb="FF002060"/>
        <rFont val="Times New Roman"/>
        <family val="1"/>
      </rPr>
      <t>6.5 points</t>
    </r>
    <r>
      <rPr>
        <sz val="12"/>
        <color rgb="FF002060"/>
        <rFont val="Times New Roman"/>
        <family val="1"/>
      </rPr>
      <t>)</t>
    </r>
  </si>
  <si>
    <t>You are estimating ultimate claims using the development method.</t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</si>
  <si>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one advantage and one disadvantage of using the paid development method rather than the reported development method.</t>
    </r>
  </si>
  <si>
    <t xml:space="preserve">You are given:  </t>
  </si>
  <si>
    <t>Accident</t>
  </si>
  <si>
    <t>Cumulative Paid Claims</t>
  </si>
  <si>
    <t>Year (AY)</t>
  </si>
  <si>
    <t>Reported Claims</t>
  </si>
  <si>
    <t>You are evaluating the paid claims to reported claims ratios.</t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</si>
  <si>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Describe two possible reasons for the observed pattern of change down the 12-month column.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</si>
  <si>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Assess the appropriateness of using the paid development method to estimate IBNR in this situation.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</si>
  <si>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Recommend another investigative test to improve your IBNR analysis, assuming you have additional data as needed.  Justify your recommendation.</t>
    </r>
  </si>
  <si>
    <t>Question 3</t>
  </si>
  <si>
    <t>You are evaluating catastrophic and large claims for a ratemaking analysis.</t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</si>
  <si>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how the occurrence of catastrophe events affects the frequency and severity of an insurance company’s total claims.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</si>
  <si>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how the occurrence of large claims affects the frequency and severity of an insurance company’s total claims.</t>
    </r>
  </si>
  <si>
    <t>You are estimating a wildfire loading for ratemaking purposes and are given:</t>
  </si>
  <si>
    <t>Earned House Years</t>
  </si>
  <si>
    <t>Wildfire Ultimate</t>
  </si>
  <si>
    <t>Counts</t>
  </si>
  <si>
    <t>Claims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</si>
  <si>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All policies are written as twelve-month policies.</t>
    </r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</si>
  <si>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Calculate the wildfire loading as a claim ratio.</t>
    </r>
  </si>
  <si>
    <t xml:space="preserve"> ultimate counts.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</si>
  <si>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 full credibility standard is </t>
    </r>
  </si>
  <si>
    <t xml:space="preserve"> for one year.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</si>
  <si>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New rates are to be effective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</si>
  <si>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annual severity trend is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</si>
  <si>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annual frequency trend is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</si>
  <si>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 2024 trended earned premium at current level is </t>
    </r>
  </si>
  <si>
    <t>Question 4</t>
  </si>
  <si>
    <t xml:space="preserve">You are given the following for a line of business: 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</si>
  <si>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All policies are written for 12-month policy terms.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</si>
  <si>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All policies are written and earned evenly throughout the policy term.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</si>
  <si>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Calculate the calendar year 2024 written premiums for the policies that renewed in 2024.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</si>
  <si>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Calculate the calendar year 2024 written premiums for the new policies written in 2024.</t>
    </r>
  </si>
  <si>
    <t>You have calculated on level factors for CY 2024 using the information above.</t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</si>
  <si>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Explain whether the CY 2024 on level factors would be higher or lower if 50% of the policies written in 2024 were written for 6-month policy terms.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</si>
  <si>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 annual premium for each policy in force as of December 31, 2023 was </t>
    </r>
  </si>
  <si>
    <r>
      <t xml:space="preserve"> o</t>
    </r>
    <r>
      <rPr>
        <sz val="12"/>
        <color rgb="FF002060"/>
        <rFont val="Times New Roman"/>
        <family val="1"/>
      </rPr>
      <t>f the policies in force on December 31, 2023 renewed in 2024.</t>
    </r>
  </si>
  <si>
    <r>
      <t>·</t>
    </r>
    <r>
      <rPr>
        <sz val="7"/>
        <color rgb="FF002060"/>
        <rFont val="Times New Roman"/>
        <family val="1"/>
      </rPr>
      <t xml:space="preserve">       </t>
    </r>
  </si>
  <si>
    <t>Question 5</t>
  </si>
  <si>
    <r>
      <t>(</t>
    </r>
    <r>
      <rPr>
        <i/>
        <sz val="12"/>
        <color rgb="FF002060"/>
        <rFont val="Times New Roman"/>
        <family val="1"/>
      </rPr>
      <t>4.5 points</t>
    </r>
    <r>
      <rPr>
        <sz val="12"/>
        <color rgb="FF002060"/>
        <rFont val="Times New Roman"/>
        <family val="1"/>
      </rPr>
      <t>)</t>
    </r>
  </si>
  <si>
    <t xml:space="preserve">Ratio-based methods and count-based methods are two types of actuarial methods for estimating unpaid unallocated loss adjustment expenses (ULAE). </t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</si>
  <si>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two major drawbacks of ratio-based methods that are likely resolved by count-based methods.</t>
    </r>
  </si>
  <si>
    <t xml:space="preserve">Newly reported counts </t>
  </si>
  <si>
    <t xml:space="preserve">Open counts </t>
  </si>
  <si>
    <t xml:space="preserve">Closed counts </t>
  </si>
  <si>
    <t>You are given the following information:</t>
  </si>
  <si>
    <t>Calendar Year</t>
  </si>
  <si>
    <t>Paid ULAE</t>
  </si>
  <si>
    <t>Newly Reported Counts</t>
  </si>
  <si>
    <t>Closed Counts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</si>
  <si>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Open counts as of December 31, 2020 are 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</si>
  <si>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 annual ULAE trend is </t>
    </r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</si>
  <si>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Recommend an average ULAE per weighted count. Justify your recommendation.</t>
    </r>
  </si>
  <si>
    <t>You are also given the following projected reported and closed claim counts as of December 31, 2024:</t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</si>
  <si>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Calculate the unpaid ULAE as of December 31, 2024.</t>
    </r>
  </si>
  <si>
    <t>Question 6</t>
  </si>
  <si>
    <t>You are estimating the unpaid claims using the expected method and are given:</t>
  </si>
  <si>
    <t>Rate Change History</t>
  </si>
  <si>
    <t>Effective Date</t>
  </si>
  <si>
    <t>Rate</t>
  </si>
  <si>
    <t>of Rate Change</t>
  </si>
  <si>
    <t>Change %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</si>
  <si>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There were no rate changes prior to July 1, 2018 and there have been no rate changes since September 1, 2023.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</si>
  <si>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NewRomanPSMT"/>
      </rPr>
      <t>All policies are written for 6-month policy terms.</t>
    </r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</si>
  <si>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Calculate premium on-level factors to use for projecting ultimate claims as of December 31, 2024, for accident years 2018 through 2024.</t>
    </r>
  </si>
  <si>
    <t>You are also given:</t>
  </si>
  <si>
    <t>Year</t>
  </si>
  <si>
    <t>Earned Premiums</t>
  </si>
  <si>
    <t>Ultimate Claims as of Dec. 31, 2024</t>
  </si>
  <si>
    <t xml:space="preserve"> for all accidents occurring on or after April 1, 2021.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</si>
  <si>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Tort reform reduced claim costs by 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</si>
  <si>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 annual claim ratio trend is </t>
    </r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</si>
  <si>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Recommend a 2024 cost level expected claim ratio using the expected method.  Justify your recommendation.</t>
    </r>
  </si>
  <si>
    <r>
      <rPr>
        <sz val="12"/>
        <color rgb="FF002060"/>
        <rFont val="Times New Roman"/>
        <family val="1"/>
      </rP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 xml:space="preserve">)  Calculate the accident year </t>
    </r>
    <r>
      <rPr>
        <b/>
        <i/>
        <sz val="12"/>
        <color rgb="FF002060"/>
        <rFont val="Times New Roman"/>
        <family val="1"/>
      </rPr>
      <t>2020</t>
    </r>
    <r>
      <rPr>
        <sz val="12"/>
        <color rgb="FF002060"/>
        <rFont val="Times New Roman"/>
        <family val="1"/>
      </rPr>
      <t xml:space="preserve"> expected claims.</t>
    </r>
  </si>
  <si>
    <t>Question 7</t>
  </si>
  <si>
    <t>You are estimating ultimate claims and are given:</t>
  </si>
  <si>
    <t>Earned Exposures</t>
  </si>
  <si>
    <t>Selected Ultimate Counts from Development Method</t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</si>
  <si>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Recommend an annual frequency trend for use with the development-based frequency-severity method.  Justify your recommendation.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</si>
  <si>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This change in case law did not affect the claim severity for this line of business.</t>
    </r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</si>
  <si>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Calculate the ultimate counts for all accident years using the development-based frequency-severity method and your recommendation from part (a).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</si>
  <si>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Calculate the ultimate claims as of December 31, 2024 for all accident years using the development-based frequency-severity method and the ultimate counts from part (b).</t>
    </r>
  </si>
  <si>
    <t xml:space="preserve"> effective January 1, 2021.</t>
  </si>
  <si>
    <t xml:space="preserve">      an increase in claim counts of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</si>
  <si>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There was a court ruling resulting in a change in case law where all insurance companies writing this line of business saw 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</si>
  <si>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selected severity at the 2024 cost level is</t>
    </r>
  </si>
  <si>
    <t>Question 8</t>
  </si>
  <si>
    <r>
      <t>(</t>
    </r>
    <r>
      <rPr>
        <i/>
        <sz val="12"/>
        <color rgb="FF002060"/>
        <rFont val="Times New Roman"/>
        <family val="1"/>
      </rPr>
      <t>6 points</t>
    </r>
    <r>
      <rPr>
        <sz val="12"/>
        <color rgb="FF002060"/>
        <rFont val="Times New Roman"/>
        <family val="1"/>
      </rPr>
      <t>)</t>
    </r>
  </si>
  <si>
    <t>You are estimating ultimate claims for a line of business and need to apply a Berquist-Sherman adjustment for a change in case adequacy. You are given:</t>
  </si>
  <si>
    <t>Reported Counts</t>
  </si>
  <si>
    <t>The following two large claims are included in the above data triangles:</t>
  </si>
  <si>
    <t>Calendar Year (CY)</t>
  </si>
  <si>
    <t>Payments Made in CY</t>
  </si>
  <si>
    <t>Case Estimate at End of CY</t>
  </si>
  <si>
    <t>CY</t>
  </si>
  <si>
    <t>You need to adjust the data for the large claims prior to the Berquist-Sherman adjustment for a change in case adequacy.</t>
  </si>
  <si>
    <r>
      <t>·</t>
    </r>
    <r>
      <rPr>
        <sz val="12"/>
        <color rgb="FF002060"/>
        <rFont val="Times New Roman"/>
        <family val="1"/>
      </rPr>
      <t>       Large claim #1 occurred in calendar year (CY) 2022 and was reported in CY 2022:</t>
    </r>
  </si>
  <si>
    <r>
      <t>·</t>
    </r>
    <r>
      <rPr>
        <sz val="12"/>
        <color rgb="FF002060"/>
        <rFont val="Times New Roman"/>
        <family val="1"/>
      </rPr>
      <t>       Large claim #2 occurred in CY 2022 and was reported in CY 2023:</t>
    </r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</si>
  <si>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>)  Revise the AY 2022 rows for the reported claims and cumulative paid triangles to remove the large claims.</t>
    </r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</si>
  <si>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Revise the AY 2022 rows for the reported counts and closed counts triangles to remove the large claims.</t>
    </r>
  </si>
  <si>
    <t>Selected Reported Claims Age-to-Ultimate Development Factors by Maturity Age</t>
  </si>
  <si>
    <r>
      <t>·</t>
    </r>
    <r>
      <rPr>
        <sz val="12"/>
        <color rgb="FF002060"/>
        <rFont val="Times New Roman"/>
        <family val="1"/>
      </rPr>
      <t>       This line of business had a strengthening of case adequacy in the most recent calendar year.</t>
    </r>
  </si>
  <si>
    <r>
      <t>·</t>
    </r>
    <r>
      <rPr>
        <sz val="12"/>
        <color rgb="FF002060"/>
        <rFont val="Times New Roman"/>
        <family val="1"/>
      </rPr>
      <t>       The annual claim severity trend is</t>
    </r>
  </si>
  <si>
    <r>
      <t>·</t>
    </r>
    <r>
      <rPr>
        <sz val="12"/>
        <color rgb="FF002060"/>
        <rFont val="Times New Roman"/>
        <family val="1"/>
      </rPr>
      <t>       Selected reported claims development factors, excluding large claims, are:</t>
    </r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</si>
  <si>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Calculate the AY 2022 reported claims for all maturity ages with an adjustment for case reserve strengthening, using the the Berquist-Sherman adjustment for a change in case adequacy.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</si>
  <si>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Calculate the AY 2022 ultimate claims.</t>
    </r>
  </si>
  <si>
    <t>Question 9</t>
  </si>
  <si>
    <r>
      <t>(</t>
    </r>
    <r>
      <rPr>
        <i/>
        <sz val="12"/>
        <color rgb="FF002060"/>
        <rFont val="Times New Roman"/>
        <family val="1"/>
      </rPr>
      <t>5.5 points</t>
    </r>
    <r>
      <rPr>
        <sz val="12"/>
        <color rgb="FF002060"/>
        <rFont val="Times New Roman"/>
        <family val="1"/>
      </rPr>
      <t>)</t>
    </r>
  </si>
  <si>
    <t>You are estimating ultimate claims for reserving purposes as of December 31, 2024 for the following two lines of business:</t>
  </si>
  <si>
    <t>Line of Business A:</t>
  </si>
  <si>
    <t>Line of Business B: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</si>
  <si>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Long-tailed line of business that has historically been stable, except for a significant change in case adequacy two calendar years ago.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</si>
  <si>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Recommend an approach to estimate accident year (AY) 2024 ultimate claims for line of business A.  Justify your recommendation.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</si>
  <si>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Recommend an approach to estimate AY 2024 ultimate claims for line of business B.  Justify your recommendation.</t>
    </r>
  </si>
  <si>
    <t>You are also estimating ultimate claims for line of business C using a Generalized Cape Cod method.  Line of business C is a medium-tailed line of business (no development after 7 years) with stable exposures and minimal claim volatility.</t>
  </si>
  <si>
    <r>
      <t>(</t>
    </r>
    <r>
      <rPr>
        <i/>
        <sz val="12"/>
        <color rgb="FF002060"/>
        <rFont val="Times New Roman"/>
        <family val="1"/>
      </rPr>
      <t>0.5 points</t>
    </r>
    <r>
      <rPr>
        <sz val="12"/>
        <color rgb="FF002060"/>
        <rFont val="Times New Roman"/>
        <family val="1"/>
      </rPr>
      <t xml:space="preserve">)  Describe one reason why a low decay factor would be appropriate for line of business C. </t>
    </r>
  </si>
  <si>
    <t>You are given:</t>
  </si>
  <si>
    <t>Accident Year (AY)</t>
  </si>
  <si>
    <t>On-Level Factors</t>
  </si>
  <si>
    <t>Reported Age-to-Ultimate Dev. Factors</t>
  </si>
  <si>
    <r>
      <t>(</t>
    </r>
    <r>
      <rPr>
        <i/>
        <sz val="12"/>
        <color rgb="FF002060"/>
        <rFont val="Times New Roman"/>
        <family val="1"/>
      </rPr>
      <t>2 points</t>
    </r>
    <r>
      <rPr>
        <sz val="12"/>
        <color rgb="FF002060"/>
        <rFont val="Times New Roman"/>
        <family val="1"/>
      </rPr>
      <t xml:space="preserve">)  Calculate the </t>
    </r>
    <r>
      <rPr>
        <b/>
        <i/>
        <sz val="12"/>
        <color rgb="FF002060"/>
        <rFont val="Times New Roman"/>
        <family val="1"/>
      </rPr>
      <t>AY 2020</t>
    </r>
    <r>
      <rPr>
        <sz val="12"/>
        <color rgb="FF002060"/>
        <rFont val="Times New Roman"/>
        <family val="1"/>
      </rPr>
      <t xml:space="preserve"> expected claim ratio adjusted to the 2024 level using the Generalized Cape Cod method.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</si>
  <si>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 xml:space="preserve">)  Calculate the </t>
    </r>
    <r>
      <rPr>
        <b/>
        <i/>
        <sz val="12"/>
        <color rgb="FF002060"/>
        <rFont val="Times New Roman"/>
        <family val="1"/>
      </rPr>
      <t>AY 2023</t>
    </r>
    <r>
      <rPr>
        <sz val="12"/>
        <color rgb="FF002060"/>
        <rFont val="Times New Roman"/>
        <family val="1"/>
      </rPr>
      <t xml:space="preserve"> ultimate claims using the Generalized Cape Cod method.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</si>
  <si>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Short-tailed line of business that has historically been stable, except for a significant change in claim settlement patterns in the most</t>
    </r>
  </si>
  <si>
    <t xml:space="preserve">      recent calendar year.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</si>
  <si>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annual pure premium trend is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</si>
  <si>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decay factor is</t>
    </r>
  </si>
  <si>
    <r>
      <t xml:space="preserve">The </t>
    </r>
    <r>
      <rPr>
        <b/>
        <i/>
        <sz val="12"/>
        <color rgb="FF002060"/>
        <rFont val="Times New Roman"/>
        <family val="1"/>
      </rPr>
      <t>AY 2023</t>
    </r>
    <r>
      <rPr>
        <sz val="12"/>
        <color rgb="FF002060"/>
        <rFont val="Times New Roman"/>
        <family val="1"/>
      </rPr>
      <t xml:space="preserve"> expected claim ratio adjusted to the 2024 level using the Generalized Cape Cod method is </t>
    </r>
  </si>
  <si>
    <t>Question 10</t>
  </si>
  <si>
    <t>You are estimating ultimate ALAE for a line of business using a blended method.  Blended methods are methods that are a blend of the development and expected methods.</t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</si>
  <si>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two advantages that blended methods provide when evaluating and selecting estimates of ultimate claims.</t>
    </r>
  </si>
  <si>
    <t>Ultimate Claims Excluding ALAE</t>
  </si>
  <si>
    <t>Reported ALAE to Reported Claims Ratios</t>
  </si>
  <si>
    <t>Ultimate Reported ALAE to Reported Claims Ratios from Development Method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</si>
  <si>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 xml:space="preserve">The a priori ratio of ultimate ALAE to ultimate claims is </t>
    </r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</si>
  <si>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Calculate the ultimate ALAE for all accident years using the Bornhuetter Ferguson method.</t>
    </r>
  </si>
  <si>
    <r>
      <t>(</t>
    </r>
    <r>
      <rPr>
        <i/>
        <sz val="12"/>
        <color rgb="FF002060"/>
        <rFont val="Times New Roman"/>
        <family val="1"/>
      </rPr>
      <t>0.5 points</t>
    </r>
    <r>
      <rPr>
        <sz val="12"/>
        <color rgb="FF002060"/>
        <rFont val="Times New Roman"/>
        <family val="1"/>
      </rPr>
      <t>)  Calculate the ultimate ALAE for all accident years using 1 iteration of the Benktander method.</t>
    </r>
  </si>
  <si>
    <t>An alternative way to estimate ultimate ALAE is to include ALAE with claims and use the development method.</t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</si>
  <si>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Explain whether this alternative approach would give a higher or lower value than the estimate of ultimate ALAE determined in part (b).</t>
    </r>
  </si>
  <si>
    <t>Question 11</t>
  </si>
  <si>
    <t>You are evaluating fixed expense ratios to premiums for a ratemaking exercise.</t>
  </si>
  <si>
    <r>
      <t>(</t>
    </r>
    <r>
      <rPr>
        <i/>
        <sz val="12"/>
        <color rgb="FF002060"/>
        <rFont val="Times New Roman"/>
        <family val="1"/>
      </rPr>
      <t>1 point</t>
    </r>
    <r>
      <rPr>
        <sz val="12"/>
        <color rgb="FF002060"/>
        <rFont val="Times New Roman"/>
        <family val="1"/>
      </rPr>
      <t>)  Describe whether a separate trending process might be needed for fixed expenses for the following exposures:</t>
    </r>
  </si>
  <si>
    <r>
      <t>i)</t>
    </r>
    <r>
      <rPr>
        <sz val="7"/>
        <color rgb="FF002060"/>
        <rFont val="Times New Roman"/>
        <family val="1"/>
      </rPr>
      <t xml:space="preserve">      </t>
    </r>
    <r>
      <rPr>
        <sz val="12"/>
        <color rgb="FF002060"/>
        <rFont val="Times New Roman"/>
        <family val="1"/>
      </rPr>
      <t>Payroll</t>
    </r>
  </si>
  <si>
    <r>
      <t>ii)</t>
    </r>
    <r>
      <rPr>
        <sz val="7"/>
        <color rgb="FF002060"/>
        <rFont val="Times New Roman"/>
        <family val="1"/>
      </rPr>
      <t xml:space="preserve">    </t>
    </r>
    <r>
      <rPr>
        <sz val="12"/>
        <color rgb="FF002060"/>
        <rFont val="Times New Roman"/>
        <family val="1"/>
      </rPr>
      <t>Number of vehicles</t>
    </r>
  </si>
  <si>
    <t>Earned Premiums at Current Rate Levels</t>
  </si>
  <si>
    <t>Fixed Expenses</t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</si>
  <si>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Recommend an annual premium trend for this line of business.  Justify your recommendation.</t>
    </r>
  </si>
  <si>
    <t xml:space="preserve"> years</t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</si>
  <si>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trending period for accident year 2024 is</t>
    </r>
  </si>
  <si>
    <r>
      <t>(</t>
    </r>
    <r>
      <rPr>
        <i/>
        <sz val="12"/>
        <color rgb="FF002060"/>
        <rFont val="Times New Roman"/>
        <family val="1"/>
      </rPr>
      <t>1.5 points</t>
    </r>
    <r>
      <rPr>
        <sz val="12"/>
        <color rgb="FF002060"/>
        <rFont val="Times New Roman"/>
        <family val="1"/>
      </rPr>
      <t>)  Calculate the trended fixed expense ratios to premiums for all accident years.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</si>
  <si>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annual fixed expense trend is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</si>
  <si>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number of policies in force as of December 31, 2023 was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</si>
  <si>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premiums for all policies written or renewed on or after July 1, 2024 were increased by</t>
    </r>
  </si>
  <si>
    <r>
      <t>·</t>
    </r>
    <r>
      <rPr>
        <sz val="7"/>
        <color rgb="FF002060"/>
        <rFont val="Times New Roman"/>
        <family val="1"/>
      </rPr>
      <t xml:space="preserve">       </t>
    </r>
    <r>
      <rPr>
        <sz val="12"/>
        <color rgb="FF002060"/>
        <rFont val="Times New Roman"/>
        <family val="1"/>
      </rPr>
      <t>The number of new policies written in 2024 was</t>
    </r>
  </si>
  <si>
    <r>
      <t>(</t>
    </r>
    <r>
      <rPr>
        <i/>
        <sz val="12"/>
        <color rgb="FF002060"/>
        <rFont val="Times New Roman"/>
        <family val="1"/>
      </rPr>
      <t>2</t>
    </r>
    <r>
      <rPr>
        <sz val="12"/>
        <color rgb="FF002060"/>
        <rFont val="Times New Roman"/>
        <family val="1"/>
      </rPr>
      <t xml:space="preserve"> </t>
    </r>
    <r>
      <rPr>
        <i/>
        <sz val="12"/>
        <color rgb="FF002060"/>
        <rFont val="Times New Roman"/>
        <family val="1"/>
      </rPr>
      <t>points</t>
    </r>
    <r>
      <rPr>
        <sz val="12"/>
        <color rgb="FF002060"/>
        <rFont val="Times New Roman"/>
        <family val="1"/>
      </rPr>
      <t>)  Calculate the IBNR for AY 2024 as of December 31, 2024 using the paid development method and the original Bondy method as the tail factor.  Justify any selections you make.</t>
    </r>
  </si>
  <si>
    <r>
      <t>You are estimating unpaid ULAE as December 31, 2024 using the Wendy Johnson count-based method. The following weights</t>
    </r>
    <r>
      <rPr>
        <sz val="10"/>
        <color rgb="FF002060"/>
        <rFont val="Times New Roman"/>
        <family val="1"/>
      </rPr>
      <t xml:space="preserve"> </t>
    </r>
    <r>
      <rPr>
        <sz val="12"/>
        <color rgb="FF002060"/>
        <rFont val="Times New Roman"/>
        <family val="1"/>
      </rPr>
      <t xml:space="preserve">for three different claim types are: </t>
    </r>
  </si>
  <si>
    <t>Commentary on Question:</t>
  </si>
  <si>
    <t>Other advantages and disadvantages are possible.</t>
  </si>
  <si>
    <t>The volume of reported claims tends to be greater than the volume of paid claims, so the use of paid claims could end up with less credibility.</t>
  </si>
  <si>
    <t>Advantages:</t>
  </si>
  <si>
    <t>Paid data often reflects the insurer’s true settlement behavior more reliably.</t>
  </si>
  <si>
    <t>Disadvantages:</t>
  </si>
  <si>
    <t>The paid method is affected by changes in claim settlement patterns.</t>
  </si>
  <si>
    <t>Ratios of Paid to Reported Claims</t>
  </si>
  <si>
    <t>Possible reasons:</t>
  </si>
  <si>
    <t xml:space="preserve"> - possible change (settling claims faster) in claim settlement pattern over time</t>
  </si>
  <si>
    <t xml:space="preserve"> - possible change in case adequacy (reduction) over time</t>
  </si>
  <si>
    <t>Ratios are increasing down the 12-month column.</t>
  </si>
  <si>
    <t>Age-to-Age Development Factors</t>
  </si>
  <si>
    <t>AY</t>
  </si>
  <si>
    <t>Avg-All years</t>
  </si>
  <si>
    <t>Avg-Weighted all</t>
  </si>
  <si>
    <t>Tail (Bondy)</t>
  </si>
  <si>
    <t>CDF</t>
  </si>
  <si>
    <t>Ultimate Claims</t>
  </si>
  <si>
    <t>IBNR</t>
  </si>
  <si>
    <t>12-24</t>
  </si>
  <si>
    <t>24-36</t>
  </si>
  <si>
    <t>36-48</t>
  </si>
  <si>
    <t>48-60</t>
  </si>
  <si>
    <t>60-72</t>
  </si>
  <si>
    <t>Due to the stability in the development, both simple average and weighted averages values are reasonable.  Weighted average values were selected.</t>
  </si>
  <si>
    <t>Selected</t>
  </si>
  <si>
    <t>Age-to-Ultimate</t>
  </si>
  <si>
    <t>The paid development factors are essentially stable in each development period.</t>
  </si>
  <si>
    <t>There is low leverage in the age to ultimate development factors, so the paid development method is appropriate from a leverage perspective.</t>
  </si>
  <si>
    <t>From part (b), it is possible change there is a change in claim settlement pattern that would affect the appropriateness of the paid development method.</t>
  </si>
  <si>
    <t>Overall, this method is appropriate if there has not been a change in claim settlement pattern and likely not appropriate if there has been a change in claim settlement pattern.</t>
  </si>
  <si>
    <t>OR</t>
  </si>
  <si>
    <t>Either of the following recommendations are acceptable:</t>
  </si>
  <si>
    <t xml:space="preserve"> - This could help determine if pattern in paid to reported ratios could be caused by a potential change in case adequacy.</t>
  </si>
  <si>
    <t xml:space="preserve"> - Analyze a triangle of average reported claims (or average case estimates) to see if there is a similar pattern in the 12 month column. </t>
  </si>
  <si>
    <t xml:space="preserve"> - Analyze a triangle of closed to reported counts to see if there is a similar pattern to the paid to reported claims triangle.</t>
  </si>
  <si>
    <t xml:space="preserve"> - This could help determine if pattern in paid to reported ratios could be caused by a potential change in settlement.</t>
  </si>
  <si>
    <t>Paid development patterns are not influenced by changes in philosophy or processes regarding case estimates.</t>
  </si>
  <si>
    <t>Possible reasons need to be specific about the change.  For example, noting there could be a change in claim settlement pattern is only partially correct.  The change that would lead to the pattern in this data is settling claims faster.</t>
  </si>
  <si>
    <t>Some candidates recommended an alternative method.  While an alternative method may be helpful, this question asks for a different investigative test and not a different method.</t>
  </si>
  <si>
    <t>Frequency:</t>
  </si>
  <si>
    <t>An event that is declared a catastrophe is expected to result in a substantial number of GI claims for the insurers providing coverage in the area of the catastrophe.</t>
  </si>
  <si>
    <t>Therefore, total frequency will see an increase.</t>
  </si>
  <si>
    <t>Severity:</t>
  </si>
  <si>
    <t>Therefore, total severity could either be lower or higher depending on the event.</t>
  </si>
  <si>
    <t>Large claims would by definition be much larger and therefore increase severity.</t>
  </si>
  <si>
    <t xml:space="preserve">2024 trended earned premium at current level </t>
  </si>
  <si>
    <t>Earned House Years (EHY)</t>
  </si>
  <si>
    <t>Experience Period</t>
  </si>
  <si>
    <t>Forecast Period</t>
  </si>
  <si>
    <t>Trending Period (months)</t>
  </si>
  <si>
    <t>Trended Wildfire Ultimate Claims</t>
  </si>
  <si>
    <t>Total</t>
  </si>
  <si>
    <t>Severity Trend @ 7%</t>
  </si>
  <si>
    <t>Calendar Year (CY) 2024 EHY</t>
  </si>
  <si>
    <t>Trended pure premium for wildfire claims</t>
  </si>
  <si>
    <t>Wildfire expected claims</t>
  </si>
  <si>
    <t>Wildfire loading as a claim ratio</t>
  </si>
  <si>
    <t>A catastrophe event could either result in many claims that are larger than the non-catastrophe severity (e.g., from an earthquake), or many claims that are smaller than the non-catastrophe severity (e.g., hail damage to vehicles).</t>
  </si>
  <si>
    <t>Large claims are generally infrequent and would therefore have little to no effect on frequency.</t>
  </si>
  <si>
    <t>Annual premium for each policy renewed before July 1, 2024</t>
  </si>
  <si>
    <t>2024 WP for policies renewed before July 1, 2024</t>
  </si>
  <si>
    <t>Annual premium for each policy renewed on or after before July 1, 2024</t>
  </si>
  <si>
    <t>2024 WP for policies renewed on or after July 1, 2024</t>
  </si>
  <si>
    <t>Total 2024 WP</t>
  </si>
  <si>
    <t>Annual premium for each policy written before July 1, 2024</t>
  </si>
  <si>
    <t>Annual premium for each policy written on or after before July 1, 2024</t>
  </si>
  <si>
    <t>Because of the change, more of the premiums would be earned at the higher rate level in 2024 than would have been earned had they all been written for 12-month policies.</t>
  </si>
  <si>
    <t>Therefore, the on level factor would have been lower.</t>
  </si>
  <si>
    <t># of policies renewed in 2024 before July 1, 2024</t>
  </si>
  <si>
    <t># of policies renewed in 2024 on or after July 1, 2024</t>
  </si>
  <si>
    <t># of policies written in 2024 before July 1, 2024</t>
  </si>
  <si>
    <t># of policies written in 2024 on or after July 1, 2024</t>
  </si>
  <si>
    <t xml:space="preserve">  {same for all policies regardless of whether they are written for 12-month or 6-month policy terms}</t>
  </si>
  <si>
    <t>% of premium earned in CY</t>
  </si>
  <si>
    <t>Date</t>
  </si>
  <si>
    <t>Prior to July 1, 2018</t>
  </si>
  <si>
    <t>Average rate level</t>
  </si>
  <si>
    <t>Rate Level Index</t>
  </si>
  <si>
    <t>On level factor for reserving</t>
  </si>
  <si>
    <t>Tort Reform</t>
  </si>
  <si>
    <t>On Level Factors</t>
  </si>
  <si>
    <t>Trended On Level Claim Ratio</t>
  </si>
  <si>
    <t>All Years</t>
  </si>
  <si>
    <t>Latest 5 Years</t>
  </si>
  <si>
    <t>Latest 6 Years Excluding High and Low</t>
  </si>
  <si>
    <t>Latest 3 Years</t>
  </si>
  <si>
    <t>Average trended on level claim ratio at AY2024 cost and rate level (excluding 2024)</t>
  </si>
  <si>
    <t xml:space="preserve">Selected </t>
  </si>
  <si>
    <t>Justification: All years average excluding high and low values to smooth out the fluctuations, especially 2021.</t>
  </si>
  <si>
    <t>Claim ratio at AY2020 level</t>
  </si>
  <si>
    <t>Expected claims for AY2020</t>
  </si>
  <si>
    <t>Claim Adjustment Factors</t>
  </si>
  <si>
    <t>Claim Trend @5.00%</t>
  </si>
  <si>
    <t>Many candidates incorrectly calculated the 2021 tort reform adjustment factor as 0.75×1.0 + 0.25×0.8 = 0.95 instead of the correct answer of 0.25×1.0 + 0.75×0.8 = 0.85.</t>
  </si>
  <si>
    <t>The first drawback is that ratio-based methods do not recognize the fact that the amount of ULAE does not depend solely on the magnitude of the total claims in the portfolio.</t>
  </si>
  <si>
    <t>The second drawback is that the unpaid ULAE determined using ratio-based methods will fluctuate in response to changes in the estimates of unpaid claims.</t>
  </si>
  <si>
    <t>Avg ULAE</t>
  </si>
  <si>
    <t>Trending</t>
  </si>
  <si>
    <t>Trend to</t>
  </si>
  <si>
    <t>Calendar</t>
  </si>
  <si>
    <t>Paid</t>
  </si>
  <si>
    <t>Newly</t>
  </si>
  <si>
    <t>Weighted</t>
  </si>
  <si>
    <t>Per Weighted</t>
  </si>
  <si>
    <t>Period</t>
  </si>
  <si>
    <t>2025 at</t>
  </si>
  <si>
    <t>Trended to</t>
  </si>
  <si>
    <t>ULAE</t>
  </si>
  <si>
    <t>Reported</t>
  </si>
  <si>
    <t>Open</t>
  </si>
  <si>
    <t>Closed</t>
  </si>
  <si>
    <t>Count</t>
  </si>
  <si>
    <t>in Years</t>
  </si>
  <si>
    <t>Selected Weights</t>
  </si>
  <si>
    <t>Recommended average ULAE per weighted count</t>
  </si>
  <si>
    <t>Justification: 2021 appears to be an outlier, so use average of 2022 to 2024</t>
  </si>
  <si>
    <t>Trend from</t>
  </si>
  <si>
    <t>Trended</t>
  </si>
  <si>
    <t>Estimated</t>
  </si>
  <si>
    <t>Average</t>
  </si>
  <si>
    <t>Unpaid</t>
  </si>
  <si>
    <t>Note that an appropriate recommended approach should include both a recommended method and a recommended dataset (e.g., paid or reported).</t>
  </si>
  <si>
    <t>Either of the following two possible answers is acceptable.  There are other possible methods that are acceptable with appropriate justification.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</si>
  <si>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Berquist-Sherman adjustment to case estimates with development method: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</si>
  <si>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Adjust case estimates for the change in case adequacy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</si>
  <si>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Determine new reported claims then use development method on adjusted reported claims to estimate ultimate claims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</si>
  <si>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Justification: This line of business is stable, so development method is appropriate to use on adjusted reported claims.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</si>
  <si>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Paid development method: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</si>
  <si>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The paid development is not affected by case change, so this method is appropriate.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</si>
  <si>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However, as this is a long-tailed line of business, we need to be aware of possible high leverage that might make this method inappropriate/less desirable.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</si>
  <si>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Justification: This line of business is stable, so the development method is appropriate as long as the leverage is not too high.</t>
    </r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</si>
  <si>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Berquist-Sherman adjustment for claim settlement change with the development method: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</si>
  <si>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Adjust paid claims for the change in claim settlement.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</si>
  <si>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Determine the new paid claims and estimate ultimate claims using the development method.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</si>
  <si>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Justification: This line of business is stable, so the development method is appropriate with adjusted paid claims.  Leverage should not be a concern as this is a short-tailed line of business.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</si>
  <si>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Reported development method: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</si>
  <si>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Reported claims are not affected by claim settlement change, so this method is appropriate to use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</si>
  <si>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The development method is appropriate for short-tailed stable lines of business.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</si>
  <si>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Justification: This line of business is stable, so the development method is appropriate.</t>
    </r>
  </si>
  <si>
    <t>The greater the confidence in the development method, the smaller the decay factor should be.</t>
  </si>
  <si>
    <t>Trend Factors</t>
  </si>
  <si>
    <t>Used-Up On-Level Earned Premiums</t>
  </si>
  <si>
    <t>Adjusted Claims as of Dec. 31, 2024</t>
  </si>
  <si>
    <t>Claim Ratio</t>
  </si>
  <si>
    <t>Decay Factors for AY 2020</t>
  </si>
  <si>
    <t>2024 level expected claim ratio for AY 2020:</t>
  </si>
  <si>
    <t>AY 2023 expected claim ratio at AY 2023 cost level:</t>
  </si>
  <si>
    <t>AY 2023 expected claims from GCC method:</t>
  </si>
  <si>
    <t>AY 2023 GCC ultimate claims:</t>
  </si>
  <si>
    <t>Claim Frequency</t>
  </si>
  <si>
    <t>Case Law Change Adjustment Factor</t>
  </si>
  <si>
    <t>Adjusted Frequency</t>
  </si>
  <si>
    <t>Annual Change in Frequency</t>
  </si>
  <si>
    <t>Average:</t>
  </si>
  <si>
    <t>All years</t>
  </si>
  <si>
    <t>Excl. hi-lo</t>
  </si>
  <si>
    <t>Fitted exponential:</t>
  </si>
  <si>
    <t>Selected:</t>
  </si>
  <si>
    <t>Justification:</t>
  </si>
  <si>
    <t>Frequency Trend Factors</t>
  </si>
  <si>
    <t>Trended Adjusted Frequency</t>
  </si>
  <si>
    <t>Calculated Ultimate Counts</t>
  </si>
  <si>
    <t>Excl hi-lo</t>
  </si>
  <si>
    <t>Calculated Ultimate Severity</t>
  </si>
  <si>
    <t>All years excl. 2021</t>
  </si>
  <si>
    <t>Average of all years with removing the 2021 due to the effect of the caselaw change.</t>
  </si>
  <si>
    <t>Severity Trend Factors @7%</t>
  </si>
  <si>
    <t>Average 2021-2023</t>
  </si>
  <si>
    <t>Case Estimates for Large Claims</t>
  </si>
  <si>
    <t>Claim</t>
  </si>
  <si>
    <t>#2</t>
  </si>
  <si>
    <t>#1</t>
  </si>
  <si>
    <t>Cumulative Paid Claims for Large Claims</t>
  </si>
  <si>
    <t>Reported Claims for Large Claims</t>
  </si>
  <si>
    <t>Reported Counts for Large Claims</t>
  </si>
  <si>
    <t>Closed Counts for Large Claims</t>
  </si>
  <si>
    <t>Average Case Estimates with Adjustment for Case Strengthening</t>
  </si>
  <si>
    <t>Open Counts</t>
  </si>
  <si>
    <t>Reported Claims with Adjustment for Case Strengthening</t>
  </si>
  <si>
    <t>AY2022 reported claims without large claims</t>
  </si>
  <si>
    <t>Ultimate claims excluding large claims</t>
  </si>
  <si>
    <t>Reported claims for large claims</t>
  </si>
  <si>
    <t>Total AY2022 ultimate claims</t>
  </si>
  <si>
    <t>Revised triangles to remove the large claims</t>
  </si>
  <si>
    <t xml:space="preserve">Some candidates used the development method to calculate and select their own development factors instead of using the age-to-ultimate development factors as given in the question. </t>
  </si>
  <si>
    <t>This was not necessary but an acceptable alternative as long as the selections were reasonable.</t>
  </si>
  <si>
    <t>36 to ultimate development factor (given value)</t>
  </si>
  <si>
    <t>Any two of the following are acceptable:</t>
  </si>
  <si>
    <t xml:space="preserve"> - The Bornhuetter Ferguson and Cape Cod methods are easy to apply and relatively easy to explain to non-actuarial users;</t>
  </si>
  <si>
    <t xml:space="preserve"> - Blending expected claims with actual claims is intuitively appealing; as a year matures, more weight will be given to actual claims instead of expected claims</t>
  </si>
  <si>
    <r>
      <rPr>
        <b/>
        <sz val="12"/>
        <rFont val="Times New Roman"/>
        <family val="1"/>
      </rPr>
      <t xml:space="preserve"> - </t>
    </r>
    <r>
      <rPr>
        <sz val="12"/>
        <rFont val="Times New Roman"/>
        <family val="1"/>
      </rPr>
      <t>Because future claim emergence is tied to exposures instead of historical claim experience, external information can be readily incorporated into the analysis.</t>
    </r>
  </si>
  <si>
    <t>BF Method Ratios</t>
  </si>
  <si>
    <t>Ratios are decreasing over time.  This means that claims are increasing at a higher rate than ALAE.  If ALAE was included with claims, they would be overstated.</t>
  </si>
  <si>
    <t>BF Estimate Ultimate ALAE</t>
  </si>
  <si>
    <t>Benktander Method Ratios</t>
  </si>
  <si>
    <t>Benktander Ultimate ALAE</t>
  </si>
  <si>
    <t>Development Method CDFs</t>
  </si>
  <si>
    <t>(ii)   Number of vehicles: exposures are not inflation-sensitive, so would need to conduct separate trending procedures for the fixed expenses.</t>
  </si>
  <si>
    <t>(i)    Payroll: inflation sensitive, so if fixed expenses trend similar to payroll, then separate trending procedure may not be required.</t>
  </si>
  <si>
    <t>Fitted:</t>
  </si>
  <si>
    <t>Fixed Exp trend factors</t>
  </si>
  <si>
    <t>Trended Fixed Expenses</t>
  </si>
  <si>
    <t>Trended Fixed Expense Ratio</t>
  </si>
  <si>
    <t>All years average is selected due to the volatilty.</t>
  </si>
  <si>
    <t>On Level Earned Premiums Per Exposure</t>
  </si>
  <si>
    <t>Year to Year Change in On Level Earned Premiums Per Exposure</t>
  </si>
  <si>
    <t>Premium Trend Factors</t>
  </si>
  <si>
    <t>Trend Period (years)</t>
  </si>
  <si>
    <t>:Average</t>
  </si>
  <si>
    <t>Trended Earned Premiums at Current Rates</t>
  </si>
  <si>
    <t>Alternative approaches are acceptable.</t>
  </si>
  <si>
    <t>Since the total counts are less than the full credibility standard, all years should be included.</t>
  </si>
  <si>
    <t>Base weights off earned exposure distribution with rebalancing so that older years are not weighted more than more recent years.</t>
  </si>
  <si>
    <t>Running Total Ultimate Counts</t>
  </si>
  <si>
    <t>Years to Include</t>
  </si>
  <si>
    <t>Initial Weight</t>
  </si>
  <si>
    <t>Limited Weight</t>
  </si>
  <si>
    <t>Balanced</t>
  </si>
  <si>
    <t>2021</t>
  </si>
  <si>
    <t>Y</t>
  </si>
  <si>
    <t>2022</t>
  </si>
  <si>
    <t>2023</t>
  </si>
  <si>
    <t>2024</t>
  </si>
  <si>
    <t>2025</t>
  </si>
  <si>
    <t>Credibility</t>
  </si>
  <si>
    <t>Any 2 of the following are acceptable.</t>
  </si>
  <si>
    <t>·       Current rates (or current claim ratio) trended to the forecast period</t>
  </si>
  <si>
    <t>·       Insurer's experience in other jurisdictions adjusted for differences in the mix of business or expected costs</t>
  </si>
  <si>
    <t>·       Industry experience adjusted to reflect the insurer's mix of exposure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</si>
</sst>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mmmm\ d\,\ yyyy"/>
    <numFmt numFmtId="165" formatCode="mmm\.\ d\,\ yyyy"/>
    <numFmt numFmtId="166" formatCode="0.0%"/>
    <numFmt numFmtId="167" formatCode="0.000"/>
    <numFmt numFmtId="168" formatCode="#,##0.000"/>
    <numFmt numFmtId="169" formatCode="0.0000"/>
    <numFmt numFmtId="170" formatCode="#;\(#\);\-"/>
    <numFmt numFmtId="171" formatCode="0.00000"/>
    <numFmt numFmtId="172" formatCode="0.000000"/>
    <numFmt numFmtId="173" formatCode="0.000%"/>
    <numFmt numFmtId="174" formatCode="#,##0.0%"/>
    <numFmt numFmtId="175" formatCode="0.0"/>
  </numFmts>
  <fonts count="28">
    <font>
      <sz val="11"/>
      <color theme="1"/>
      <name val="Calibri"/>
      <family val="2"/>
      <scheme val="minor"/>
    </font>
    <font>
      <sz val="12"/>
      <color rgb="FF002060"/>
      <name val="Times New Roman"/>
      <family val="1"/>
    </font>
    <font>
      <sz val="12"/>
      <color theme="1"/>
      <name val="Times New Roman"/>
      <family val="1"/>
    </font>
    <font>
      <b/>
      <sz val="14"/>
      <color rgb="FF002060"/>
      <name val="Times New Roman"/>
      <family val="1"/>
    </font>
    <font>
      <i/>
      <sz val="12"/>
      <color rgb="FF002060"/>
      <name val="Times New Roman"/>
      <family val="1"/>
    </font>
    <font>
      <sz val="12"/>
      <name val="Times New Roman"/>
      <family val="1"/>
    </font>
    <font>
      <b/>
      <i/>
      <sz val="12"/>
      <color rgb="FF002060"/>
      <name val="Times New Roman"/>
      <family val="1"/>
    </font>
    <font>
      <b/>
      <sz val="12"/>
      <color rgb="FF002060"/>
      <name val="Times New Roman"/>
      <family val="1"/>
    </font>
    <font>
      <sz val="12"/>
      <color rgb="FF002060"/>
      <name val="Symbol"/>
      <family val="1"/>
      <charset val="2"/>
    </font>
    <font>
      <sz val="7"/>
      <color rgb="FF002060"/>
      <name val="Times New Roman"/>
      <family val="1"/>
    </font>
    <font>
      <sz val="10"/>
      <color rgb="FF002060"/>
      <name val="Times New Roman"/>
      <family val="1"/>
    </font>
    <font>
      <sz val="12"/>
      <color rgb="FF002060"/>
      <name val="TimesNewRomanPSMT"/>
    </font>
    <font>
      <i/>
      <sz val="12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9" tint="-0.499984740745262"/>
      <name val="Times New Roman"/>
      <family val="1"/>
    </font>
    <font>
      <sz val="11"/>
      <color theme="1"/>
      <name val="Calibri"/>
      <family val="2"/>
      <scheme val="minor"/>
    </font>
    <font>
      <sz val="12"/>
      <color rgb="FF00B050"/>
      <name val="Times New Roman"/>
      <family val="1"/>
    </font>
    <font>
      <sz val="12"/>
      <color theme="1"/>
      <name val="Calibri"/>
      <family val="2"/>
      <scheme val="minor"/>
    </font>
    <font>
      <u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7"/>
      <color theme="1"/>
      <name val="Times New Roman"/>
      <family val="1"/>
    </font>
    <font>
      <sz val="12"/>
      <color theme="1"/>
      <name val="Symbol"/>
      <family val="1"/>
      <charset val="2"/>
    </font>
    <font>
      <b/>
      <sz val="12"/>
      <name val="Times New Roman"/>
      <family val="1"/>
    </font>
    <font>
      <sz val="12"/>
      <color rgb="FF7030A0"/>
      <name val="Times New Roman"/>
      <family val="1"/>
    </font>
    <font>
      <b/>
      <i/>
      <sz val="12"/>
      <name val="Times New Roman"/>
      <family val="1"/>
    </font>
    <font>
      <b/>
      <i/>
      <sz val="12"/>
      <color theme="1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0" applyFont="1"/>
    <xf numFmtId="0" fontId="5" fillId="0" borderId="0" xfId="0" applyFont="1"/>
    <xf numFmtId="0" fontId="1" fillId="0" borderId="0" xfId="0" applyFont="1"/>
    <xf numFmtId="0" fontId="1" fillId="2" borderId="0" xfId="0" applyFont="1" applyFill="1"/>
    <xf numFmtId="0" fontId="6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3" fillId="2" borderId="0" xfId="0" applyFont="1" applyFill="1"/>
    <xf numFmtId="0" fontId="2" fillId="2" borderId="0" xfId="0" applyFont="1" applyFill="1"/>
    <xf numFmtId="0" fontId="1" fillId="2" borderId="0" xfId="0" quotePrefix="1" applyFont="1" applyFill="1"/>
    <xf numFmtId="0" fontId="4" fillId="2" borderId="0" xfId="0" applyFont="1" applyFill="1"/>
    <xf numFmtId="0" fontId="1" fillId="2" borderId="0" xfId="0" quotePrefix="1" applyFont="1" applyFill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3" fontId="1" fillId="2" borderId="9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3" fontId="1" fillId="2" borderId="9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horizontal="center"/>
    </xf>
    <xf numFmtId="164" fontId="1" fillId="2" borderId="9" xfId="0" applyNumberFormat="1" applyFont="1" applyFill="1" applyBorder="1" applyAlignment="1">
      <alignment horizontal="center"/>
    </xf>
    <xf numFmtId="9" fontId="1" fillId="2" borderId="9" xfId="0" applyNumberFormat="1" applyFont="1" applyFill="1" applyBorder="1" applyAlignment="1">
      <alignment horizontal="center"/>
    </xf>
    <xf numFmtId="3" fontId="1" fillId="2" borderId="9" xfId="0" applyNumberFormat="1" applyFont="1" applyFill="1" applyBorder="1"/>
    <xf numFmtId="0" fontId="1" fillId="2" borderId="0" xfId="0" applyFont="1" applyFill="1" applyAlignment="1">
      <alignment vertical="center"/>
    </xf>
    <xf numFmtId="3" fontId="1" fillId="2" borderId="9" xfId="0" applyNumberFormat="1" applyFont="1" applyFill="1" applyBorder="1" applyAlignment="1">
      <alignment horizontal="center"/>
    </xf>
    <xf numFmtId="9" fontId="1" fillId="2" borderId="12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/>
    <xf numFmtId="0" fontId="1" fillId="2" borderId="13" xfId="0" applyFont="1" applyFill="1" applyBorder="1" applyAlignment="1">
      <alignment vertical="center"/>
    </xf>
    <xf numFmtId="0" fontId="1" fillId="2" borderId="3" xfId="0" applyFont="1" applyFill="1" applyBorder="1"/>
    <xf numFmtId="0" fontId="1" fillId="2" borderId="14" xfId="0" applyFont="1" applyFill="1" applyBorder="1" applyAlignment="1">
      <alignment vertical="center"/>
    </xf>
    <xf numFmtId="0" fontId="1" fillId="2" borderId="8" xfId="0" applyFont="1" applyFill="1" applyBorder="1"/>
    <xf numFmtId="0" fontId="1" fillId="2" borderId="15" xfId="0" applyFont="1" applyFill="1" applyBorder="1" applyAlignment="1">
      <alignment vertical="center"/>
    </xf>
    <xf numFmtId="0" fontId="1" fillId="2" borderId="9" xfId="0" applyFont="1" applyFill="1" applyBorder="1" applyAlignment="1">
      <alignment horizontal="center"/>
    </xf>
    <xf numFmtId="9" fontId="1" fillId="2" borderId="9" xfId="0" applyNumberFormat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65" fontId="1" fillId="2" borderId="11" xfId="0" applyNumberFormat="1" applyFont="1" applyFill="1" applyBorder="1" applyAlignment="1">
      <alignment horizontal="center" vertical="center"/>
    </xf>
    <xf numFmtId="165" fontId="1" fillId="2" borderId="9" xfId="0" applyNumberFormat="1" applyFont="1" applyFill="1" applyBorder="1" applyAlignment="1">
      <alignment horizontal="center" vertical="center"/>
    </xf>
    <xf numFmtId="0" fontId="1" fillId="0" borderId="0" xfId="0" quotePrefix="1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166" fontId="1" fillId="2" borderId="9" xfId="0" applyNumberFormat="1" applyFont="1" applyFill="1" applyBorder="1" applyAlignment="1">
      <alignment horizontal="center"/>
    </xf>
    <xf numFmtId="167" fontId="1" fillId="2" borderId="9" xfId="0" applyNumberFormat="1" applyFont="1" applyFill="1" applyBorder="1" applyAlignment="1">
      <alignment horizontal="center" vertical="center"/>
    </xf>
    <xf numFmtId="167" fontId="1" fillId="2" borderId="9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left" vertical="center"/>
    </xf>
    <xf numFmtId="0" fontId="1" fillId="2" borderId="0" xfId="0" applyFont="1" applyFill="1" applyAlignment="1">
      <alignment wrapText="1"/>
    </xf>
    <xf numFmtId="0" fontId="12" fillId="0" borderId="0" xfId="0" applyFont="1"/>
    <xf numFmtId="0" fontId="5" fillId="0" borderId="0" xfId="0" quotePrefix="1" applyFo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1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68" fontId="2" fillId="0" borderId="9" xfId="0" applyNumberFormat="1" applyFont="1" applyBorder="1" applyAlignment="1">
      <alignment horizontal="center"/>
    </xf>
    <xf numFmtId="3" fontId="2" fillId="0" borderId="9" xfId="0" applyNumberFormat="1" applyFont="1" applyBorder="1" applyAlignment="1">
      <alignment horizontal="center"/>
    </xf>
    <xf numFmtId="0" fontId="2" fillId="0" borderId="0" xfId="0" quotePrefix="1" applyFont="1"/>
    <xf numFmtId="0" fontId="15" fillId="0" borderId="0" xfId="0" applyFont="1"/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3" fontId="5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4" xfId="0" applyFont="1" applyBorder="1"/>
    <xf numFmtId="0" fontId="5" fillId="0" borderId="0" xfId="0" applyFont="1" applyAlignment="1">
      <alignment horizontal="center"/>
    </xf>
    <xf numFmtId="169" fontId="5" fillId="0" borderId="0" xfId="0" applyNumberFormat="1" applyFont="1" applyAlignment="1">
      <alignment horizontal="center"/>
    </xf>
    <xf numFmtId="3" fontId="5" fillId="0" borderId="7" xfId="0" applyNumberFormat="1" applyFont="1" applyBorder="1" applyAlignment="1">
      <alignment horizontal="center"/>
    </xf>
    <xf numFmtId="165" fontId="5" fillId="0" borderId="7" xfId="0" applyNumberFormat="1" applyFont="1" applyBorder="1" applyAlignment="1">
      <alignment horizontal="center"/>
    </xf>
    <xf numFmtId="169" fontId="5" fillId="0" borderId="7" xfId="0" applyNumberFormat="1" applyFont="1" applyBorder="1" applyAlignment="1">
      <alignment horizontal="center"/>
    </xf>
    <xf numFmtId="10" fontId="2" fillId="0" borderId="0" xfId="1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0" fontId="18" fillId="0" borderId="0" xfId="0" applyFont="1"/>
    <xf numFmtId="15" fontId="2" fillId="0" borderId="0" xfId="0" applyNumberFormat="1" applyFont="1" applyAlignment="1">
      <alignment horizontal="center"/>
    </xf>
    <xf numFmtId="3" fontId="2" fillId="0" borderId="0" xfId="0" applyNumberFormat="1" applyFont="1"/>
    <xf numFmtId="0" fontId="14" fillId="0" borderId="0" xfId="0" quotePrefix="1" applyFont="1"/>
    <xf numFmtId="171" fontId="2" fillId="0" borderId="7" xfId="0" applyNumberFormat="1" applyFont="1" applyBorder="1" applyAlignment="1">
      <alignment horizontal="center"/>
    </xf>
    <xf numFmtId="10" fontId="2" fillId="0" borderId="7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71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center"/>
    </xf>
    <xf numFmtId="169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72" fontId="2" fillId="0" borderId="0" xfId="0" applyNumberFormat="1" applyFont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172" fontId="2" fillId="0" borderId="7" xfId="0" applyNumberFormat="1" applyFont="1" applyBorder="1" applyAlignment="1">
      <alignment horizontal="center"/>
    </xf>
    <xf numFmtId="9" fontId="2" fillId="0" borderId="0" xfId="0" applyNumberFormat="1" applyFont="1"/>
    <xf numFmtId="0" fontId="2" fillId="0" borderId="7" xfId="0" applyFont="1" applyBorder="1" applyAlignment="1">
      <alignment horizontal="center" wrapText="1"/>
    </xf>
    <xf numFmtId="0" fontId="20" fillId="0" borderId="7" xfId="0" applyFont="1" applyBorder="1" applyAlignment="1">
      <alignment horizontal="center" wrapText="1"/>
    </xf>
    <xf numFmtId="166" fontId="2" fillId="0" borderId="0" xfId="1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169" fontId="2" fillId="0" borderId="7" xfId="0" applyNumberFormat="1" applyFont="1" applyBorder="1" applyAlignment="1">
      <alignment horizontal="center"/>
    </xf>
    <xf numFmtId="166" fontId="17" fillId="0" borderId="0" xfId="1" applyNumberFormat="1" applyFont="1" applyBorder="1" applyAlignment="1">
      <alignment horizontal="center"/>
    </xf>
    <xf numFmtId="10" fontId="2" fillId="0" borderId="0" xfId="1" applyNumberFormat="1" applyFont="1" applyBorder="1" applyAlignment="1">
      <alignment horizontal="center"/>
    </xf>
    <xf numFmtId="166" fontId="5" fillId="0" borderId="7" xfId="1" applyNumberFormat="1" applyFont="1" applyBorder="1" applyAlignment="1">
      <alignment horizontal="center"/>
    </xf>
    <xf numFmtId="166" fontId="5" fillId="0" borderId="0" xfId="1" applyNumberFormat="1" applyFont="1" applyBorder="1" applyAlignment="1">
      <alignment horizontal="center"/>
    </xf>
    <xf numFmtId="170" fontId="2" fillId="0" borderId="0" xfId="0" applyNumberFormat="1" applyFont="1" applyAlignment="1">
      <alignment horizont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Continuous"/>
    </xf>
    <xf numFmtId="166" fontId="5" fillId="0" borderId="7" xfId="0" applyNumberFormat="1" applyFont="1" applyBorder="1" applyAlignment="1">
      <alignment horizontal="center"/>
    </xf>
    <xf numFmtId="4" fontId="5" fillId="0" borderId="0" xfId="0" applyNumberFormat="1" applyFont="1" applyAlignment="1">
      <alignment horizontal="center"/>
    </xf>
    <xf numFmtId="9" fontId="5" fillId="0" borderId="0" xfId="0" applyNumberFormat="1" applyFont="1" applyAlignment="1">
      <alignment horizontal="center"/>
    </xf>
    <xf numFmtId="4" fontId="5" fillId="0" borderId="7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0" fontId="5" fillId="0" borderId="0" xfId="1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10" fontId="5" fillId="0" borderId="0" xfId="1" applyNumberFormat="1" applyFont="1" applyFill="1" applyBorder="1" applyAlignment="1">
      <alignment horizontal="center"/>
    </xf>
    <xf numFmtId="0" fontId="5" fillId="0" borderId="0" xfId="0" quotePrefix="1" applyFont="1" applyAlignment="1">
      <alignment horizontal="center"/>
    </xf>
    <xf numFmtId="10" fontId="5" fillId="0" borderId="0" xfId="0" applyNumberFormat="1" applyFont="1" applyAlignment="1">
      <alignment horizontal="center"/>
    </xf>
    <xf numFmtId="171" fontId="5" fillId="0" borderId="0" xfId="0" applyNumberFormat="1" applyFont="1" applyAlignment="1">
      <alignment horizontal="center"/>
    </xf>
    <xf numFmtId="171" fontId="5" fillId="0" borderId="7" xfId="0" applyNumberFormat="1" applyFont="1" applyBorder="1" applyAlignment="1">
      <alignment horizontal="center"/>
    </xf>
    <xf numFmtId="10" fontId="5" fillId="0" borderId="7" xfId="1" applyNumberFormat="1" applyFont="1" applyFill="1" applyBorder="1" applyAlignment="1">
      <alignment horizontal="center"/>
    </xf>
    <xf numFmtId="0" fontId="0" fillId="0" borderId="4" xfId="0" applyBorder="1"/>
    <xf numFmtId="0" fontId="2" fillId="0" borderId="7" xfId="0" applyFont="1" applyBorder="1"/>
    <xf numFmtId="3" fontId="2" fillId="0" borderId="7" xfId="0" applyNumberFormat="1" applyFont="1" applyBorder="1"/>
    <xf numFmtId="4" fontId="2" fillId="0" borderId="0" xfId="0" applyNumberFormat="1" applyFont="1" applyAlignment="1">
      <alignment horizontal="center"/>
    </xf>
    <xf numFmtId="4" fontId="14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4" fontId="25" fillId="0" borderId="0" xfId="0" applyNumberFormat="1" applyFont="1" applyAlignment="1">
      <alignment horizontal="center"/>
    </xf>
    <xf numFmtId="3" fontId="24" fillId="0" borderId="0" xfId="0" applyNumberFormat="1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173" fontId="5" fillId="0" borderId="0" xfId="1" applyNumberFormat="1" applyFont="1" applyFill="1" applyBorder="1" applyAlignment="1">
      <alignment horizontal="right"/>
    </xf>
    <xf numFmtId="173" fontId="5" fillId="0" borderId="0" xfId="1" applyNumberFormat="1" applyFont="1" applyFill="1" applyBorder="1" applyAlignment="1">
      <alignment horizontal="center"/>
    </xf>
    <xf numFmtId="10" fontId="2" fillId="0" borderId="7" xfId="1" applyNumberFormat="1" applyFont="1" applyBorder="1" applyAlignment="1">
      <alignment horizontal="center"/>
    </xf>
    <xf numFmtId="10" fontId="5" fillId="0" borderId="7" xfId="1" applyNumberFormat="1" applyFont="1" applyBorder="1" applyAlignment="1">
      <alignment horizontal="center"/>
    </xf>
    <xf numFmtId="173" fontId="2" fillId="0" borderId="0" xfId="0" applyNumberFormat="1" applyFont="1" applyAlignment="1">
      <alignment horizontal="center"/>
    </xf>
    <xf numFmtId="173" fontId="5" fillId="0" borderId="0" xfId="0" applyNumberFormat="1" applyFont="1" applyAlignment="1">
      <alignment horizontal="center"/>
    </xf>
    <xf numFmtId="0" fontId="26" fillId="0" borderId="0" xfId="0" applyFont="1"/>
    <xf numFmtId="0" fontId="14" fillId="0" borderId="0" xfId="0" applyFont="1"/>
    <xf numFmtId="0" fontId="5" fillId="0" borderId="0" xfId="0" quotePrefix="1" applyFont="1" applyAlignment="1">
      <alignment horizontal="left"/>
    </xf>
    <xf numFmtId="174" fontId="5" fillId="0" borderId="0" xfId="0" applyNumberFormat="1" applyFont="1" applyAlignment="1">
      <alignment horizontal="center"/>
    </xf>
    <xf numFmtId="0" fontId="5" fillId="0" borderId="7" xfId="0" quotePrefix="1" applyFont="1" applyBorder="1" applyAlignment="1">
      <alignment horizontal="center"/>
    </xf>
    <xf numFmtId="174" fontId="5" fillId="0" borderId="7" xfId="0" applyNumberFormat="1" applyFont="1" applyBorder="1" applyAlignment="1">
      <alignment horizontal="center"/>
    </xf>
    <xf numFmtId="174" fontId="2" fillId="0" borderId="0" xfId="0" applyNumberFormat="1" applyFont="1"/>
    <xf numFmtId="175" fontId="27" fillId="0" borderId="0" xfId="0" applyNumberFormat="1" applyFont="1" applyAlignment="1">
      <alignment horizontal="center"/>
    </xf>
    <xf numFmtId="0" fontId="5" fillId="0" borderId="5" xfId="0" applyFont="1" applyBorder="1"/>
    <xf numFmtId="0" fontId="5" fillId="0" borderId="4" xfId="0" applyFont="1" applyBorder="1"/>
    <xf numFmtId="166" fontId="5" fillId="0" borderId="0" xfId="0" applyNumberFormat="1" applyFont="1" applyAlignment="1">
      <alignment horizontal="center"/>
    </xf>
    <xf numFmtId="0" fontId="1" fillId="2" borderId="0" xfId="0" applyFont="1" applyFill="1" applyAlignment="1">
      <alignment wrapText="1"/>
    </xf>
    <xf numFmtId="0" fontId="2" fillId="0" borderId="0" xfId="0" applyFont="1" applyAlignment="1">
      <alignment horizontal="center"/>
    </xf>
    <xf numFmtId="0" fontId="7" fillId="2" borderId="9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/>
    </xf>
    <xf numFmtId="0" fontId="7" fillId="2" borderId="9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171" fontId="27" fillId="0" borderId="0" xfId="0" applyNumberFormat="1" applyFont="1" applyAlignment="1">
      <alignment horizontal="center"/>
    </xf>
    <xf numFmtId="9" fontId="2" fillId="0" borderId="2" xfId="0" applyNumberFormat="1" applyFont="1" applyBorder="1" applyAlignment="1">
      <alignment horizontal="left"/>
    </xf>
    <xf numFmtId="0" fontId="1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27" fillId="0" borderId="0" xfId="0" applyNumberFormat="1" applyFont="1" applyAlignment="1">
      <alignment horizontal="center"/>
    </xf>
    <xf numFmtId="169" fontId="27" fillId="0" borderId="0" xfId="0" applyNumberFormat="1" applyFont="1" applyAlignment="1">
      <alignment horizontal="center"/>
    </xf>
    <xf numFmtId="0" fontId="7" fillId="2" borderId="1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67" fontId="1" fillId="2" borderId="9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1343025</xdr:colOff>
      <xdr:row>47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7DD740A-674A-46FD-85B4-55EBE351CFB8}"/>
            </a:ext>
          </a:extLst>
        </xdr:cNvPr>
        <xdr:cNvSpPr txBox="1"/>
      </xdr:nvSpPr>
      <xdr:spPr>
        <a:xfrm>
          <a:off x="878205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1343025</xdr:colOff>
      <xdr:row>47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70242EB-166B-453E-88AC-CF5AEC6F794A}"/>
            </a:ext>
          </a:extLst>
        </xdr:cNvPr>
        <xdr:cNvSpPr txBox="1"/>
      </xdr:nvSpPr>
      <xdr:spPr>
        <a:xfrm>
          <a:off x="878205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1343025</xdr:colOff>
      <xdr:row>47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CF1AB8E-C5AE-4C33-A245-24FB879D5541}"/>
            </a:ext>
          </a:extLst>
        </xdr:cNvPr>
        <xdr:cNvSpPr txBox="1"/>
      </xdr:nvSpPr>
      <xdr:spPr>
        <a:xfrm>
          <a:off x="878205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1343025</xdr:colOff>
      <xdr:row>47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EEE8D0D-14D7-4FFA-BC03-B251BB0C2CDA}"/>
            </a:ext>
          </a:extLst>
        </xdr:cNvPr>
        <xdr:cNvSpPr txBox="1"/>
      </xdr:nvSpPr>
      <xdr:spPr>
        <a:xfrm>
          <a:off x="878205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1343025</xdr:colOff>
      <xdr:row>47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38F06C3-EC61-4ACC-932A-7086A4850996}"/>
            </a:ext>
          </a:extLst>
        </xdr:cNvPr>
        <xdr:cNvSpPr txBox="1"/>
      </xdr:nvSpPr>
      <xdr:spPr>
        <a:xfrm>
          <a:off x="878205" y="995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19</xdr:row>
      <xdr:rowOff>0</xdr:rowOff>
    </xdr:from>
    <xdr:to>
      <xdr:col>16</xdr:col>
      <xdr:colOff>0</xdr:colOff>
      <xdr:row>22</xdr:row>
      <xdr:rowOff>238125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C09E070-9C55-80B1-7F9D-E879D3687F91}"/>
            </a:ext>
          </a:extLst>
        </xdr:cNvPr>
        <xdr:cNvCxnSpPr/>
      </xdr:nvCxnSpPr>
      <xdr:spPr>
        <a:xfrm flipV="1">
          <a:off x="11506200" y="3829050"/>
          <a:ext cx="542925" cy="9810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190500</xdr:colOff>
      <xdr:row>19</xdr:row>
      <xdr:rowOff>0</xdr:rowOff>
    </xdr:from>
    <xdr:to>
      <xdr:col>20</xdr:col>
      <xdr:colOff>179070</xdr:colOff>
      <xdr:row>22</xdr:row>
      <xdr:rowOff>243840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7F8DB98C-2CC6-4964-83DA-64FF2E7F12B2}"/>
            </a:ext>
          </a:extLst>
        </xdr:cNvPr>
        <xdr:cNvCxnSpPr/>
      </xdr:nvCxnSpPr>
      <xdr:spPr>
        <a:xfrm flipV="1">
          <a:off x="12792075" y="3829050"/>
          <a:ext cx="541020" cy="98679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19</xdr:row>
      <xdr:rowOff>0</xdr:rowOff>
    </xdr:from>
    <xdr:to>
      <xdr:col>26</xdr:col>
      <xdr:colOff>262890</xdr:colOff>
      <xdr:row>23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AA9ACD3-2DBB-413F-B5B2-5CA5E7204FE7}"/>
            </a:ext>
          </a:extLst>
        </xdr:cNvPr>
        <xdr:cNvCxnSpPr/>
      </xdr:nvCxnSpPr>
      <xdr:spPr>
        <a:xfrm flipV="1">
          <a:off x="14535150" y="3829050"/>
          <a:ext cx="539115" cy="9906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190500</xdr:colOff>
      <xdr:row>19</xdr:row>
      <xdr:rowOff>0</xdr:rowOff>
    </xdr:from>
    <xdr:to>
      <xdr:col>36</xdr:col>
      <xdr:colOff>177165</xdr:colOff>
      <xdr:row>23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F5D8562B-F51E-443F-9BBF-F9820686C83A}"/>
            </a:ext>
          </a:extLst>
        </xdr:cNvPr>
        <xdr:cNvCxnSpPr/>
      </xdr:nvCxnSpPr>
      <xdr:spPr>
        <a:xfrm flipV="1">
          <a:off x="17211675" y="3829050"/>
          <a:ext cx="539115" cy="9906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0B7EB-04E7-4880-8F4C-40135909496C}">
  <dimension ref="A1:R46"/>
  <sheetViews>
    <sheetView tabSelected="1" zoomScaleNormal="100" workbookViewId="0"/>
  </sheetViews>
  <sheetFormatPr defaultRowHeight="15.6"/>
  <cols>
    <col min="1" max="4" width="10.77734375" style="1" customWidth="1"/>
    <col min="5" max="5" width="14.44140625" style="1" customWidth="1"/>
    <col min="6" max="12" width="10.77734375" style="1" customWidth="1"/>
    <col min="13" max="16384" width="8.88671875" style="1"/>
  </cols>
  <sheetData>
    <row r="1" spans="1:18" ht="17.399999999999999">
      <c r="A1" s="13" t="s">
        <v>7</v>
      </c>
      <c r="B1" s="4"/>
      <c r="C1" s="4" t="s">
        <v>10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11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8" ht="31.2">
      <c r="A5" s="15"/>
      <c r="B5" s="21" t="s">
        <v>12</v>
      </c>
      <c r="C5" s="21" t="s">
        <v>13</v>
      </c>
      <c r="D5" s="21" t="s">
        <v>14</v>
      </c>
      <c r="E5" s="4"/>
      <c r="F5" s="4"/>
      <c r="G5" s="4"/>
      <c r="H5" s="4"/>
      <c r="I5" s="4"/>
      <c r="J5" s="4"/>
      <c r="K5" s="4"/>
      <c r="L5" s="4"/>
    </row>
    <row r="6" spans="1:18">
      <c r="A6" s="15"/>
      <c r="B6" s="19">
        <v>2021</v>
      </c>
      <c r="C6" s="20">
        <v>11064</v>
      </c>
      <c r="D6" s="19">
        <v>171</v>
      </c>
      <c r="E6" s="4"/>
      <c r="F6" s="4"/>
      <c r="G6" s="4"/>
      <c r="H6" s="4"/>
      <c r="I6" s="4"/>
      <c r="J6" s="4"/>
      <c r="K6" s="4"/>
      <c r="L6" s="4"/>
    </row>
    <row r="7" spans="1:18">
      <c r="A7" s="15"/>
      <c r="B7" s="19">
        <v>2022</v>
      </c>
      <c r="C7" s="20">
        <v>12334</v>
      </c>
      <c r="D7" s="19">
        <v>186</v>
      </c>
      <c r="E7" s="4"/>
      <c r="F7" s="4"/>
      <c r="G7" s="4"/>
      <c r="H7" s="4"/>
      <c r="I7" s="4"/>
      <c r="J7" s="4"/>
      <c r="K7" s="4"/>
      <c r="L7" s="4"/>
    </row>
    <row r="8" spans="1:18">
      <c r="A8" s="15"/>
      <c r="B8" s="19">
        <v>2023</v>
      </c>
      <c r="C8" s="20">
        <v>12329</v>
      </c>
      <c r="D8" s="19">
        <v>220</v>
      </c>
      <c r="E8" s="4"/>
      <c r="F8" s="4"/>
      <c r="G8" s="4"/>
      <c r="H8" s="4"/>
      <c r="I8" s="4"/>
      <c r="J8" s="4"/>
      <c r="K8" s="4"/>
      <c r="L8" s="4"/>
    </row>
    <row r="9" spans="1:18">
      <c r="A9" s="4"/>
      <c r="B9" s="19">
        <v>2024</v>
      </c>
      <c r="C9" s="20">
        <v>14576</v>
      </c>
      <c r="D9" s="19">
        <v>215</v>
      </c>
      <c r="E9" s="4"/>
      <c r="F9" s="4"/>
      <c r="G9" s="4"/>
      <c r="H9" s="4"/>
      <c r="I9" s="4"/>
      <c r="J9" s="4"/>
      <c r="K9" s="4"/>
      <c r="L9" s="4"/>
    </row>
    <row r="10" spans="1:18">
      <c r="A10" s="4"/>
      <c r="B10" s="19">
        <v>2025</v>
      </c>
      <c r="C10" s="20">
        <v>14391</v>
      </c>
      <c r="D10" s="19">
        <v>217</v>
      </c>
      <c r="E10" s="4"/>
      <c r="F10" s="4"/>
      <c r="G10" s="4"/>
      <c r="H10" s="4"/>
      <c r="I10" s="4"/>
      <c r="J10" s="4"/>
      <c r="K10" s="4"/>
      <c r="L10" s="4"/>
    </row>
    <row r="11" spans="1:18">
      <c r="A11" s="15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8">
      <c r="A12" s="4"/>
      <c r="B12" s="29" t="s">
        <v>43</v>
      </c>
      <c r="C12" s="4"/>
      <c r="D12" s="4"/>
      <c r="E12" s="20">
        <v>1082</v>
      </c>
      <c r="F12" s="4" t="s">
        <v>42</v>
      </c>
      <c r="G12" s="4"/>
      <c r="H12" s="4"/>
      <c r="I12" s="4"/>
      <c r="J12" s="4"/>
      <c r="K12" s="4"/>
      <c r="L12" s="4"/>
    </row>
    <row r="13" spans="1:18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8">
      <c r="A14" s="17" t="s">
        <v>4</v>
      </c>
      <c r="B14" s="159" t="s">
        <v>15</v>
      </c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M14" s="3"/>
      <c r="N14" s="3"/>
      <c r="O14" s="3"/>
      <c r="P14" s="3"/>
      <c r="Q14" s="3"/>
      <c r="R14" s="3"/>
    </row>
    <row r="15" spans="1:18">
      <c r="A15" s="17"/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3"/>
      <c r="N15" s="3"/>
      <c r="O15" s="3"/>
      <c r="P15" s="3"/>
      <c r="Q15" s="3"/>
      <c r="R15" s="3"/>
    </row>
    <row r="16" spans="1:18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 t="s">
        <v>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ht="16.2">
      <c r="A19" s="2"/>
      <c r="B19" s="148" t="s">
        <v>177</v>
      </c>
      <c r="J19" s="2"/>
      <c r="K19" s="2"/>
      <c r="L19" s="2"/>
      <c r="M19" s="2"/>
    </row>
    <row r="20" spans="1:13">
      <c r="A20" s="2"/>
      <c r="B20" s="149" t="s">
        <v>389</v>
      </c>
      <c r="J20" s="2"/>
      <c r="K20" s="2"/>
      <c r="L20" s="2"/>
      <c r="M20" s="2"/>
    </row>
    <row r="21" spans="1:13">
      <c r="A21" s="2"/>
      <c r="J21" s="2"/>
      <c r="K21" s="2"/>
      <c r="L21" s="2"/>
      <c r="M21" s="2"/>
    </row>
    <row r="22" spans="1:13">
      <c r="A22" s="2"/>
      <c r="B22" s="150" t="s">
        <v>390</v>
      </c>
      <c r="J22" s="2"/>
      <c r="K22" s="2"/>
      <c r="L22" s="2"/>
      <c r="M22" s="2"/>
    </row>
    <row r="23" spans="1:13">
      <c r="A23" s="2"/>
      <c r="B23" s="1" t="s">
        <v>391</v>
      </c>
      <c r="J23" s="2"/>
      <c r="K23" s="2"/>
      <c r="L23" s="2"/>
      <c r="M23" s="2"/>
    </row>
    <row r="24" spans="1:13">
      <c r="A24" s="2"/>
      <c r="J24" s="2"/>
      <c r="K24" s="2"/>
      <c r="L24" s="2"/>
      <c r="M24" s="2"/>
    </row>
    <row r="25" spans="1:13" ht="46.8">
      <c r="A25" s="2"/>
      <c r="B25" s="74" t="s">
        <v>12</v>
      </c>
      <c r="C25" s="74" t="s">
        <v>14</v>
      </c>
      <c r="D25" s="74" t="s">
        <v>98</v>
      </c>
      <c r="E25" s="74" t="s">
        <v>392</v>
      </c>
      <c r="F25" s="74" t="s">
        <v>393</v>
      </c>
      <c r="G25" s="74" t="s">
        <v>394</v>
      </c>
      <c r="H25" s="74" t="s">
        <v>395</v>
      </c>
      <c r="I25" s="74" t="s">
        <v>396</v>
      </c>
      <c r="J25" s="2"/>
      <c r="K25" s="2"/>
      <c r="L25" s="2"/>
      <c r="M25" s="2"/>
    </row>
    <row r="26" spans="1:13">
      <c r="A26" s="2"/>
      <c r="B26" s="127" t="s">
        <v>397</v>
      </c>
      <c r="C26" s="78">
        <f>D6</f>
        <v>171</v>
      </c>
      <c r="D26" s="75">
        <f>C6</f>
        <v>11064</v>
      </c>
      <c r="E26" s="75">
        <f t="shared" ref="E26:E28" si="0">E27+C26</f>
        <v>1009</v>
      </c>
      <c r="F26" s="78" t="s">
        <v>398</v>
      </c>
      <c r="G26" s="151">
        <f>D26/SUM($D$26:$D$30)</f>
        <v>0.17102049649117385</v>
      </c>
      <c r="H26" s="151">
        <f t="shared" ref="H26:H28" si="1">MIN(H27,G26)</f>
        <v>0.17102049649117385</v>
      </c>
      <c r="I26" s="151">
        <f>H26/$H$31</f>
        <v>0.17152424655835297</v>
      </c>
      <c r="J26" s="2"/>
      <c r="K26" s="2"/>
      <c r="L26" s="2"/>
      <c r="M26" s="2"/>
    </row>
    <row r="27" spans="1:13">
      <c r="A27" s="2"/>
      <c r="B27" s="127" t="s">
        <v>399</v>
      </c>
      <c r="C27" s="78">
        <f t="shared" ref="C27:C30" si="2">D7</f>
        <v>186</v>
      </c>
      <c r="D27" s="75">
        <f t="shared" ref="D27:D30" si="3">C7</f>
        <v>12334</v>
      </c>
      <c r="E27" s="75">
        <f t="shared" si="0"/>
        <v>838</v>
      </c>
      <c r="F27" s="78" t="s">
        <v>398</v>
      </c>
      <c r="G27" s="151">
        <f>D27/SUM($D$26:$D$30)</f>
        <v>0.19065137416143693</v>
      </c>
      <c r="H27" s="151">
        <f t="shared" si="1"/>
        <v>0.19057408724147526</v>
      </c>
      <c r="I27" s="151">
        <f>H27/$H$31</f>
        <v>0.19113543346149076</v>
      </c>
      <c r="J27" s="2"/>
      <c r="K27" s="2"/>
      <c r="L27" s="2"/>
      <c r="M27" s="2"/>
    </row>
    <row r="28" spans="1:13">
      <c r="A28" s="2"/>
      <c r="B28" s="127" t="s">
        <v>400</v>
      </c>
      <c r="C28" s="78">
        <f t="shared" si="2"/>
        <v>220</v>
      </c>
      <c r="D28" s="75">
        <f t="shared" si="3"/>
        <v>12329</v>
      </c>
      <c r="E28" s="75">
        <f t="shared" si="0"/>
        <v>652</v>
      </c>
      <c r="F28" s="78" t="s">
        <v>398</v>
      </c>
      <c r="G28" s="151">
        <f>D28/SUM($D$26:$D$30)</f>
        <v>0.19057408724147526</v>
      </c>
      <c r="H28" s="151">
        <f t="shared" si="1"/>
        <v>0.19057408724147526</v>
      </c>
      <c r="I28" s="151">
        <f>H28/$H$31</f>
        <v>0.19113543346149076</v>
      </c>
      <c r="J28" s="2"/>
      <c r="K28" s="2"/>
      <c r="L28" s="2"/>
      <c r="M28" s="2"/>
    </row>
    <row r="29" spans="1:13">
      <c r="A29" s="2"/>
      <c r="B29" s="127" t="s">
        <v>401</v>
      </c>
      <c r="C29" s="78">
        <f t="shared" si="2"/>
        <v>215</v>
      </c>
      <c r="D29" s="75">
        <f t="shared" si="3"/>
        <v>14576</v>
      </c>
      <c r="E29" s="75">
        <f>E30+C29</f>
        <v>432</v>
      </c>
      <c r="F29" s="78" t="s">
        <v>398</v>
      </c>
      <c r="G29" s="151">
        <f>D29/SUM($D$26:$D$30)</f>
        <v>0.22530682907224781</v>
      </c>
      <c r="H29" s="151">
        <f>MIN(H30,G29)</f>
        <v>0.22244721303366619</v>
      </c>
      <c r="I29" s="151">
        <f>H29/$H$31</f>
        <v>0.22310244325933273</v>
      </c>
      <c r="J29" s="2"/>
      <c r="K29" s="2"/>
      <c r="L29" s="2"/>
      <c r="M29" s="2"/>
    </row>
    <row r="30" spans="1:13">
      <c r="A30" s="2"/>
      <c r="B30" s="152" t="s">
        <v>402</v>
      </c>
      <c r="C30" s="73">
        <f t="shared" si="2"/>
        <v>217</v>
      </c>
      <c r="D30" s="80">
        <f t="shared" si="3"/>
        <v>14391</v>
      </c>
      <c r="E30" s="80">
        <f>C30</f>
        <v>217</v>
      </c>
      <c r="F30" s="73" t="s">
        <v>398</v>
      </c>
      <c r="G30" s="153">
        <f>D30/SUM($D$26:$D$30)</f>
        <v>0.22244721303366619</v>
      </c>
      <c r="H30" s="153">
        <f>G30</f>
        <v>0.22244721303366619</v>
      </c>
      <c r="I30" s="153">
        <f>H30/$H$31</f>
        <v>0.22310244325933273</v>
      </c>
      <c r="J30" s="2"/>
      <c r="K30" s="2"/>
      <c r="L30" s="2"/>
      <c r="M30" s="2"/>
    </row>
    <row r="31" spans="1:13">
      <c r="A31" s="2"/>
      <c r="B31" s="127"/>
      <c r="C31" s="75">
        <f>SUM(C26:C30)</f>
        <v>1009</v>
      </c>
      <c r="D31" s="75">
        <f>SUM(D26:D30)</f>
        <v>64694</v>
      </c>
      <c r="E31" s="78"/>
      <c r="F31" s="78"/>
      <c r="G31" s="151">
        <f>SUM(G26:G30)</f>
        <v>1</v>
      </c>
      <c r="H31" s="151">
        <f>SUM(H26:H30)</f>
        <v>0.99706309704145679</v>
      </c>
      <c r="I31" s="151">
        <f>SUM(I26:I30)</f>
        <v>0.99999999999999989</v>
      </c>
      <c r="J31" s="2"/>
      <c r="K31" s="2"/>
      <c r="L31" s="2"/>
      <c r="M31" s="2"/>
    </row>
    <row r="32" spans="1:13">
      <c r="M32" s="3"/>
    </row>
    <row r="33" spans="1:12">
      <c r="A33" s="17" t="s">
        <v>5</v>
      </c>
      <c r="B33" s="4" t="s">
        <v>16</v>
      </c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>
      <c r="A35" s="2" t="s">
        <v>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>
      <c r="A37" s="2"/>
      <c r="B37" s="1" t="s">
        <v>403</v>
      </c>
      <c r="C37" s="154">
        <f>(C31/E12)^0.5</f>
        <v>0.96567714454916098</v>
      </c>
      <c r="G37" s="2"/>
      <c r="H37" s="2"/>
      <c r="I37" s="2"/>
      <c r="J37" s="2"/>
      <c r="K37" s="2"/>
      <c r="L37" s="2"/>
    </row>
    <row r="39" spans="1:12">
      <c r="A39" s="17" t="s">
        <v>0</v>
      </c>
      <c r="B39" s="4" t="s">
        <v>17</v>
      </c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>
      <c r="A41" s="2" t="s">
        <v>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>
      <c r="A43" s="2"/>
      <c r="B43" s="2" t="s">
        <v>404</v>
      </c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>
      <c r="B44" s="1" t="s">
        <v>405</v>
      </c>
    </row>
    <row r="45" spans="1:12">
      <c r="B45" s="1" t="s">
        <v>406</v>
      </c>
    </row>
    <row r="46" spans="1:12">
      <c r="B46" s="1" t="s">
        <v>407</v>
      </c>
    </row>
  </sheetData>
  <mergeCells count="1">
    <mergeCell ref="B14:L15"/>
  </mergeCell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4C090-854E-4F6A-8680-18AE291E35CB}">
  <dimension ref="A1:R59"/>
  <sheetViews>
    <sheetView zoomScaleNormal="100" workbookViewId="0"/>
  </sheetViews>
  <sheetFormatPr defaultRowHeight="15.6"/>
  <cols>
    <col min="1" max="1" width="8.88671875" style="1" customWidth="1"/>
    <col min="2" max="2" width="12.77734375" style="1" customWidth="1"/>
    <col min="3" max="4" width="17.77734375" style="1" customWidth="1"/>
    <col min="5" max="6" width="16.77734375" style="1" customWidth="1"/>
    <col min="7" max="7" width="8.88671875" style="1"/>
    <col min="8" max="8" width="8.88671875" style="1" customWidth="1"/>
    <col min="9" max="16384" width="8.88671875" style="1"/>
  </cols>
  <sheetData>
    <row r="1" spans="1:18" ht="17.399999999999999">
      <c r="A1" s="13" t="s">
        <v>149</v>
      </c>
      <c r="B1" s="4"/>
      <c r="C1" s="4" t="s">
        <v>6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150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8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8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8">
      <c r="A6" s="17" t="s">
        <v>4</v>
      </c>
      <c r="B6" s="4" t="s">
        <v>151</v>
      </c>
      <c r="C6" s="4"/>
      <c r="D6" s="4"/>
      <c r="E6" s="4"/>
      <c r="F6" s="4"/>
      <c r="G6" s="4"/>
      <c r="H6" s="4"/>
      <c r="I6" s="4"/>
      <c r="J6" s="4"/>
      <c r="K6" s="4"/>
      <c r="L6" s="4"/>
      <c r="M6" s="3"/>
      <c r="N6" s="3"/>
      <c r="O6" s="3"/>
      <c r="P6" s="3"/>
      <c r="Q6" s="3"/>
      <c r="R6" s="3"/>
    </row>
    <row r="7" spans="1:18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8">
      <c r="A8" s="2" t="s">
        <v>1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8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8">
      <c r="A10" s="2"/>
      <c r="B10" s="2" t="s">
        <v>366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8">
      <c r="A11" s="2"/>
      <c r="B11" s="57" t="s">
        <v>367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8">
      <c r="A12" s="2"/>
      <c r="B12" s="57" t="s">
        <v>368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8">
      <c r="A13" s="2"/>
      <c r="B13" s="57" t="s">
        <v>369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8">
      <c r="M14" s="3"/>
    </row>
    <row r="15" spans="1:18">
      <c r="A15" s="34" t="s">
        <v>138</v>
      </c>
      <c r="B15" s="4"/>
      <c r="C15" s="4"/>
      <c r="D15" s="4"/>
      <c r="E15" s="4"/>
      <c r="F15" s="4"/>
      <c r="G15" s="4"/>
      <c r="H15" s="14"/>
      <c r="I15" s="14"/>
      <c r="J15" s="14"/>
      <c r="K15" s="14"/>
      <c r="L15" s="14"/>
      <c r="M15" s="3"/>
    </row>
    <row r="16" spans="1:18">
      <c r="A16" s="4"/>
      <c r="B16" s="4"/>
      <c r="C16" s="4"/>
      <c r="D16" s="4"/>
      <c r="E16" s="4"/>
      <c r="F16" s="4"/>
      <c r="G16" s="4"/>
      <c r="H16" s="14"/>
      <c r="I16" s="14"/>
      <c r="J16" s="14"/>
      <c r="K16" s="14"/>
      <c r="L16" s="14"/>
      <c r="M16" s="3"/>
    </row>
    <row r="17" spans="1:13" ht="46.8">
      <c r="A17" s="4"/>
      <c r="B17" s="21" t="s">
        <v>12</v>
      </c>
      <c r="C17" s="21" t="s">
        <v>152</v>
      </c>
      <c r="D17" s="21" t="s">
        <v>153</v>
      </c>
      <c r="E17" s="163" t="s">
        <v>154</v>
      </c>
      <c r="F17" s="163"/>
      <c r="G17" s="4"/>
      <c r="H17" s="14"/>
      <c r="I17" s="14"/>
      <c r="J17" s="14"/>
      <c r="K17" s="14"/>
      <c r="L17" s="14"/>
      <c r="M17" s="3"/>
    </row>
    <row r="18" spans="1:13">
      <c r="A18" s="4"/>
      <c r="B18" s="28">
        <v>2020</v>
      </c>
      <c r="C18" s="27">
        <v>8546310</v>
      </c>
      <c r="D18" s="52">
        <v>0.155</v>
      </c>
      <c r="E18" s="174">
        <v>0.16</v>
      </c>
      <c r="F18" s="174"/>
      <c r="G18" s="4"/>
      <c r="H18" s="14"/>
      <c r="I18" s="14"/>
      <c r="J18" s="14"/>
      <c r="K18" s="14"/>
      <c r="L18" s="14"/>
      <c r="M18" s="3"/>
    </row>
    <row r="19" spans="1:13">
      <c r="A19" s="4"/>
      <c r="B19" s="28">
        <v>2021</v>
      </c>
      <c r="C19" s="27">
        <v>9155350</v>
      </c>
      <c r="D19" s="52">
        <v>0.14699999999999999</v>
      </c>
      <c r="E19" s="174">
        <v>0.159</v>
      </c>
      <c r="F19" s="174"/>
      <c r="G19" s="4"/>
      <c r="H19" s="14"/>
      <c r="I19" s="14"/>
      <c r="J19" s="14"/>
      <c r="K19" s="14"/>
      <c r="L19" s="14"/>
      <c r="M19" s="3"/>
    </row>
    <row r="20" spans="1:13">
      <c r="A20" s="4"/>
      <c r="B20" s="28">
        <v>2022</v>
      </c>
      <c r="C20" s="27">
        <v>9982850</v>
      </c>
      <c r="D20" s="52">
        <v>0.129</v>
      </c>
      <c r="E20" s="174">
        <v>0.154</v>
      </c>
      <c r="F20" s="174"/>
      <c r="G20" s="4"/>
      <c r="H20" s="14"/>
      <c r="I20" s="14"/>
      <c r="J20" s="14"/>
      <c r="K20" s="14"/>
      <c r="L20" s="14"/>
      <c r="M20" s="3"/>
    </row>
    <row r="21" spans="1:13">
      <c r="A21" s="4"/>
      <c r="B21" s="28">
        <v>2023</v>
      </c>
      <c r="C21" s="27">
        <v>10678820</v>
      </c>
      <c r="D21" s="52">
        <v>0.109</v>
      </c>
      <c r="E21" s="174">
        <v>0.151</v>
      </c>
      <c r="F21" s="174"/>
      <c r="G21" s="4"/>
      <c r="H21" s="14"/>
      <c r="I21" s="14"/>
      <c r="J21" s="14"/>
      <c r="K21" s="14"/>
      <c r="L21" s="14"/>
      <c r="M21" s="3"/>
    </row>
    <row r="22" spans="1:13">
      <c r="A22" s="4"/>
      <c r="B22" s="28">
        <v>2024</v>
      </c>
      <c r="C22" s="27">
        <v>12047950</v>
      </c>
      <c r="D22" s="52">
        <v>8.5000000000000006E-2</v>
      </c>
      <c r="E22" s="174">
        <v>0.14699999999999999</v>
      </c>
      <c r="F22" s="174"/>
      <c r="G22" s="4"/>
      <c r="H22" s="14"/>
      <c r="I22" s="14"/>
      <c r="J22" s="14"/>
      <c r="K22" s="14"/>
      <c r="L22" s="14"/>
      <c r="M22" s="3"/>
    </row>
    <row r="23" spans="1:13">
      <c r="A23" s="4"/>
      <c r="B23" s="4"/>
      <c r="C23" s="4"/>
      <c r="D23" s="4"/>
      <c r="E23" s="4"/>
      <c r="F23" s="4"/>
      <c r="G23" s="4"/>
      <c r="H23" s="14"/>
      <c r="I23" s="14"/>
      <c r="J23" s="14"/>
      <c r="K23" s="14"/>
      <c r="L23" s="14"/>
      <c r="M23" s="3"/>
    </row>
    <row r="24" spans="1:13">
      <c r="A24" s="4"/>
      <c r="B24" s="29" t="s">
        <v>155</v>
      </c>
      <c r="C24" s="4"/>
      <c r="D24" s="4"/>
      <c r="E24" s="4"/>
      <c r="F24" s="53">
        <v>0.12</v>
      </c>
      <c r="G24" s="4"/>
      <c r="H24" s="14"/>
      <c r="I24" s="14"/>
      <c r="J24" s="14"/>
      <c r="K24" s="14"/>
      <c r="L24" s="14"/>
      <c r="M24" s="3"/>
    </row>
    <row r="25" spans="1:13">
      <c r="M25" s="3"/>
    </row>
    <row r="26" spans="1:13">
      <c r="A26" s="17" t="s">
        <v>5</v>
      </c>
      <c r="B26" s="4" t="s">
        <v>156</v>
      </c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>
      <c r="A28" s="2" t="s">
        <v>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31.2">
      <c r="B30" s="101" t="s">
        <v>12</v>
      </c>
      <c r="C30" s="101" t="s">
        <v>375</v>
      </c>
      <c r="D30" s="101" t="s">
        <v>370</v>
      </c>
      <c r="E30" s="101" t="s">
        <v>372</v>
      </c>
      <c r="G30" s="140"/>
      <c r="H30" s="2"/>
      <c r="I30" s="2"/>
      <c r="J30" s="2"/>
      <c r="K30" s="2"/>
      <c r="L30" s="2"/>
    </row>
    <row r="31" spans="1:13">
      <c r="B31" s="68">
        <v>2020</v>
      </c>
      <c r="C31" s="95">
        <f>E18/D18</f>
        <v>1.032258064516129</v>
      </c>
      <c r="D31" s="95">
        <f>D18+$F$24*(1-1/C31)</f>
        <v>0.15875</v>
      </c>
      <c r="E31" s="76">
        <f>D31*C18</f>
        <v>1356726.7124999999</v>
      </c>
      <c r="F31"/>
      <c r="G31"/>
      <c r="H31" s="2"/>
      <c r="I31" s="2"/>
      <c r="J31" s="2"/>
      <c r="K31" s="2"/>
      <c r="L31" s="2"/>
    </row>
    <row r="32" spans="1:13">
      <c r="B32" s="68">
        <f>B31+1</f>
        <v>2021</v>
      </c>
      <c r="C32" s="95">
        <f>E19/D19</f>
        <v>1.0816326530612246</v>
      </c>
      <c r="D32" s="95">
        <f>D19+$F$24*(1-1/C32)</f>
        <v>0.15605660377358491</v>
      </c>
      <c r="E32" s="76">
        <f>D32*C19</f>
        <v>1428752.8273584906</v>
      </c>
      <c r="F32"/>
      <c r="G32"/>
      <c r="H32" s="2"/>
      <c r="I32" s="2"/>
      <c r="J32" s="2"/>
      <c r="K32" s="2"/>
      <c r="L32" s="2"/>
    </row>
    <row r="33" spans="1:12">
      <c r="B33" s="68">
        <f t="shared" ref="B33:B35" si="0">B32+1</f>
        <v>2022</v>
      </c>
      <c r="C33" s="95">
        <f>E20/D20</f>
        <v>1.193798449612403</v>
      </c>
      <c r="D33" s="95">
        <f>D20+$F$24*(1-1/C33)</f>
        <v>0.14848051948051946</v>
      </c>
      <c r="E33" s="76">
        <f>D33*C20</f>
        <v>1482258.7538961037</v>
      </c>
      <c r="F33"/>
      <c r="G33"/>
      <c r="H33" s="2"/>
      <c r="I33" s="2"/>
      <c r="J33" s="2"/>
      <c r="K33" s="2"/>
      <c r="L33" s="2"/>
    </row>
    <row r="34" spans="1:12">
      <c r="B34" s="68">
        <f t="shared" si="0"/>
        <v>2023</v>
      </c>
      <c r="C34" s="95">
        <f>E21/D21</f>
        <v>1.3853211009174311</v>
      </c>
      <c r="D34" s="95">
        <f>D21+$F$24*(1-1/C34)</f>
        <v>0.1423774834437086</v>
      </c>
      <c r="E34" s="76">
        <f>D34*C21</f>
        <v>1520423.5177483442</v>
      </c>
      <c r="F34"/>
      <c r="G34"/>
      <c r="H34" s="2"/>
      <c r="I34" s="2"/>
      <c r="J34" s="2"/>
      <c r="K34" s="2"/>
      <c r="L34" s="2"/>
    </row>
    <row r="35" spans="1:12">
      <c r="B35" s="69">
        <f t="shared" si="0"/>
        <v>2024</v>
      </c>
      <c r="C35" s="106">
        <f>E22/D22</f>
        <v>1.7294117647058822</v>
      </c>
      <c r="D35" s="106">
        <f>D22+$F$24*(1-1/C35)</f>
        <v>0.13561224489795917</v>
      </c>
      <c r="E35" s="104">
        <f>D35*C22</f>
        <v>1633849.5459183671</v>
      </c>
      <c r="F35"/>
      <c r="G35"/>
      <c r="H35" s="2"/>
      <c r="I35" s="2"/>
      <c r="J35" s="2"/>
      <c r="K35" s="2"/>
      <c r="L35" s="2"/>
    </row>
    <row r="36" spans="1:12">
      <c r="B36" s="68" t="s">
        <v>230</v>
      </c>
      <c r="E36" s="76">
        <f>SUM(E31:E35)</f>
        <v>7422011.357421306</v>
      </c>
      <c r="F36"/>
      <c r="G36"/>
      <c r="H36" s="2"/>
      <c r="I36" s="2"/>
      <c r="J36" s="2"/>
      <c r="K36" s="2"/>
      <c r="L36" s="2"/>
    </row>
    <row r="38" spans="1:12">
      <c r="A38" s="17" t="s">
        <v>0</v>
      </c>
      <c r="B38" s="4" t="s">
        <v>157</v>
      </c>
      <c r="C38" s="4"/>
      <c r="D38" s="4"/>
      <c r="E38" s="4"/>
      <c r="F38" s="4"/>
      <c r="G38" s="4"/>
      <c r="H38" s="4"/>
      <c r="I38" s="4"/>
      <c r="J38" s="4"/>
      <c r="K38" s="4"/>
      <c r="L38" s="4"/>
    </row>
    <row r="39" spans="1:1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>
      <c r="A40" s="2" t="s">
        <v>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31.2">
      <c r="B42" s="101" t="s">
        <v>12</v>
      </c>
      <c r="C42" s="101" t="s">
        <v>373</v>
      </c>
      <c r="D42" s="101" t="s">
        <v>374</v>
      </c>
      <c r="E42" s="2"/>
      <c r="F42" s="2"/>
      <c r="G42" s="2"/>
      <c r="H42" s="2"/>
      <c r="I42" s="2"/>
      <c r="J42" s="2"/>
      <c r="K42" s="2"/>
      <c r="L42" s="2"/>
    </row>
    <row r="43" spans="1:12">
      <c r="B43" s="68">
        <v>2020</v>
      </c>
      <c r="C43" s="95">
        <f>D18+D31*(1-1/C31)</f>
        <v>0.15996093750000001</v>
      </c>
      <c r="D43" s="76">
        <f>C43*C18</f>
        <v>1367075.759765625</v>
      </c>
      <c r="E43" s="2"/>
      <c r="F43" s="2"/>
      <c r="G43" s="2"/>
      <c r="H43" s="2"/>
      <c r="I43" s="2"/>
      <c r="J43" s="2"/>
      <c r="K43" s="2"/>
      <c r="L43" s="2"/>
    </row>
    <row r="44" spans="1:12">
      <c r="B44" s="68">
        <f>B43+1</f>
        <v>2021</v>
      </c>
      <c r="C44" s="95">
        <f t="shared" ref="C44:C47" si="1">D19+D32*(1-1/C32)</f>
        <v>0.15877785688857246</v>
      </c>
      <c r="D44" s="76">
        <f t="shared" ref="D44:D47" si="2">C44*C19</f>
        <v>1453666.8520647918</v>
      </c>
      <c r="E44" s="2"/>
      <c r="F44" s="2"/>
      <c r="G44" s="2"/>
      <c r="H44" s="2"/>
      <c r="I44" s="2"/>
      <c r="J44" s="2"/>
      <c r="K44" s="2"/>
      <c r="L44" s="2"/>
    </row>
    <row r="45" spans="1:12">
      <c r="B45" s="68">
        <f t="shared" ref="B45:B47" si="3">B44+1</f>
        <v>2022</v>
      </c>
      <c r="C45" s="95">
        <f t="shared" si="1"/>
        <v>0.15310398043514925</v>
      </c>
      <c r="D45" s="76">
        <f t="shared" si="2"/>
        <v>1528414.0710870298</v>
      </c>
      <c r="E45" s="2"/>
      <c r="F45" s="2"/>
      <c r="G45" s="2"/>
      <c r="H45" s="2"/>
      <c r="I45" s="2"/>
      <c r="J45" s="2"/>
      <c r="K45" s="2"/>
      <c r="L45" s="2"/>
    </row>
    <row r="46" spans="1:12">
      <c r="B46" s="68">
        <f t="shared" si="3"/>
        <v>2023</v>
      </c>
      <c r="C46" s="95">
        <f t="shared" si="1"/>
        <v>0.14860168413666067</v>
      </c>
      <c r="D46" s="76">
        <f t="shared" si="2"/>
        <v>1586890.6365922547</v>
      </c>
      <c r="E46" s="2"/>
      <c r="F46" s="2"/>
      <c r="G46" s="2"/>
      <c r="H46" s="2"/>
      <c r="I46" s="2"/>
      <c r="J46" s="2"/>
      <c r="K46" s="2"/>
      <c r="L46" s="2"/>
    </row>
    <row r="47" spans="1:12">
      <c r="B47" s="69">
        <f t="shared" si="3"/>
        <v>2024</v>
      </c>
      <c r="C47" s="106">
        <f t="shared" si="1"/>
        <v>0.14219700124947937</v>
      </c>
      <c r="D47" s="104">
        <f t="shared" si="2"/>
        <v>1713182.3612036649</v>
      </c>
      <c r="E47" s="2"/>
      <c r="F47" s="2"/>
      <c r="G47" s="2"/>
      <c r="H47" s="2"/>
      <c r="I47" s="2"/>
      <c r="J47" s="2"/>
      <c r="K47" s="2"/>
      <c r="L47" s="2"/>
    </row>
    <row r="48" spans="1:12">
      <c r="B48" s="68"/>
      <c r="C48" s="95"/>
      <c r="D48" s="76">
        <f>SUM(D43:D47)</f>
        <v>7649229.6807133667</v>
      </c>
      <c r="E48" s="2"/>
      <c r="F48" s="2"/>
      <c r="G48" s="2"/>
      <c r="H48" s="2"/>
      <c r="I48" s="2"/>
      <c r="J48" s="2"/>
      <c r="K48" s="2"/>
      <c r="L48" s="2"/>
    </row>
    <row r="50" spans="1:13">
      <c r="A50" s="4" t="s">
        <v>158</v>
      </c>
      <c r="B50" s="4"/>
      <c r="C50" s="4"/>
      <c r="D50" s="4"/>
      <c r="E50" s="4"/>
      <c r="F50" s="4"/>
      <c r="G50" s="4"/>
      <c r="H50" s="4"/>
      <c r="I50" s="14"/>
      <c r="J50" s="14"/>
      <c r="K50" s="14"/>
      <c r="L50" s="14"/>
      <c r="M50" s="2"/>
    </row>
    <row r="51" spans="1:13">
      <c r="M51" s="2"/>
    </row>
    <row r="52" spans="1:13">
      <c r="A52" s="17" t="s">
        <v>2</v>
      </c>
      <c r="B52" s="4" t="s">
        <v>159</v>
      </c>
      <c r="C52" s="4"/>
      <c r="D52" s="4"/>
      <c r="E52" s="4"/>
      <c r="F52" s="4"/>
      <c r="G52" s="4"/>
      <c r="H52" s="4"/>
      <c r="I52" s="4"/>
      <c r="J52" s="4"/>
      <c r="K52" s="4"/>
      <c r="L52" s="4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3">
      <c r="A54" s="2" t="s">
        <v>1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3">
      <c r="A56" s="2"/>
      <c r="B56" s="2" t="s">
        <v>371</v>
      </c>
      <c r="C56" s="2"/>
      <c r="D56" s="2"/>
      <c r="E56" s="2"/>
      <c r="F56" s="2"/>
      <c r="G56" s="2"/>
      <c r="H56" s="2"/>
      <c r="I56" s="2"/>
      <c r="J56" s="2"/>
      <c r="K56" s="2"/>
      <c r="L56" s="2"/>
    </row>
    <row r="59" spans="1:13">
      <c r="M59" s="2"/>
    </row>
  </sheetData>
  <mergeCells count="6">
    <mergeCell ref="E22:F22"/>
    <mergeCell ref="E17:F17"/>
    <mergeCell ref="E18:F18"/>
    <mergeCell ref="E19:F19"/>
    <mergeCell ref="E20:F20"/>
    <mergeCell ref="E21:F2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73CA9-6D10-4BA5-9D75-E004221E7BC5}">
  <dimension ref="A1:R56"/>
  <sheetViews>
    <sheetView zoomScaleNormal="100" workbookViewId="0"/>
  </sheetViews>
  <sheetFormatPr defaultRowHeight="15.6"/>
  <cols>
    <col min="1" max="1" width="12" style="1" customWidth="1"/>
    <col min="2" max="3" width="12.77734375" style="1" customWidth="1"/>
    <col min="4" max="4" width="18.77734375" style="1" customWidth="1"/>
    <col min="5" max="5" width="17.33203125" style="1" customWidth="1"/>
    <col min="6" max="8" width="15.5546875" style="1" customWidth="1"/>
    <col min="9" max="16384" width="8.88671875" style="1"/>
  </cols>
  <sheetData>
    <row r="1" spans="1:18" ht="17.399999999999999">
      <c r="A1" s="13" t="s">
        <v>160</v>
      </c>
      <c r="B1" s="4"/>
      <c r="C1" s="4" t="s">
        <v>6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161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8">
      <c r="A5" s="17" t="s">
        <v>4</v>
      </c>
      <c r="B5" s="4" t="s">
        <v>162</v>
      </c>
      <c r="C5" s="4"/>
      <c r="D5" s="4"/>
      <c r="E5" s="4"/>
      <c r="F5" s="4"/>
      <c r="G5" s="4"/>
      <c r="H5" s="4"/>
      <c r="I5" s="4"/>
      <c r="J5" s="4"/>
      <c r="K5" s="4"/>
      <c r="L5" s="4"/>
      <c r="M5" s="3"/>
      <c r="N5" s="3"/>
      <c r="O5" s="3"/>
      <c r="P5" s="3"/>
      <c r="Q5" s="3"/>
      <c r="R5" s="3"/>
    </row>
    <row r="6" spans="1:18">
      <c r="A6" s="17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3"/>
      <c r="N6" s="3"/>
      <c r="O6" s="3"/>
      <c r="P6" s="3"/>
      <c r="Q6" s="3"/>
      <c r="R6" s="3"/>
    </row>
    <row r="7" spans="1:18">
      <c r="A7" s="17"/>
      <c r="B7" s="34" t="s">
        <v>163</v>
      </c>
      <c r="C7" s="4"/>
      <c r="D7" s="4"/>
      <c r="E7" s="4"/>
      <c r="F7" s="4"/>
      <c r="G7" s="4"/>
      <c r="H7" s="4"/>
      <c r="I7" s="4"/>
      <c r="J7" s="4"/>
      <c r="K7" s="4"/>
      <c r="L7" s="4"/>
      <c r="M7" s="3"/>
      <c r="N7" s="3"/>
      <c r="O7" s="3"/>
      <c r="P7" s="3"/>
      <c r="Q7" s="3"/>
      <c r="R7" s="3"/>
    </row>
    <row r="8" spans="1:18">
      <c r="A8" s="17"/>
      <c r="B8" s="34"/>
      <c r="C8" s="4"/>
      <c r="D8" s="4"/>
      <c r="E8" s="4"/>
      <c r="F8" s="4"/>
      <c r="G8" s="4"/>
      <c r="H8" s="4"/>
      <c r="I8" s="4"/>
      <c r="J8" s="4"/>
      <c r="K8" s="4"/>
      <c r="L8" s="4"/>
      <c r="M8" s="3"/>
      <c r="N8" s="3"/>
      <c r="O8" s="3"/>
      <c r="P8" s="3"/>
      <c r="Q8" s="3"/>
      <c r="R8" s="3"/>
    </row>
    <row r="9" spans="1:18">
      <c r="A9" s="17"/>
      <c r="B9" s="34" t="s">
        <v>164</v>
      </c>
      <c r="C9" s="4"/>
      <c r="D9" s="4"/>
      <c r="E9" s="4"/>
      <c r="F9" s="4"/>
      <c r="G9" s="4"/>
      <c r="H9" s="4"/>
      <c r="I9" s="4"/>
      <c r="J9" s="4"/>
      <c r="K9" s="4"/>
      <c r="L9" s="4"/>
      <c r="M9" s="3"/>
      <c r="N9" s="3"/>
      <c r="O9" s="3"/>
      <c r="P9" s="3"/>
      <c r="Q9" s="3"/>
      <c r="R9" s="3"/>
    </row>
    <row r="10" spans="1:18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8">
      <c r="A11" s="2" t="s">
        <v>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8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8">
      <c r="A13" s="2"/>
      <c r="B13" s="141" t="s">
        <v>377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8">
      <c r="M14" s="3"/>
    </row>
    <row r="15" spans="1:18">
      <c r="B15" s="1" t="s">
        <v>376</v>
      </c>
      <c r="M15" s="3"/>
    </row>
    <row r="16" spans="1:18">
      <c r="M16" s="3"/>
    </row>
    <row r="17" spans="1:13">
      <c r="A17" s="34" t="s">
        <v>138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14"/>
      <c r="M17" s="3"/>
    </row>
    <row r="18" spans="1:1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14"/>
      <c r="M18" s="3"/>
    </row>
    <row r="19" spans="1:13" ht="46.8">
      <c r="A19" s="4"/>
      <c r="B19" s="21" t="s">
        <v>12</v>
      </c>
      <c r="C19" s="21" t="s">
        <v>98</v>
      </c>
      <c r="D19" s="21" t="s">
        <v>165</v>
      </c>
      <c r="E19" s="21" t="s">
        <v>166</v>
      </c>
      <c r="F19" s="4"/>
      <c r="G19" s="4"/>
      <c r="H19" s="4"/>
      <c r="I19" s="4"/>
      <c r="J19" s="4"/>
      <c r="K19" s="4"/>
      <c r="L19" s="14"/>
      <c r="M19" s="3"/>
    </row>
    <row r="20" spans="1:13">
      <c r="A20" s="4"/>
      <c r="B20" s="28">
        <v>2019</v>
      </c>
      <c r="C20" s="27">
        <v>9550</v>
      </c>
      <c r="D20" s="27">
        <v>12294228</v>
      </c>
      <c r="E20" s="27">
        <v>639300</v>
      </c>
      <c r="F20" s="4"/>
      <c r="G20" s="4"/>
      <c r="H20" s="4"/>
      <c r="I20" s="4"/>
      <c r="J20" s="4"/>
      <c r="K20" s="4"/>
      <c r="L20" s="14"/>
      <c r="M20" s="3"/>
    </row>
    <row r="21" spans="1:13">
      <c r="A21" s="4"/>
      <c r="B21" s="28">
        <v>2020</v>
      </c>
      <c r="C21" s="27">
        <v>9960</v>
      </c>
      <c r="D21" s="27">
        <v>12673073</v>
      </c>
      <c r="E21" s="27">
        <v>663822</v>
      </c>
      <c r="F21" s="4"/>
      <c r="G21" s="4"/>
      <c r="H21" s="4"/>
      <c r="I21" s="4"/>
      <c r="J21" s="4"/>
      <c r="K21" s="4"/>
      <c r="L21" s="14"/>
      <c r="M21" s="3"/>
    </row>
    <row r="22" spans="1:13">
      <c r="A22" s="4"/>
      <c r="B22" s="28">
        <v>2021</v>
      </c>
      <c r="C22" s="27">
        <v>10175</v>
      </c>
      <c r="D22" s="27">
        <v>13084046</v>
      </c>
      <c r="E22" s="27">
        <v>690713</v>
      </c>
      <c r="F22" s="4"/>
      <c r="G22" s="4"/>
      <c r="H22" s="4"/>
      <c r="I22" s="4"/>
      <c r="J22" s="4"/>
      <c r="K22" s="4"/>
      <c r="L22" s="14"/>
      <c r="M22" s="3"/>
    </row>
    <row r="23" spans="1:13">
      <c r="A23" s="4"/>
      <c r="B23" s="28">
        <v>2022</v>
      </c>
      <c r="C23" s="27">
        <v>10561</v>
      </c>
      <c r="D23" s="27">
        <v>13648648</v>
      </c>
      <c r="E23" s="27">
        <v>719171</v>
      </c>
      <c r="F23" s="4"/>
      <c r="G23" s="4"/>
      <c r="H23" s="4"/>
      <c r="I23" s="4"/>
      <c r="J23" s="4"/>
      <c r="K23" s="4"/>
      <c r="L23" s="14"/>
      <c r="M23" s="3"/>
    </row>
    <row r="24" spans="1:13">
      <c r="A24" s="4"/>
      <c r="B24" s="28">
        <v>2023</v>
      </c>
      <c r="C24" s="27">
        <v>10846</v>
      </c>
      <c r="D24" s="27">
        <v>13890533</v>
      </c>
      <c r="E24" s="27">
        <v>747907</v>
      </c>
      <c r="F24" s="4"/>
      <c r="G24" s="4"/>
      <c r="H24" s="4"/>
      <c r="I24" s="4"/>
      <c r="J24" s="4"/>
      <c r="K24" s="4"/>
      <c r="L24" s="14"/>
      <c r="M24" s="3"/>
    </row>
    <row r="25" spans="1:13">
      <c r="A25" s="4"/>
      <c r="B25" s="28">
        <v>2024</v>
      </c>
      <c r="C25" s="27">
        <v>11120</v>
      </c>
      <c r="D25" s="27">
        <v>14508539</v>
      </c>
      <c r="E25" s="27">
        <v>778816</v>
      </c>
      <c r="F25" s="4"/>
      <c r="G25" s="4"/>
      <c r="H25" s="4"/>
      <c r="I25" s="4"/>
      <c r="J25" s="4"/>
      <c r="K25" s="4"/>
      <c r="L25" s="14"/>
      <c r="M25" s="3"/>
    </row>
    <row r="26" spans="1:13">
      <c r="M26" s="3"/>
    </row>
    <row r="27" spans="1:13">
      <c r="A27" s="17" t="s">
        <v>5</v>
      </c>
      <c r="B27" s="4" t="s">
        <v>167</v>
      </c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>
      <c r="A29" s="2" t="s">
        <v>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62.4">
      <c r="B30" s="74" t="s">
        <v>12</v>
      </c>
      <c r="C30" s="74" t="s">
        <v>383</v>
      </c>
      <c r="D30" s="74" t="s">
        <v>384</v>
      </c>
      <c r="E30" s="2"/>
      <c r="G30"/>
      <c r="H30" s="2"/>
      <c r="I30" s="2"/>
      <c r="J30" s="2"/>
      <c r="K30" s="2"/>
      <c r="L30" s="2"/>
    </row>
    <row r="31" spans="1:13">
      <c r="B31" s="78">
        <v>2019</v>
      </c>
      <c r="C31" s="116">
        <f t="shared" ref="C31:C36" si="0">D20/C20</f>
        <v>1287.353717277487</v>
      </c>
      <c r="D31" s="2"/>
      <c r="E31" s="2"/>
      <c r="G31"/>
      <c r="H31" s="2"/>
      <c r="I31" s="2"/>
      <c r="J31" s="2"/>
      <c r="K31" s="2"/>
      <c r="L31" s="2"/>
    </row>
    <row r="32" spans="1:13">
      <c r="B32" s="78">
        <v>2020</v>
      </c>
      <c r="C32" s="116">
        <f t="shared" si="0"/>
        <v>1272.3968875502007</v>
      </c>
      <c r="D32" s="124">
        <f>C32/C31-1</f>
        <v>-1.1618275169094305E-2</v>
      </c>
      <c r="E32" s="2"/>
      <c r="G32"/>
      <c r="H32" s="2"/>
      <c r="I32" s="2"/>
      <c r="J32" s="2"/>
      <c r="K32" s="2"/>
      <c r="L32" s="2"/>
    </row>
    <row r="33" spans="1:13">
      <c r="B33" s="78">
        <v>2021</v>
      </c>
      <c r="C33" s="116">
        <f t="shared" si="0"/>
        <v>1285.9013267813268</v>
      </c>
      <c r="D33" s="124">
        <f t="shared" ref="D33:D36" si="1">C33/C32-1</f>
        <v>1.0613385935835495E-2</v>
      </c>
      <c r="E33" s="2"/>
      <c r="G33"/>
      <c r="H33" s="2"/>
      <c r="I33" s="2"/>
      <c r="J33" s="2"/>
      <c r="K33" s="2"/>
      <c r="L33" s="2"/>
    </row>
    <row r="34" spans="1:13">
      <c r="B34" s="78">
        <v>2022</v>
      </c>
      <c r="C34" s="116">
        <f t="shared" si="0"/>
        <v>1292.3632231796232</v>
      </c>
      <c r="D34" s="124">
        <f t="shared" si="1"/>
        <v>5.0251883746561532E-3</v>
      </c>
      <c r="E34" s="2"/>
      <c r="G34"/>
      <c r="H34" s="2"/>
      <c r="I34" s="2"/>
      <c r="J34" s="2"/>
      <c r="K34" s="2"/>
      <c r="L34" s="2"/>
    </row>
    <row r="35" spans="1:13">
      <c r="B35" s="78">
        <v>2023</v>
      </c>
      <c r="C35" s="116">
        <f t="shared" si="0"/>
        <v>1280.7056057532732</v>
      </c>
      <c r="D35" s="124">
        <f t="shared" si="1"/>
        <v>-9.0203877805100641E-3</v>
      </c>
      <c r="E35" s="2"/>
      <c r="G35"/>
      <c r="H35" s="2"/>
      <c r="I35" s="2"/>
      <c r="J35" s="2"/>
      <c r="K35" s="2"/>
      <c r="L35" s="2"/>
    </row>
    <row r="36" spans="1:13">
      <c r="B36" s="73">
        <v>2024</v>
      </c>
      <c r="C36" s="118">
        <f t="shared" si="0"/>
        <v>1304.7247302158273</v>
      </c>
      <c r="D36" s="145">
        <f t="shared" si="1"/>
        <v>1.8754602427485167E-2</v>
      </c>
      <c r="E36" s="2"/>
      <c r="G36"/>
      <c r="H36" s="2"/>
      <c r="I36" s="2"/>
      <c r="J36" s="2"/>
      <c r="K36" s="2"/>
      <c r="L36" s="2"/>
    </row>
    <row r="37" spans="1:13">
      <c r="A37" s="77"/>
      <c r="B37" s="142" t="s">
        <v>378</v>
      </c>
      <c r="C37" s="143" cm="1">
        <f t="array" ref="C37">EXP(_xlfn.SINGLE(INDEX(LINEST(LN(C31:C36),),1)))-1</f>
        <v>2.6192990553244311E-3</v>
      </c>
      <c r="D37" s="146">
        <f>AVERAGE(D32:D36)</f>
        <v>2.7509027576744895E-3</v>
      </c>
      <c r="E37" s="1" t="s">
        <v>387</v>
      </c>
      <c r="G37"/>
      <c r="H37" s="2"/>
      <c r="I37" s="2"/>
      <c r="J37" s="2"/>
      <c r="K37" s="2"/>
      <c r="L37" s="2"/>
    </row>
    <row r="38" spans="1:13">
      <c r="A38" s="77"/>
      <c r="B38" s="142"/>
      <c r="C38" s="143"/>
      <c r="G38"/>
      <c r="H38" s="2"/>
      <c r="I38" s="2"/>
      <c r="J38" s="2"/>
      <c r="K38" s="2"/>
      <c r="L38" s="2"/>
    </row>
    <row r="39" spans="1:13">
      <c r="A39" s="77" t="s">
        <v>336</v>
      </c>
      <c r="B39" s="147">
        <f>D37</f>
        <v>2.7509027576744895E-3</v>
      </c>
      <c r="H39" s="2"/>
      <c r="I39" s="2"/>
      <c r="J39" s="2"/>
      <c r="K39" s="2"/>
      <c r="L39" s="2"/>
    </row>
    <row r="40" spans="1:13">
      <c r="A40" s="77" t="s">
        <v>337</v>
      </c>
      <c r="B40" s="1" t="s">
        <v>382</v>
      </c>
      <c r="H40" s="2"/>
      <c r="I40" s="2"/>
      <c r="J40" s="2"/>
      <c r="K40" s="2"/>
      <c r="L40" s="2"/>
    </row>
    <row r="41" spans="1:13">
      <c r="M41" s="2"/>
    </row>
    <row r="42" spans="1:13">
      <c r="A42" s="34" t="s">
        <v>87</v>
      </c>
      <c r="B42" s="4"/>
      <c r="C42" s="4"/>
      <c r="D42" s="4"/>
      <c r="E42" s="4"/>
      <c r="F42" s="4"/>
      <c r="G42" s="14"/>
      <c r="H42" s="14"/>
      <c r="I42" s="14"/>
      <c r="J42" s="14"/>
      <c r="K42" s="14"/>
      <c r="L42" s="14"/>
      <c r="M42" s="2"/>
    </row>
    <row r="43" spans="1:13">
      <c r="A43" s="4"/>
      <c r="B43" s="54" t="s">
        <v>171</v>
      </c>
      <c r="C43" s="4"/>
      <c r="D43" s="4"/>
      <c r="E43" s="51">
        <v>0.01</v>
      </c>
      <c r="F43" s="4"/>
      <c r="G43" s="14"/>
      <c r="H43" s="14"/>
      <c r="I43" s="14"/>
      <c r="J43" s="14"/>
      <c r="K43" s="14"/>
      <c r="L43" s="14"/>
      <c r="M43" s="2"/>
    </row>
    <row r="44" spans="1:13">
      <c r="A44" s="4"/>
      <c r="B44" s="54" t="s">
        <v>169</v>
      </c>
      <c r="C44" s="4"/>
      <c r="D44" s="4"/>
      <c r="E44" s="43">
        <v>1.75</v>
      </c>
      <c r="F44" s="4" t="s">
        <v>168</v>
      </c>
      <c r="G44" s="14"/>
      <c r="H44" s="14"/>
      <c r="I44" s="14"/>
      <c r="J44" s="14"/>
      <c r="K44" s="14"/>
      <c r="L44" s="14"/>
      <c r="M44" s="2"/>
    </row>
    <row r="46" spans="1:13">
      <c r="A46" s="17" t="s">
        <v>0</v>
      </c>
      <c r="B46" s="4" t="s">
        <v>170</v>
      </c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3">
      <c r="A48" s="2" t="s">
        <v>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8" ht="46.8">
      <c r="B49" s="101" t="s">
        <v>12</v>
      </c>
      <c r="C49" s="101" t="s">
        <v>386</v>
      </c>
      <c r="D49" s="101" t="s">
        <v>385</v>
      </c>
      <c r="E49" s="101" t="s">
        <v>388</v>
      </c>
      <c r="F49" s="101" t="s">
        <v>379</v>
      </c>
      <c r="G49" s="101" t="s">
        <v>380</v>
      </c>
      <c r="H49" s="101" t="s">
        <v>381</v>
      </c>
    </row>
    <row r="50" spans="2:8">
      <c r="B50" s="68">
        <v>2019</v>
      </c>
      <c r="C50" s="68">
        <f t="shared" ref="C50:C53" si="2">C51+1</f>
        <v>6.75</v>
      </c>
      <c r="D50" s="93">
        <f t="shared" ref="D50:D54" si="3">(1+$B$39)^C50</f>
        <v>1.0187160910491522</v>
      </c>
      <c r="E50" s="76">
        <f t="shared" ref="E50:E55" si="4">D50*D20</f>
        <v>12524327.890627036</v>
      </c>
      <c r="F50" s="93">
        <f>(1+$E$43)^C50</f>
        <v>1.0694716412129879</v>
      </c>
      <c r="G50" s="76">
        <f t="shared" ref="G50:G55" si="5">F50*E20</f>
        <v>683713.22022746317</v>
      </c>
      <c r="H50" s="108">
        <f t="shared" ref="H50:H55" si="6">G50/E50</f>
        <v>5.4590811275321283E-2</v>
      </c>
    </row>
    <row r="51" spans="2:8">
      <c r="B51" s="68">
        <v>2020</v>
      </c>
      <c r="C51" s="68">
        <f t="shared" si="2"/>
        <v>5.75</v>
      </c>
      <c r="D51" s="93">
        <f t="shared" si="3"/>
        <v>1.0159213900955579</v>
      </c>
      <c r="E51" s="76">
        <f t="shared" si="4"/>
        <v>12874845.938942483</v>
      </c>
      <c r="F51" s="93">
        <f t="shared" ref="F51:F55" si="7">(1+$E$43)^C51</f>
        <v>1.0588828130821661</v>
      </c>
      <c r="G51" s="76">
        <f t="shared" si="5"/>
        <v>702909.70674582967</v>
      </c>
      <c r="H51" s="108">
        <f t="shared" si="6"/>
        <v>5.459558196496489E-2</v>
      </c>
    </row>
    <row r="52" spans="2:8">
      <c r="B52" s="68">
        <v>2021</v>
      </c>
      <c r="C52" s="68">
        <f t="shared" si="2"/>
        <v>4.75</v>
      </c>
      <c r="D52" s="93">
        <f t="shared" si="3"/>
        <v>1.0131343560017381</v>
      </c>
      <c r="E52" s="76">
        <f t="shared" si="4"/>
        <v>13255896.518107116</v>
      </c>
      <c r="F52" s="93">
        <f t="shared" si="7"/>
        <v>1.0483988248338278</v>
      </c>
      <c r="G52" s="76">
        <f t="shared" si="5"/>
        <v>724142.69749744772</v>
      </c>
      <c r="H52" s="108">
        <f t="shared" si="6"/>
        <v>5.4627968505056808E-2</v>
      </c>
    </row>
    <row r="53" spans="2:8">
      <c r="B53" s="68">
        <v>2022</v>
      </c>
      <c r="C53" s="68">
        <f t="shared" si="2"/>
        <v>3.75</v>
      </c>
      <c r="D53" s="93">
        <f t="shared" si="3"/>
        <v>1.0103549677347663</v>
      </c>
      <c r="E53" s="76">
        <f t="shared" si="4"/>
        <v>13789979.309663182</v>
      </c>
      <c r="F53" s="93">
        <f t="shared" si="7"/>
        <v>1.0380186384493344</v>
      </c>
      <c r="G53" s="76">
        <f t="shared" si="5"/>
        <v>746512.90223224624</v>
      </c>
      <c r="H53" s="108">
        <f t="shared" si="6"/>
        <v>5.4134446866728456E-2</v>
      </c>
    </row>
    <row r="54" spans="2:8">
      <c r="B54" s="68">
        <v>2023</v>
      </c>
      <c r="C54" s="68">
        <f>C55+1</f>
        <v>2.75</v>
      </c>
      <c r="D54" s="93">
        <f t="shared" si="3"/>
        <v>1.0075832043194177</v>
      </c>
      <c r="E54" s="76">
        <f t="shared" si="4"/>
        <v>13995867.749844614</v>
      </c>
      <c r="F54" s="93">
        <f t="shared" si="7"/>
        <v>1.0277412261874599</v>
      </c>
      <c r="G54" s="76">
        <f t="shared" si="5"/>
        <v>768654.85725418455</v>
      </c>
      <c r="H54" s="108">
        <f t="shared" si="6"/>
        <v>5.4920128640306591E-2</v>
      </c>
    </row>
    <row r="55" spans="2:8">
      <c r="B55" s="69">
        <v>2024</v>
      </c>
      <c r="C55" s="69">
        <f>E44</f>
        <v>1.75</v>
      </c>
      <c r="D55" s="89">
        <f>(1+$B$39)^C55</f>
        <v>1.004819044838009</v>
      </c>
      <c r="E55" s="104">
        <f t="shared" si="4"/>
        <v>14578456.299975002</v>
      </c>
      <c r="F55" s="89">
        <f t="shared" si="7"/>
        <v>1.0175655704826336</v>
      </c>
      <c r="G55" s="104">
        <f t="shared" si="5"/>
        <v>792496.34734100278</v>
      </c>
      <c r="H55" s="144">
        <f t="shared" si="6"/>
        <v>5.4360786288625201E-2</v>
      </c>
    </row>
    <row r="56" spans="2:8">
      <c r="D56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D8EDB-7DAE-4B21-9E09-F5950F442B61}">
  <dimension ref="A1:R108"/>
  <sheetViews>
    <sheetView zoomScaleNormal="100" workbookViewId="0"/>
  </sheetViews>
  <sheetFormatPr defaultRowHeight="15.6"/>
  <cols>
    <col min="1" max="1" width="10.77734375" style="1" customWidth="1"/>
    <col min="2" max="2" width="17" style="1" customWidth="1"/>
    <col min="3" max="8" width="12.77734375" style="1" customWidth="1"/>
    <col min="9" max="12" width="10.77734375" style="1" customWidth="1"/>
    <col min="13" max="16384" width="8.88671875" style="1"/>
  </cols>
  <sheetData>
    <row r="1" spans="1:18" ht="17.399999999999999">
      <c r="A1" s="13" t="s">
        <v>18</v>
      </c>
      <c r="B1" s="4"/>
      <c r="C1" s="4" t="s">
        <v>19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20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8">
      <c r="A5" s="17" t="s">
        <v>4</v>
      </c>
      <c r="B5" s="159" t="s">
        <v>21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3"/>
      <c r="N5" s="3"/>
      <c r="O5" s="3"/>
      <c r="P5" s="3"/>
      <c r="Q5" s="3"/>
      <c r="R5" s="3"/>
    </row>
    <row r="6" spans="1:18">
      <c r="A6" s="17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3"/>
      <c r="N6" s="3"/>
      <c r="O6" s="3"/>
      <c r="P6" s="3"/>
      <c r="Q6" s="3"/>
      <c r="R6" s="3"/>
    </row>
    <row r="7" spans="1:18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8">
      <c r="A8" s="2" t="s">
        <v>1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8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8">
      <c r="B10" s="58" t="s">
        <v>177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8">
      <c r="B11" s="59" t="s">
        <v>178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8">
      <c r="B12" s="59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8">
      <c r="B13" s="2" t="s">
        <v>180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8">
      <c r="B14" s="57" t="s">
        <v>215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8">
      <c r="B15" s="2" t="s">
        <v>181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8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B17" s="2" t="s">
        <v>182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B18" s="2" t="s">
        <v>179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B19" s="2" t="s">
        <v>183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4" t="s">
        <v>22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2"/>
    </row>
    <row r="22" spans="1:1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2"/>
    </row>
    <row r="23" spans="1:13">
      <c r="A23" s="4"/>
      <c r="B23" s="24" t="s">
        <v>23</v>
      </c>
      <c r="C23" s="161" t="s">
        <v>24</v>
      </c>
      <c r="D23" s="161"/>
      <c r="E23" s="161"/>
      <c r="F23" s="161"/>
      <c r="G23" s="161"/>
      <c r="H23" s="161"/>
      <c r="I23" s="4"/>
      <c r="J23" s="4"/>
      <c r="K23" s="4"/>
      <c r="L23" s="4"/>
      <c r="M23" s="2"/>
    </row>
    <row r="24" spans="1:13">
      <c r="A24" s="4"/>
      <c r="B24" s="25" t="s">
        <v>25</v>
      </c>
      <c r="C24" s="26">
        <v>12</v>
      </c>
      <c r="D24" s="26">
        <v>24</v>
      </c>
      <c r="E24" s="26">
        <v>36</v>
      </c>
      <c r="F24" s="26">
        <v>48</v>
      </c>
      <c r="G24" s="26">
        <v>60</v>
      </c>
      <c r="H24" s="26">
        <v>72</v>
      </c>
      <c r="I24" s="4"/>
      <c r="J24" s="4"/>
      <c r="K24" s="4"/>
      <c r="L24" s="4"/>
      <c r="M24" s="2"/>
    </row>
    <row r="25" spans="1:13">
      <c r="A25" s="4"/>
      <c r="B25" s="28">
        <v>2019</v>
      </c>
      <c r="C25" s="27">
        <v>2613543</v>
      </c>
      <c r="D25" s="27">
        <v>3986271</v>
      </c>
      <c r="E25" s="27">
        <v>5017264</v>
      </c>
      <c r="F25" s="27">
        <v>5842868</v>
      </c>
      <c r="G25" s="27">
        <v>6527872</v>
      </c>
      <c r="H25" s="27">
        <v>6765870</v>
      </c>
      <c r="I25" s="4"/>
      <c r="J25" s="4"/>
      <c r="K25" s="4"/>
      <c r="L25" s="4"/>
      <c r="M25" s="2"/>
    </row>
    <row r="26" spans="1:13">
      <c r="A26" s="4"/>
      <c r="B26" s="28">
        <v>2020</v>
      </c>
      <c r="C26" s="27">
        <v>2833584</v>
      </c>
      <c r="D26" s="27">
        <v>4292265</v>
      </c>
      <c r="E26" s="27">
        <v>5387622</v>
      </c>
      <c r="F26" s="27">
        <v>6260073</v>
      </c>
      <c r="G26" s="27">
        <v>6955401</v>
      </c>
      <c r="H26" s="28"/>
      <c r="I26" s="4"/>
      <c r="J26" s="4"/>
      <c r="K26" s="4"/>
      <c r="L26" s="4"/>
      <c r="M26" s="2"/>
    </row>
    <row r="27" spans="1:13">
      <c r="A27" s="4"/>
      <c r="B27" s="28">
        <v>2021</v>
      </c>
      <c r="C27" s="27">
        <v>3048854</v>
      </c>
      <c r="D27" s="27">
        <v>4604657</v>
      </c>
      <c r="E27" s="27">
        <v>5784290</v>
      </c>
      <c r="F27" s="27">
        <v>6705184</v>
      </c>
      <c r="G27" s="28"/>
      <c r="H27" s="28"/>
      <c r="I27" s="4"/>
      <c r="J27" s="4"/>
      <c r="K27" s="4"/>
      <c r="L27" s="4"/>
      <c r="M27" s="2"/>
    </row>
    <row r="28" spans="1:13">
      <c r="A28" s="4"/>
      <c r="B28" s="28">
        <v>2022</v>
      </c>
      <c r="C28" s="27">
        <v>3237137</v>
      </c>
      <c r="D28" s="27">
        <v>4906937</v>
      </c>
      <c r="E28" s="27">
        <v>6105679</v>
      </c>
      <c r="F28" s="28"/>
      <c r="G28" s="28"/>
      <c r="H28" s="28"/>
      <c r="I28" s="4"/>
      <c r="J28" s="4"/>
      <c r="K28" s="4"/>
      <c r="L28" s="4"/>
      <c r="M28" s="2"/>
    </row>
    <row r="29" spans="1:13">
      <c r="A29" s="4"/>
      <c r="B29" s="28">
        <v>2023</v>
      </c>
      <c r="C29" s="27">
        <v>3480198</v>
      </c>
      <c r="D29" s="27">
        <v>5262244</v>
      </c>
      <c r="E29" s="28"/>
      <c r="F29" s="28"/>
      <c r="G29" s="28"/>
      <c r="H29" s="28"/>
      <c r="I29" s="4"/>
      <c r="J29" s="4"/>
      <c r="K29" s="4"/>
      <c r="L29" s="4"/>
      <c r="M29" s="2"/>
    </row>
    <row r="30" spans="1:13">
      <c r="A30" s="4"/>
      <c r="B30" s="28">
        <v>2024</v>
      </c>
      <c r="C30" s="27">
        <v>3725398</v>
      </c>
      <c r="D30" s="28"/>
      <c r="E30" s="28"/>
      <c r="F30" s="28"/>
      <c r="G30" s="28"/>
      <c r="H30" s="28"/>
      <c r="I30" s="4"/>
      <c r="J30" s="4"/>
      <c r="K30" s="4"/>
      <c r="L30" s="4"/>
      <c r="M30" s="2"/>
    </row>
    <row r="31" spans="1:1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2"/>
    </row>
    <row r="32" spans="1:13">
      <c r="A32" s="4"/>
      <c r="B32" s="24" t="s">
        <v>23</v>
      </c>
      <c r="C32" s="161" t="s">
        <v>26</v>
      </c>
      <c r="D32" s="161"/>
      <c r="E32" s="161"/>
      <c r="F32" s="161"/>
      <c r="G32" s="161"/>
      <c r="H32" s="161"/>
      <c r="I32" s="4"/>
      <c r="J32" s="4"/>
      <c r="K32" s="4"/>
      <c r="L32" s="4"/>
      <c r="M32" s="2"/>
    </row>
    <row r="33" spans="1:13">
      <c r="A33" s="4"/>
      <c r="B33" s="25" t="s">
        <v>25</v>
      </c>
      <c r="C33" s="26">
        <v>12</v>
      </c>
      <c r="D33" s="26">
        <v>24</v>
      </c>
      <c r="E33" s="26">
        <v>36</v>
      </c>
      <c r="F33" s="26">
        <v>48</v>
      </c>
      <c r="G33" s="26">
        <v>60</v>
      </c>
      <c r="H33" s="26">
        <v>72</v>
      </c>
      <c r="I33" s="4"/>
      <c r="J33" s="4"/>
      <c r="K33" s="4"/>
      <c r="L33" s="4"/>
      <c r="M33" s="2"/>
    </row>
    <row r="34" spans="1:13">
      <c r="A34" s="4"/>
      <c r="B34" s="28">
        <v>2019</v>
      </c>
      <c r="C34" s="27">
        <v>4565706</v>
      </c>
      <c r="D34" s="27">
        <v>5326159</v>
      </c>
      <c r="E34" s="27">
        <v>5982698</v>
      </c>
      <c r="F34" s="27">
        <v>6246372</v>
      </c>
      <c r="G34" s="27">
        <v>6577566</v>
      </c>
      <c r="H34" s="27">
        <v>6765870</v>
      </c>
      <c r="I34" s="4"/>
      <c r="J34" s="4"/>
      <c r="K34" s="4"/>
      <c r="L34" s="4"/>
      <c r="M34" s="2"/>
    </row>
    <row r="35" spans="1:13">
      <c r="A35" s="4"/>
      <c r="B35" s="28">
        <v>2020</v>
      </c>
      <c r="C35" s="27">
        <v>4877798</v>
      </c>
      <c r="D35" s="27">
        <v>5631950</v>
      </c>
      <c r="E35" s="27">
        <v>6247419</v>
      </c>
      <c r="F35" s="27">
        <v>6702579</v>
      </c>
      <c r="G35" s="27">
        <v>7007969</v>
      </c>
      <c r="H35" s="28"/>
      <c r="I35" s="4"/>
      <c r="J35" s="4"/>
      <c r="K35" s="4"/>
      <c r="L35" s="4"/>
      <c r="M35" s="2"/>
    </row>
    <row r="36" spans="1:13">
      <c r="A36" s="4"/>
      <c r="B36" s="28">
        <v>2021</v>
      </c>
      <c r="C36" s="27">
        <v>5170006</v>
      </c>
      <c r="D36" s="27">
        <v>5998124</v>
      </c>
      <c r="E36" s="27">
        <v>6651175</v>
      </c>
      <c r="F36" s="27">
        <v>7104615</v>
      </c>
      <c r="G36" s="28"/>
      <c r="H36" s="28"/>
      <c r="I36" s="4"/>
      <c r="J36" s="4"/>
      <c r="K36" s="4"/>
      <c r="L36" s="4"/>
      <c r="M36" s="2"/>
    </row>
    <row r="37" spans="1:13">
      <c r="A37" s="4"/>
      <c r="B37" s="28">
        <v>2022</v>
      </c>
      <c r="C37" s="27">
        <v>5405481</v>
      </c>
      <c r="D37" s="27">
        <v>6352469</v>
      </c>
      <c r="E37" s="27">
        <v>6914951</v>
      </c>
      <c r="F37" s="28"/>
      <c r="G37" s="28"/>
      <c r="H37" s="28"/>
      <c r="I37" s="4"/>
      <c r="J37" s="4"/>
      <c r="K37" s="4"/>
      <c r="L37" s="4"/>
      <c r="M37" s="2"/>
    </row>
    <row r="38" spans="1:13">
      <c r="A38" s="4"/>
      <c r="B38" s="28">
        <v>2023</v>
      </c>
      <c r="C38" s="27">
        <v>5771368</v>
      </c>
      <c r="D38" s="27">
        <v>6681087</v>
      </c>
      <c r="E38" s="28"/>
      <c r="F38" s="28"/>
      <c r="G38" s="28"/>
      <c r="H38" s="28"/>
      <c r="I38" s="4"/>
      <c r="J38" s="4"/>
      <c r="K38" s="4"/>
      <c r="L38" s="4"/>
      <c r="M38" s="2"/>
    </row>
    <row r="39" spans="1:13">
      <c r="A39" s="4"/>
      <c r="B39" s="28">
        <v>2024</v>
      </c>
      <c r="C39" s="27">
        <v>6055138</v>
      </c>
      <c r="D39" s="28"/>
      <c r="E39" s="28"/>
      <c r="F39" s="28"/>
      <c r="G39" s="28"/>
      <c r="H39" s="28"/>
      <c r="I39" s="4"/>
      <c r="J39" s="4"/>
      <c r="K39" s="4"/>
      <c r="L39" s="4"/>
      <c r="M39" s="2"/>
    </row>
    <row r="40" spans="1:1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2"/>
    </row>
    <row r="41" spans="1:13">
      <c r="A41" s="4" t="s">
        <v>27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2"/>
    </row>
    <row r="42" spans="1:13">
      <c r="M42" s="3"/>
    </row>
    <row r="43" spans="1:13">
      <c r="A43" s="17" t="s">
        <v>5</v>
      </c>
      <c r="B43" s="4" t="s">
        <v>28</v>
      </c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3">
      <c r="A45" s="2" t="s">
        <v>1</v>
      </c>
      <c r="I45" s="2"/>
      <c r="J45" s="2"/>
      <c r="K45" s="2"/>
      <c r="L45" s="2"/>
    </row>
    <row r="46" spans="1:13">
      <c r="A46" s="2"/>
      <c r="I46" s="2"/>
      <c r="J46" s="2"/>
      <c r="K46" s="2"/>
      <c r="L46" s="2"/>
    </row>
    <row r="47" spans="1:13">
      <c r="A47" s="2"/>
      <c r="B47" s="60" t="s">
        <v>23</v>
      </c>
      <c r="C47" s="162" t="s">
        <v>184</v>
      </c>
      <c r="D47" s="162"/>
      <c r="E47" s="162"/>
      <c r="F47" s="162"/>
      <c r="G47" s="162"/>
      <c r="H47" s="162"/>
      <c r="I47" s="2"/>
      <c r="J47" s="2"/>
      <c r="K47" s="2"/>
      <c r="L47" s="2"/>
    </row>
    <row r="48" spans="1:13">
      <c r="A48" s="2"/>
      <c r="B48" s="62" t="s">
        <v>88</v>
      </c>
      <c r="C48" s="61">
        <v>12</v>
      </c>
      <c r="D48" s="61">
        <f>C48+12</f>
        <v>24</v>
      </c>
      <c r="E48" s="61">
        <f t="shared" ref="E48:H48" si="0">D48+12</f>
        <v>36</v>
      </c>
      <c r="F48" s="61">
        <f t="shared" si="0"/>
        <v>48</v>
      </c>
      <c r="G48" s="61">
        <f t="shared" si="0"/>
        <v>60</v>
      </c>
      <c r="H48" s="61">
        <f t="shared" si="0"/>
        <v>72</v>
      </c>
      <c r="I48" s="2"/>
      <c r="J48" s="2"/>
      <c r="K48" s="2"/>
      <c r="L48" s="2"/>
    </row>
    <row r="49" spans="1:12">
      <c r="A49" s="2"/>
      <c r="B49" s="63">
        <v>2019</v>
      </c>
      <c r="C49" s="64">
        <f t="shared" ref="C49:H49" si="1">C25/C34</f>
        <v>0.57242910515920209</v>
      </c>
      <c r="D49" s="64">
        <f t="shared" si="1"/>
        <v>0.74843259467094392</v>
      </c>
      <c r="E49" s="64">
        <f t="shared" si="1"/>
        <v>0.83862899313988437</v>
      </c>
      <c r="F49" s="64">
        <f t="shared" si="1"/>
        <v>0.93540186207289611</v>
      </c>
      <c r="G49" s="64">
        <f t="shared" si="1"/>
        <v>0.99244492567615439</v>
      </c>
      <c r="H49" s="64">
        <f t="shared" si="1"/>
        <v>1</v>
      </c>
      <c r="I49" s="2"/>
      <c r="J49" s="2"/>
      <c r="K49" s="2"/>
      <c r="L49" s="2"/>
    </row>
    <row r="50" spans="1:12">
      <c r="A50" s="2"/>
      <c r="B50" s="63">
        <v>2020</v>
      </c>
      <c r="C50" s="64">
        <f>C26/C35</f>
        <v>0.58091458481880553</v>
      </c>
      <c r="D50" s="64">
        <f>D26/D35</f>
        <v>0.76212768224149718</v>
      </c>
      <c r="E50" s="64">
        <f>E26/E35</f>
        <v>0.86237564664703936</v>
      </c>
      <c r="F50" s="64">
        <f>F26/F35</f>
        <v>0.93397974123095007</v>
      </c>
      <c r="G50" s="64">
        <f>G26/G35</f>
        <v>0.99249882526592226</v>
      </c>
      <c r="H50" s="65"/>
      <c r="I50" s="2"/>
      <c r="J50" s="2"/>
      <c r="K50" s="2"/>
      <c r="L50" s="2"/>
    </row>
    <row r="51" spans="1:12">
      <c r="A51" s="2"/>
      <c r="B51" s="63">
        <v>2021</v>
      </c>
      <c r="C51" s="64">
        <f>C27/C36</f>
        <v>0.5897196250836072</v>
      </c>
      <c r="D51" s="64">
        <f>D27/D36</f>
        <v>0.76768286217490667</v>
      </c>
      <c r="E51" s="64">
        <f>E27/E36</f>
        <v>0.86966438260908785</v>
      </c>
      <c r="F51" s="64">
        <f>F27/F36</f>
        <v>0.94377865654929927</v>
      </c>
      <c r="G51" s="65"/>
      <c r="H51" s="65"/>
      <c r="I51" s="2"/>
      <c r="J51" s="2"/>
      <c r="K51" s="2"/>
      <c r="L51" s="2"/>
    </row>
    <row r="52" spans="1:12">
      <c r="A52" s="2"/>
      <c r="B52" s="63">
        <v>2022</v>
      </c>
      <c r="C52" s="64">
        <f>C28/C37</f>
        <v>0.59886196991535079</v>
      </c>
      <c r="D52" s="64">
        <f>D28/D37</f>
        <v>0.77244564278865435</v>
      </c>
      <c r="E52" s="64">
        <f>E28/E37</f>
        <v>0.88296778964883482</v>
      </c>
      <c r="F52" s="65"/>
      <c r="G52" s="65"/>
      <c r="H52" s="65"/>
      <c r="I52" s="2"/>
      <c r="J52" s="2"/>
      <c r="K52" s="2"/>
      <c r="L52" s="2"/>
    </row>
    <row r="53" spans="1:12">
      <c r="A53" s="2"/>
      <c r="B53" s="63">
        <v>2023</v>
      </c>
      <c r="C53" s="64">
        <f>C29/C38</f>
        <v>0.60301093258998562</v>
      </c>
      <c r="D53" s="64">
        <f>D29/D38</f>
        <v>0.78763291063265606</v>
      </c>
      <c r="E53" s="65"/>
      <c r="F53" s="65"/>
      <c r="G53" s="65"/>
      <c r="H53" s="65"/>
      <c r="I53" s="2"/>
      <c r="J53" s="2"/>
      <c r="K53" s="2"/>
      <c r="L53" s="2"/>
    </row>
    <row r="54" spans="1:12">
      <c r="A54" s="2"/>
      <c r="B54" s="63">
        <v>2024</v>
      </c>
      <c r="C54" s="64">
        <f>C30/C39</f>
        <v>0.6152457631849183</v>
      </c>
      <c r="D54" s="65"/>
      <c r="E54" s="65"/>
      <c r="F54" s="65"/>
      <c r="G54" s="65"/>
      <c r="H54" s="65"/>
      <c r="I54" s="2"/>
      <c r="J54" s="2"/>
      <c r="K54" s="2"/>
      <c r="L54" s="2"/>
    </row>
    <row r="55" spans="1:12">
      <c r="A55" s="2"/>
      <c r="I55" s="2"/>
      <c r="J55" s="2"/>
      <c r="K55" s="2"/>
      <c r="L55" s="2"/>
    </row>
    <row r="56" spans="1:12">
      <c r="A56" s="2"/>
      <c r="B56" s="1" t="s">
        <v>188</v>
      </c>
      <c r="I56" s="2"/>
      <c r="J56" s="2"/>
      <c r="K56" s="2"/>
      <c r="L56" s="2"/>
    </row>
    <row r="57" spans="1:12">
      <c r="A57" s="2"/>
      <c r="I57" s="2"/>
      <c r="J57" s="2"/>
      <c r="K57" s="2"/>
      <c r="L57" s="2"/>
    </row>
    <row r="58" spans="1:12">
      <c r="A58" s="2"/>
      <c r="B58" s="1" t="s">
        <v>185</v>
      </c>
      <c r="I58" s="2"/>
      <c r="J58" s="2"/>
      <c r="K58" s="2"/>
      <c r="L58" s="2"/>
    </row>
    <row r="59" spans="1:12">
      <c r="A59" s="2"/>
      <c r="B59" s="66" t="s">
        <v>186</v>
      </c>
      <c r="H59" s="67"/>
      <c r="I59" s="2"/>
      <c r="J59" s="2"/>
      <c r="K59" s="2"/>
      <c r="L59" s="2"/>
    </row>
    <row r="60" spans="1:12">
      <c r="A60" s="2"/>
      <c r="B60" s="66" t="s">
        <v>187</v>
      </c>
      <c r="F60" s="67"/>
      <c r="I60" s="2"/>
      <c r="J60" s="2"/>
      <c r="K60" s="2"/>
      <c r="L60" s="2"/>
    </row>
    <row r="61" spans="1:1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2">
      <c r="B62" s="58" t="s">
        <v>177</v>
      </c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1:12">
      <c r="B63" s="59" t="s">
        <v>216</v>
      </c>
      <c r="C63" s="2"/>
      <c r="D63" s="2"/>
      <c r="E63" s="2"/>
      <c r="F63" s="2"/>
      <c r="G63" s="2"/>
      <c r="H63" s="2"/>
      <c r="I63" s="2"/>
      <c r="J63" s="2"/>
      <c r="K63" s="2"/>
      <c r="L63" s="2"/>
    </row>
    <row r="65" spans="1:12">
      <c r="A65" s="17" t="s">
        <v>0</v>
      </c>
      <c r="B65" s="159" t="s">
        <v>175</v>
      </c>
      <c r="C65" s="159"/>
      <c r="D65" s="159"/>
      <c r="E65" s="159"/>
      <c r="F65" s="159"/>
      <c r="G65" s="159"/>
      <c r="H65" s="159"/>
      <c r="I65" s="159"/>
      <c r="J65" s="159"/>
      <c r="K65" s="159"/>
      <c r="L65" s="159"/>
    </row>
    <row r="66" spans="1:12">
      <c r="A66" s="17"/>
      <c r="B66" s="159"/>
      <c r="C66" s="159"/>
      <c r="D66" s="159"/>
      <c r="E66" s="159"/>
      <c r="F66" s="159"/>
      <c r="G66" s="159"/>
      <c r="H66" s="159"/>
      <c r="I66" s="159"/>
      <c r="J66" s="159"/>
      <c r="K66" s="159"/>
      <c r="L66" s="159"/>
    </row>
    <row r="67" spans="1:1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1:12">
      <c r="A68" s="2" t="s">
        <v>1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1:12">
      <c r="A69" s="2"/>
      <c r="B69" s="68"/>
      <c r="C69" s="160" t="s">
        <v>189</v>
      </c>
      <c r="D69" s="160"/>
      <c r="E69" s="160"/>
      <c r="F69" s="160"/>
      <c r="G69" s="160"/>
      <c r="I69" s="2"/>
      <c r="J69" s="2"/>
      <c r="K69" s="2"/>
      <c r="L69" s="2"/>
    </row>
    <row r="70" spans="1:12">
      <c r="A70" s="2"/>
      <c r="B70" s="69" t="s">
        <v>190</v>
      </c>
      <c r="C70" s="69" t="s">
        <v>197</v>
      </c>
      <c r="D70" s="69" t="s">
        <v>198</v>
      </c>
      <c r="E70" s="69" t="s">
        <v>199</v>
      </c>
      <c r="F70" s="69" t="s">
        <v>200</v>
      </c>
      <c r="G70" s="69" t="s">
        <v>201</v>
      </c>
      <c r="I70" s="2"/>
      <c r="J70" s="2"/>
      <c r="K70" s="2"/>
      <c r="L70" s="2"/>
    </row>
    <row r="71" spans="1:12">
      <c r="A71" s="2"/>
      <c r="B71" s="70">
        <v>2019</v>
      </c>
      <c r="C71" s="71">
        <f>D25/C25</f>
        <v>1.5252364319240204</v>
      </c>
      <c r="D71" s="71">
        <f t="shared" ref="D71:G71" si="2">E25/D25</f>
        <v>1.2586359532505442</v>
      </c>
      <c r="E71" s="71">
        <f t="shared" si="2"/>
        <v>1.1645526326699174</v>
      </c>
      <c r="F71" s="71">
        <f t="shared" si="2"/>
        <v>1.117237630560882</v>
      </c>
      <c r="G71" s="71">
        <f t="shared" si="2"/>
        <v>1.0364587418380753</v>
      </c>
      <c r="I71" s="2"/>
      <c r="J71" s="2"/>
      <c r="K71" s="2"/>
      <c r="L71" s="2"/>
    </row>
    <row r="72" spans="1:12">
      <c r="A72" s="2"/>
      <c r="B72" s="70">
        <v>2020</v>
      </c>
      <c r="C72" s="71">
        <f t="shared" ref="C72:F72" si="3">D26/C26</f>
        <v>1.5147830450764825</v>
      </c>
      <c r="D72" s="71">
        <f t="shared" si="3"/>
        <v>1.255193237137036</v>
      </c>
      <c r="E72" s="71">
        <f t="shared" si="3"/>
        <v>1.1619361937418773</v>
      </c>
      <c r="F72" s="71">
        <f t="shared" si="3"/>
        <v>1.111073465117739</v>
      </c>
      <c r="G72" s="71"/>
      <c r="I72" s="2"/>
      <c r="J72" s="2"/>
      <c r="K72" s="2"/>
      <c r="L72" s="2"/>
    </row>
    <row r="73" spans="1:12">
      <c r="A73" s="2"/>
      <c r="B73" s="70">
        <v>2021</v>
      </c>
      <c r="C73" s="71">
        <f t="shared" ref="C73:E73" si="4">D27/C27</f>
        <v>1.5102910798614824</v>
      </c>
      <c r="D73" s="71">
        <f t="shared" si="4"/>
        <v>1.2561825994856946</v>
      </c>
      <c r="E73" s="71">
        <f t="shared" si="4"/>
        <v>1.1592060564045026</v>
      </c>
      <c r="F73" s="71"/>
      <c r="G73" s="71"/>
      <c r="I73" s="2"/>
      <c r="J73" s="2"/>
      <c r="K73" s="2"/>
      <c r="L73" s="2"/>
    </row>
    <row r="74" spans="1:12">
      <c r="A74" s="2"/>
      <c r="B74" s="70">
        <v>2022</v>
      </c>
      <c r="C74" s="71">
        <f t="shared" ref="C74:D74" si="5">D28/C28</f>
        <v>1.5158261760314746</v>
      </c>
      <c r="D74" s="71">
        <f t="shared" si="5"/>
        <v>1.2442953720416627</v>
      </c>
      <c r="E74" s="71"/>
      <c r="F74" s="71"/>
      <c r="G74" s="71"/>
      <c r="I74" s="2"/>
      <c r="J74" s="2"/>
      <c r="K74" s="2"/>
      <c r="L74" s="2"/>
    </row>
    <row r="75" spans="1:12">
      <c r="A75" s="2"/>
      <c r="B75" s="70">
        <v>2023</v>
      </c>
      <c r="C75" s="71">
        <f t="shared" ref="C75" si="6">D29/C29</f>
        <v>1.5120530498552094</v>
      </c>
      <c r="D75" s="71"/>
      <c r="E75" s="71"/>
      <c r="F75" s="71"/>
      <c r="G75" s="71"/>
      <c r="I75" s="2"/>
      <c r="J75" s="2"/>
      <c r="K75" s="2"/>
      <c r="L75" s="2"/>
    </row>
    <row r="76" spans="1:12">
      <c r="A76" s="2"/>
      <c r="I76" s="2"/>
      <c r="J76" s="2"/>
      <c r="K76" s="2"/>
      <c r="L76" s="2"/>
    </row>
    <row r="77" spans="1:12">
      <c r="A77" s="2"/>
      <c r="B77" s="1" t="s">
        <v>191</v>
      </c>
      <c r="C77" s="71">
        <f>AVERAGE(C71:C75)</f>
        <v>1.515637956549734</v>
      </c>
      <c r="D77" s="71">
        <f t="shared" ref="D77:G77" si="7">AVERAGE(D71:D75)</f>
        <v>1.2535767904787343</v>
      </c>
      <c r="E77" s="71">
        <f t="shared" si="7"/>
        <v>1.161898294272099</v>
      </c>
      <c r="F77" s="71">
        <f t="shared" si="7"/>
        <v>1.1141555478393106</v>
      </c>
      <c r="G77" s="71">
        <f t="shared" si="7"/>
        <v>1.0364587418380753</v>
      </c>
      <c r="I77" s="2"/>
      <c r="J77" s="2"/>
      <c r="K77" s="2"/>
      <c r="L77" s="2"/>
    </row>
    <row r="78" spans="1:12">
      <c r="A78" s="2"/>
      <c r="B78" s="1" t="s">
        <v>192</v>
      </c>
      <c r="C78" s="71">
        <f>SUM(D25:D29)/SUM(C25:C29)</f>
        <v>1.5152760910244683</v>
      </c>
      <c r="D78" s="71">
        <f>SUM(E25:E28)/SUM(D25:D28)</f>
        <v>1.2532148444109177</v>
      </c>
      <c r="E78" s="71">
        <f>SUM(F25:F27)/SUM(E25:E27)</f>
        <v>1.1617716059174352</v>
      </c>
      <c r="F78" s="71">
        <f>SUM(G25:G26)/SUM(F25:F26)</f>
        <v>1.1140493042145707</v>
      </c>
      <c r="G78" s="71">
        <f>G77</f>
        <v>1.0364587418380753</v>
      </c>
      <c r="H78" s="69" t="s">
        <v>193</v>
      </c>
      <c r="I78" s="2"/>
      <c r="J78" s="2"/>
      <c r="K78" s="2"/>
      <c r="L78" s="2"/>
    </row>
    <row r="79" spans="1:12">
      <c r="A79" s="2"/>
      <c r="B79" s="2" t="s">
        <v>203</v>
      </c>
      <c r="C79" s="72">
        <f>C77</f>
        <v>1.515637956549734</v>
      </c>
      <c r="D79" s="72">
        <f t="shared" ref="D79:G79" si="8">D77</f>
        <v>1.2535767904787343</v>
      </c>
      <c r="E79" s="72">
        <f t="shared" si="8"/>
        <v>1.161898294272099</v>
      </c>
      <c r="F79" s="72">
        <f t="shared" si="8"/>
        <v>1.1141555478393106</v>
      </c>
      <c r="G79" s="72">
        <f t="shared" si="8"/>
        <v>1.0364587418380753</v>
      </c>
      <c r="H79" s="72">
        <f>G79</f>
        <v>1.0364587418380753</v>
      </c>
      <c r="I79" s="2"/>
      <c r="J79" s="2"/>
      <c r="K79" s="2"/>
      <c r="L79" s="2"/>
    </row>
    <row r="80" spans="1:12">
      <c r="A80" s="2"/>
      <c r="B80" s="2" t="s">
        <v>204</v>
      </c>
      <c r="C80" s="72">
        <f>D80*C79</f>
        <v>2.6421921301733993</v>
      </c>
      <c r="D80" s="72">
        <f>E80*D79</f>
        <v>1.7432871212780945</v>
      </c>
      <c r="E80" s="72">
        <f>F80*E79</f>
        <v>1.3906504448062911</v>
      </c>
      <c r="F80" s="72">
        <f>G80*F79</f>
        <v>1.1968779467720105</v>
      </c>
      <c r="G80" s="72">
        <f>H80*G79</f>
        <v>1.0742467235325661</v>
      </c>
      <c r="H80" s="72">
        <f>H79</f>
        <v>1.0364587418380753</v>
      </c>
      <c r="I80" s="2"/>
      <c r="J80" s="2"/>
      <c r="K80" s="2"/>
      <c r="L80" s="2"/>
    </row>
    <row r="81" spans="1: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1:13">
      <c r="A82" s="2"/>
      <c r="B82" s="2" t="s">
        <v>202</v>
      </c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1: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1:13" ht="31.2">
      <c r="A84" s="2"/>
      <c r="B84" s="73" t="s">
        <v>190</v>
      </c>
      <c r="C84" s="74" t="s">
        <v>24</v>
      </c>
      <c r="D84" s="74" t="s">
        <v>194</v>
      </c>
      <c r="E84" s="74" t="s">
        <v>195</v>
      </c>
      <c r="F84" s="74" t="s">
        <v>26</v>
      </c>
      <c r="G84" s="74" t="s">
        <v>196</v>
      </c>
      <c r="H84"/>
      <c r="I84" s="2"/>
      <c r="J84" s="2"/>
      <c r="K84" s="2"/>
      <c r="L84" s="2"/>
    </row>
    <row r="85" spans="1:13">
      <c r="A85" s="2"/>
      <c r="B85" s="70">
        <v>2024</v>
      </c>
      <c r="C85" s="75">
        <f>C30</f>
        <v>3725398</v>
      </c>
      <c r="D85" s="71">
        <f>C80</f>
        <v>2.6421921301733993</v>
      </c>
      <c r="E85" s="75">
        <f t="shared" ref="E85" si="9">D85*C85</f>
        <v>9843217.2773637213</v>
      </c>
      <c r="F85" s="75">
        <f>C39</f>
        <v>6055138</v>
      </c>
      <c r="G85" s="76">
        <f t="shared" ref="G85" si="10">E85-F85</f>
        <v>3788079.2773637213</v>
      </c>
      <c r="H85"/>
      <c r="I85" s="2"/>
      <c r="J85" s="2"/>
      <c r="K85" s="2"/>
      <c r="L85" s="2"/>
    </row>
    <row r="86" spans="1:13">
      <c r="M86" s="2"/>
    </row>
    <row r="87" spans="1:13">
      <c r="A87" s="17" t="s">
        <v>2</v>
      </c>
      <c r="B87" s="4" t="s">
        <v>29</v>
      </c>
      <c r="C87" s="4"/>
      <c r="D87" s="4"/>
      <c r="E87" s="4"/>
      <c r="F87" s="4"/>
      <c r="G87" s="4"/>
      <c r="H87" s="4"/>
      <c r="I87" s="4"/>
      <c r="J87" s="4"/>
      <c r="K87" s="4"/>
      <c r="L87" s="4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1:13">
      <c r="A89" s="2" t="s">
        <v>1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1:13">
      <c r="B91" s="2" t="s">
        <v>205</v>
      </c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1:13">
      <c r="B92" s="2" t="s">
        <v>206</v>
      </c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1:13">
      <c r="B93" s="2" t="s">
        <v>207</v>
      </c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1:13">
      <c r="B94" s="1" t="s">
        <v>208</v>
      </c>
    </row>
    <row r="96" spans="1:13" ht="15.6" customHeight="1">
      <c r="A96" s="17" t="s">
        <v>3</v>
      </c>
      <c r="B96" s="4" t="s">
        <v>30</v>
      </c>
      <c r="C96" s="55"/>
      <c r="D96" s="55"/>
      <c r="E96" s="55"/>
      <c r="F96" s="55"/>
      <c r="G96" s="55"/>
      <c r="H96" s="55"/>
      <c r="I96" s="55"/>
      <c r="J96" s="55"/>
      <c r="K96" s="55"/>
      <c r="L96" s="55"/>
    </row>
    <row r="97" spans="1:1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1:12">
      <c r="A98" s="2" t="s">
        <v>1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1:1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1:12">
      <c r="A100" s="2"/>
      <c r="B100" s="58" t="s">
        <v>177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1:12">
      <c r="A101" s="2"/>
      <c r="B101" s="59" t="s">
        <v>217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1:1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1:12">
      <c r="A103" s="2"/>
      <c r="B103" s="56" t="s">
        <v>210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1:12">
      <c r="B104" s="1" t="s">
        <v>212</v>
      </c>
    </row>
    <row r="105" spans="1:12">
      <c r="B105" s="1" t="s">
        <v>211</v>
      </c>
    </row>
    <row r="106" spans="1:12">
      <c r="B106" s="1" t="s">
        <v>209</v>
      </c>
    </row>
    <row r="107" spans="1:12">
      <c r="B107" s="1" t="s">
        <v>213</v>
      </c>
    </row>
    <row r="108" spans="1:12">
      <c r="B108" s="1" t="s">
        <v>214</v>
      </c>
    </row>
  </sheetData>
  <mergeCells count="6">
    <mergeCell ref="C69:G69"/>
    <mergeCell ref="B5:L6"/>
    <mergeCell ref="C23:H23"/>
    <mergeCell ref="C32:H32"/>
    <mergeCell ref="B65:L66"/>
    <mergeCell ref="C47:H4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D82C5-E4DF-4E42-9474-142E5B32B0EB}">
  <dimension ref="A1:R67"/>
  <sheetViews>
    <sheetView zoomScaleNormal="100" workbookViewId="0"/>
  </sheetViews>
  <sheetFormatPr defaultRowHeight="15.6"/>
  <cols>
    <col min="1" max="1" width="10.77734375" style="1" customWidth="1"/>
    <col min="2" max="2" width="12.77734375" style="1" customWidth="1"/>
    <col min="3" max="3" width="14.21875" style="1" customWidth="1"/>
    <col min="4" max="7" width="12.77734375" style="1" customWidth="1"/>
    <col min="8" max="8" width="15.88671875" style="1" customWidth="1"/>
    <col min="9" max="9" width="12.77734375" style="1" customWidth="1"/>
    <col min="10" max="10" width="17.6640625" style="1" customWidth="1"/>
    <col min="11" max="12" width="10.77734375" style="1" customWidth="1"/>
    <col min="13" max="16384" width="8.88671875" style="1"/>
  </cols>
  <sheetData>
    <row r="1" spans="1:18" ht="17.399999999999999">
      <c r="A1" s="13" t="s">
        <v>31</v>
      </c>
      <c r="B1" s="4"/>
      <c r="C1" s="4" t="s">
        <v>6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32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8">
      <c r="A5" s="17" t="s">
        <v>4</v>
      </c>
      <c r="B5" s="4" t="s">
        <v>33</v>
      </c>
      <c r="C5" s="4"/>
      <c r="D5" s="4"/>
      <c r="E5" s="4"/>
      <c r="F5" s="4"/>
      <c r="G5" s="4"/>
      <c r="H5" s="4"/>
      <c r="I5" s="4"/>
      <c r="J5" s="4"/>
      <c r="K5" s="4"/>
      <c r="L5" s="4"/>
      <c r="M5" s="3"/>
      <c r="N5" s="3"/>
      <c r="O5" s="3"/>
      <c r="P5" s="3"/>
      <c r="Q5" s="3"/>
      <c r="R5" s="3"/>
    </row>
    <row r="6" spans="1:1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8">
      <c r="A7" s="2" t="s">
        <v>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8">
      <c r="A8" s="2"/>
      <c r="B8" s="1" t="s">
        <v>218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8">
      <c r="A9" s="2"/>
      <c r="B9" s="1" t="s">
        <v>219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8">
      <c r="B10" s="1" t="s">
        <v>220</v>
      </c>
      <c r="M10" s="3"/>
    </row>
    <row r="11" spans="1:18">
      <c r="M11" s="3"/>
    </row>
    <row r="12" spans="1:18">
      <c r="B12" s="1" t="s">
        <v>221</v>
      </c>
      <c r="M12" s="3"/>
    </row>
    <row r="13" spans="1:18">
      <c r="B13" s="1" t="s">
        <v>236</v>
      </c>
      <c r="M13" s="3"/>
    </row>
    <row r="14" spans="1:18">
      <c r="B14" s="1" t="s">
        <v>222</v>
      </c>
      <c r="M14" s="3"/>
    </row>
    <row r="15" spans="1:18">
      <c r="M15" s="3"/>
    </row>
    <row r="16" spans="1:18">
      <c r="A16" s="17" t="s">
        <v>5</v>
      </c>
      <c r="B16" s="4" t="s">
        <v>34</v>
      </c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3">
      <c r="A18" s="2" t="s">
        <v>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3">
      <c r="A19" s="2"/>
      <c r="B19" s="2" t="s">
        <v>218</v>
      </c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3">
      <c r="A20" s="2"/>
      <c r="B20" s="2" t="s">
        <v>237</v>
      </c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>
      <c r="A22" s="2"/>
      <c r="B22" s="2" t="s">
        <v>221</v>
      </c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>
      <c r="A23" s="2"/>
      <c r="B23" s="2" t="s">
        <v>223</v>
      </c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>
      <c r="M24" s="2"/>
    </row>
    <row r="25" spans="1:13">
      <c r="A25" s="4" t="s">
        <v>35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2"/>
    </row>
    <row r="26" spans="1:1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2"/>
    </row>
    <row r="27" spans="1:13">
      <c r="A27" s="4"/>
      <c r="B27" s="163" t="s">
        <v>12</v>
      </c>
      <c r="C27" s="163" t="s">
        <v>36</v>
      </c>
      <c r="D27" s="164" t="s">
        <v>37</v>
      </c>
      <c r="E27" s="164"/>
      <c r="F27" s="4"/>
      <c r="G27" s="4"/>
      <c r="H27" s="4"/>
      <c r="I27" s="4"/>
      <c r="J27" s="4"/>
      <c r="K27" s="4"/>
      <c r="L27" s="4"/>
      <c r="M27" s="2"/>
    </row>
    <row r="28" spans="1:13">
      <c r="A28" s="4"/>
      <c r="B28" s="163"/>
      <c r="C28" s="163"/>
      <c r="D28" s="18" t="s">
        <v>38</v>
      </c>
      <c r="E28" s="18" t="s">
        <v>39</v>
      </c>
      <c r="F28" s="4"/>
      <c r="G28" s="4"/>
      <c r="H28" s="4"/>
      <c r="I28" s="4"/>
      <c r="J28" s="4"/>
      <c r="K28" s="4"/>
      <c r="L28" s="4"/>
      <c r="M28" s="2"/>
    </row>
    <row r="29" spans="1:13">
      <c r="A29" s="4"/>
      <c r="B29" s="19">
        <v>2015</v>
      </c>
      <c r="C29" s="20">
        <v>21923</v>
      </c>
      <c r="D29" s="19">
        <v>1</v>
      </c>
      <c r="E29" s="20">
        <v>350000</v>
      </c>
      <c r="F29" s="4"/>
      <c r="G29" s="4"/>
      <c r="H29" s="4"/>
      <c r="I29" s="4"/>
      <c r="J29" s="4"/>
      <c r="K29" s="4"/>
      <c r="L29" s="4"/>
      <c r="M29" s="2"/>
    </row>
    <row r="30" spans="1:13">
      <c r="A30" s="4"/>
      <c r="B30" s="19">
        <v>2016</v>
      </c>
      <c r="C30" s="20">
        <v>22270</v>
      </c>
      <c r="D30" s="19">
        <v>0</v>
      </c>
      <c r="E30" s="19">
        <v>0</v>
      </c>
      <c r="F30" s="4"/>
      <c r="G30" s="4"/>
      <c r="H30" s="4"/>
      <c r="I30" s="4"/>
      <c r="J30" s="4"/>
      <c r="K30" s="4"/>
      <c r="L30" s="4"/>
      <c r="M30" s="2"/>
    </row>
    <row r="31" spans="1:13">
      <c r="A31" s="4"/>
      <c r="B31" s="19">
        <v>2017</v>
      </c>
      <c r="C31" s="20">
        <v>22724</v>
      </c>
      <c r="D31" s="19">
        <v>0</v>
      </c>
      <c r="E31" s="19">
        <v>0</v>
      </c>
      <c r="F31" s="4"/>
      <c r="G31" s="4"/>
      <c r="H31" s="4"/>
      <c r="I31" s="4"/>
      <c r="J31" s="4"/>
      <c r="K31" s="4"/>
      <c r="L31" s="4"/>
      <c r="M31" s="2"/>
    </row>
    <row r="32" spans="1:13">
      <c r="A32" s="4"/>
      <c r="B32" s="19">
        <v>2018</v>
      </c>
      <c r="C32" s="20">
        <v>23127</v>
      </c>
      <c r="D32" s="19">
        <v>2</v>
      </c>
      <c r="E32" s="20">
        <v>1210000</v>
      </c>
      <c r="F32" s="4"/>
      <c r="G32" s="4"/>
      <c r="H32" s="4"/>
      <c r="I32" s="4"/>
      <c r="J32" s="4"/>
      <c r="K32" s="4"/>
      <c r="L32" s="4"/>
      <c r="M32" s="2"/>
    </row>
    <row r="33" spans="1:13">
      <c r="A33" s="4"/>
      <c r="B33" s="19">
        <v>2019</v>
      </c>
      <c r="C33" s="20">
        <v>23503</v>
      </c>
      <c r="D33" s="19">
        <v>0</v>
      </c>
      <c r="E33" s="19">
        <v>0</v>
      </c>
      <c r="F33" s="4"/>
      <c r="G33" s="4"/>
      <c r="H33" s="4"/>
      <c r="I33" s="4"/>
      <c r="J33" s="4"/>
      <c r="K33" s="4"/>
      <c r="L33" s="4"/>
      <c r="M33" s="2"/>
    </row>
    <row r="34" spans="1:13">
      <c r="A34" s="4"/>
      <c r="B34" s="19">
        <v>2020</v>
      </c>
      <c r="C34" s="20">
        <v>23901</v>
      </c>
      <c r="D34" s="19">
        <v>0</v>
      </c>
      <c r="E34" s="19">
        <v>0</v>
      </c>
      <c r="F34" s="4"/>
      <c r="G34" s="4"/>
      <c r="H34" s="4"/>
      <c r="I34" s="4"/>
      <c r="J34" s="4"/>
      <c r="K34" s="4"/>
      <c r="L34" s="4"/>
      <c r="M34" s="2"/>
    </row>
    <row r="35" spans="1:13">
      <c r="A35" s="4"/>
      <c r="B35" s="19">
        <v>2021</v>
      </c>
      <c r="C35" s="20">
        <v>24179</v>
      </c>
      <c r="D35" s="19">
        <v>0</v>
      </c>
      <c r="E35" s="19">
        <v>0</v>
      </c>
      <c r="F35" s="4"/>
      <c r="G35" s="4"/>
      <c r="H35" s="4"/>
      <c r="I35" s="4"/>
      <c r="J35" s="4"/>
      <c r="K35" s="4"/>
      <c r="L35" s="4"/>
      <c r="M35" s="2"/>
    </row>
    <row r="36" spans="1:13">
      <c r="A36" s="4"/>
      <c r="B36" s="19">
        <v>2022</v>
      </c>
      <c r="C36" s="20">
        <v>24433</v>
      </c>
      <c r="D36" s="19">
        <v>3</v>
      </c>
      <c r="E36" s="20">
        <v>760000</v>
      </c>
      <c r="F36" s="4"/>
      <c r="G36" s="4"/>
      <c r="H36" s="4"/>
      <c r="I36" s="4"/>
      <c r="J36" s="4"/>
      <c r="K36" s="4"/>
      <c r="L36" s="4"/>
      <c r="M36" s="2"/>
    </row>
    <row r="37" spans="1:13">
      <c r="A37" s="4"/>
      <c r="B37" s="19">
        <v>2023</v>
      </c>
      <c r="C37" s="20">
        <v>24752</v>
      </c>
      <c r="D37" s="19">
        <v>0</v>
      </c>
      <c r="E37" s="19">
        <v>0</v>
      </c>
      <c r="F37" s="4"/>
      <c r="G37" s="4"/>
      <c r="H37" s="4"/>
      <c r="I37" s="4"/>
      <c r="J37" s="4"/>
      <c r="K37" s="4"/>
      <c r="L37" s="4"/>
      <c r="M37" s="2"/>
    </row>
    <row r="38" spans="1:13">
      <c r="A38" s="4"/>
      <c r="B38" s="19">
        <v>2024</v>
      </c>
      <c r="C38" s="20">
        <v>25392</v>
      </c>
      <c r="D38" s="19">
        <v>4</v>
      </c>
      <c r="E38" s="20">
        <v>900000</v>
      </c>
      <c r="F38" s="4"/>
      <c r="G38" s="4"/>
      <c r="H38" s="4"/>
      <c r="I38" s="4"/>
      <c r="J38" s="4"/>
      <c r="K38" s="4"/>
      <c r="L38" s="4"/>
      <c r="M38" s="2"/>
    </row>
    <row r="39" spans="1:1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2"/>
    </row>
    <row r="40" spans="1:13">
      <c r="A40" s="4"/>
      <c r="B40" s="29" t="s">
        <v>45</v>
      </c>
      <c r="C40" s="4"/>
      <c r="D40" s="4"/>
      <c r="E40" s="31">
        <v>46113</v>
      </c>
      <c r="F40" s="4" t="s">
        <v>44</v>
      </c>
      <c r="G40" s="4"/>
      <c r="H40" s="4"/>
      <c r="I40" s="4"/>
      <c r="J40" s="4"/>
      <c r="K40" s="4"/>
      <c r="L40" s="4"/>
      <c r="M40" s="2"/>
    </row>
    <row r="41" spans="1:13">
      <c r="A41" s="4"/>
      <c r="B41" s="29" t="s">
        <v>40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2"/>
    </row>
    <row r="42" spans="1:13">
      <c r="A42" s="4"/>
      <c r="B42" s="29" t="s">
        <v>46</v>
      </c>
      <c r="C42" s="4"/>
      <c r="D42" s="4"/>
      <c r="E42" s="32">
        <v>7.0000000000000007E-2</v>
      </c>
      <c r="F42" s="4"/>
      <c r="G42" s="4"/>
      <c r="H42" s="4"/>
      <c r="I42" s="4"/>
      <c r="J42" s="4"/>
      <c r="K42" s="4"/>
      <c r="L42" s="4"/>
      <c r="M42" s="2"/>
    </row>
    <row r="43" spans="1:13">
      <c r="A43" s="4"/>
      <c r="B43" s="29" t="s">
        <v>47</v>
      </c>
      <c r="C43" s="4"/>
      <c r="D43" s="4"/>
      <c r="E43" s="32">
        <v>-0.01</v>
      </c>
      <c r="F43" s="4"/>
      <c r="G43" s="4"/>
      <c r="H43" s="4"/>
      <c r="I43" s="4"/>
      <c r="J43" s="4"/>
      <c r="K43" s="4"/>
      <c r="L43" s="4"/>
      <c r="M43" s="2"/>
    </row>
    <row r="44" spans="1:13">
      <c r="A44" s="4"/>
      <c r="B44" s="29" t="s">
        <v>48</v>
      </c>
      <c r="C44" s="4"/>
      <c r="D44" s="4"/>
      <c r="E44" s="4"/>
      <c r="F44" s="33">
        <v>17500000</v>
      </c>
      <c r="G44" s="4"/>
      <c r="H44" s="4"/>
      <c r="I44" s="4"/>
      <c r="J44" s="4"/>
      <c r="K44" s="4"/>
      <c r="L44" s="4"/>
      <c r="M44" s="2"/>
    </row>
    <row r="46" spans="1:13">
      <c r="A46" s="17" t="s">
        <v>0</v>
      </c>
      <c r="B46" s="4" t="s">
        <v>41</v>
      </c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3">
      <c r="A48" s="2" t="s">
        <v>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>
      <c r="A49" s="2"/>
      <c r="B49" s="2"/>
      <c r="C49" s="2"/>
      <c r="D49" s="165" t="s">
        <v>37</v>
      </c>
      <c r="E49" s="165"/>
      <c r="F49" s="2"/>
      <c r="G49" s="2"/>
      <c r="H49" s="2"/>
      <c r="I49" s="2"/>
      <c r="J49" s="2"/>
      <c r="K49" s="2"/>
      <c r="L49" s="2"/>
    </row>
    <row r="50" spans="1:12" ht="31.2">
      <c r="B50" s="74" t="s">
        <v>12</v>
      </c>
      <c r="C50" s="74" t="s">
        <v>225</v>
      </c>
      <c r="D50" s="74" t="s">
        <v>38</v>
      </c>
      <c r="E50" s="74" t="s">
        <v>39</v>
      </c>
      <c r="F50" s="74" t="s">
        <v>226</v>
      </c>
      <c r="G50" s="74" t="s">
        <v>227</v>
      </c>
      <c r="H50" s="74" t="s">
        <v>228</v>
      </c>
      <c r="I50" s="74" t="s">
        <v>231</v>
      </c>
      <c r="J50" s="74" t="s">
        <v>229</v>
      </c>
    </row>
    <row r="51" spans="1:12">
      <c r="B51" s="78">
        <v>2015</v>
      </c>
      <c r="C51" s="75">
        <f t="shared" ref="C51:E60" si="0">C29</f>
        <v>21923</v>
      </c>
      <c r="D51" s="75">
        <f t="shared" si="0"/>
        <v>1</v>
      </c>
      <c r="E51" s="75">
        <f t="shared" si="0"/>
        <v>350000</v>
      </c>
      <c r="F51" s="84">
        <f t="shared" ref="F51:F60" si="1">DATE(B51,7,1)</f>
        <v>42186</v>
      </c>
      <c r="G51" s="84">
        <f>DATE(1+YEAR($E$40),MONTH($E$40),DAY($E$40))</f>
        <v>46478</v>
      </c>
      <c r="H51" s="78">
        <f>(12*YEAR(G51)+MONTH(G51))-(12*YEAR(F51)+MONTH(F51))</f>
        <v>141</v>
      </c>
      <c r="I51" s="79">
        <f>(1+$E$42)^(H51/12)</f>
        <v>2.2144169028589715</v>
      </c>
      <c r="J51" s="75">
        <f t="shared" ref="J51:J60" si="2">I51*$E51</f>
        <v>775045.91600064002</v>
      </c>
    </row>
    <row r="52" spans="1:12">
      <c r="B52" s="78">
        <f>B51+1</f>
        <v>2016</v>
      </c>
      <c r="C52" s="75">
        <f t="shared" si="0"/>
        <v>22270</v>
      </c>
      <c r="D52" s="75">
        <f t="shared" si="0"/>
        <v>0</v>
      </c>
      <c r="E52" s="75">
        <f t="shared" si="0"/>
        <v>0</v>
      </c>
      <c r="F52" s="84">
        <f t="shared" si="1"/>
        <v>42552</v>
      </c>
      <c r="G52" s="84">
        <f t="shared" ref="G52:G60" si="3">DATE(1+YEAR($E$40),MONTH($E$40),DAY($E$40))</f>
        <v>46478</v>
      </c>
      <c r="H52" s="78">
        <f t="shared" ref="H52:H60" si="4">(12*YEAR(G52)+MONTH(G52))-(12*YEAR(F52)+MONTH(F52))</f>
        <v>129</v>
      </c>
      <c r="I52" s="79">
        <f t="shared" ref="I52:I60" si="5">(1+$E$42)^(H52/12)</f>
        <v>2.069548507344833</v>
      </c>
      <c r="J52" s="75">
        <f t="shared" si="2"/>
        <v>0</v>
      </c>
    </row>
    <row r="53" spans="1:12">
      <c r="B53" s="78">
        <f t="shared" ref="B53:B60" si="6">B52+1</f>
        <v>2017</v>
      </c>
      <c r="C53" s="75">
        <f t="shared" si="0"/>
        <v>22724</v>
      </c>
      <c r="D53" s="75">
        <f t="shared" si="0"/>
        <v>0</v>
      </c>
      <c r="E53" s="75">
        <f t="shared" si="0"/>
        <v>0</v>
      </c>
      <c r="F53" s="84">
        <f t="shared" si="1"/>
        <v>42917</v>
      </c>
      <c r="G53" s="84">
        <f t="shared" si="3"/>
        <v>46478</v>
      </c>
      <c r="H53" s="78">
        <f t="shared" si="4"/>
        <v>117</v>
      </c>
      <c r="I53" s="79">
        <f t="shared" si="5"/>
        <v>1.9341574834998438</v>
      </c>
      <c r="J53" s="75">
        <f t="shared" si="2"/>
        <v>0</v>
      </c>
    </row>
    <row r="54" spans="1:12">
      <c r="B54" s="78">
        <f t="shared" si="6"/>
        <v>2018</v>
      </c>
      <c r="C54" s="75">
        <f t="shared" si="0"/>
        <v>23127</v>
      </c>
      <c r="D54" s="75">
        <f t="shared" si="0"/>
        <v>2</v>
      </c>
      <c r="E54" s="75">
        <f t="shared" si="0"/>
        <v>1210000</v>
      </c>
      <c r="F54" s="84">
        <f t="shared" si="1"/>
        <v>43282</v>
      </c>
      <c r="G54" s="84">
        <f t="shared" si="3"/>
        <v>46478</v>
      </c>
      <c r="H54" s="78">
        <f t="shared" si="4"/>
        <v>105</v>
      </c>
      <c r="I54" s="79">
        <f t="shared" si="5"/>
        <v>1.8076238163549943</v>
      </c>
      <c r="J54" s="75">
        <f t="shared" si="2"/>
        <v>2187224.817789543</v>
      </c>
    </row>
    <row r="55" spans="1:12">
      <c r="B55" s="78">
        <f t="shared" si="6"/>
        <v>2019</v>
      </c>
      <c r="C55" s="75">
        <f t="shared" si="0"/>
        <v>23503</v>
      </c>
      <c r="D55" s="75">
        <f t="shared" si="0"/>
        <v>0</v>
      </c>
      <c r="E55" s="75">
        <f t="shared" si="0"/>
        <v>0</v>
      </c>
      <c r="F55" s="84">
        <f t="shared" si="1"/>
        <v>43647</v>
      </c>
      <c r="G55" s="84">
        <f t="shared" si="3"/>
        <v>46478</v>
      </c>
      <c r="H55" s="78">
        <f t="shared" si="4"/>
        <v>93</v>
      </c>
      <c r="I55" s="79">
        <f t="shared" si="5"/>
        <v>1.6893680526682189</v>
      </c>
      <c r="J55" s="75">
        <f t="shared" si="2"/>
        <v>0</v>
      </c>
    </row>
    <row r="56" spans="1:12">
      <c r="B56" s="78">
        <f t="shared" si="6"/>
        <v>2020</v>
      </c>
      <c r="C56" s="75">
        <f t="shared" si="0"/>
        <v>23901</v>
      </c>
      <c r="D56" s="75">
        <f t="shared" si="0"/>
        <v>0</v>
      </c>
      <c r="E56" s="75">
        <f t="shared" si="0"/>
        <v>0</v>
      </c>
      <c r="F56" s="84">
        <f t="shared" si="1"/>
        <v>44013</v>
      </c>
      <c r="G56" s="84">
        <f t="shared" si="3"/>
        <v>46478</v>
      </c>
      <c r="H56" s="78">
        <f t="shared" si="4"/>
        <v>81</v>
      </c>
      <c r="I56" s="79">
        <f t="shared" si="5"/>
        <v>1.5788486473534753</v>
      </c>
      <c r="J56" s="75">
        <f t="shared" si="2"/>
        <v>0</v>
      </c>
    </row>
    <row r="57" spans="1:12">
      <c r="B57" s="78">
        <f t="shared" si="6"/>
        <v>2021</v>
      </c>
      <c r="C57" s="75">
        <f t="shared" si="0"/>
        <v>24179</v>
      </c>
      <c r="D57" s="75">
        <f t="shared" si="0"/>
        <v>0</v>
      </c>
      <c r="E57" s="75">
        <f t="shared" si="0"/>
        <v>0</v>
      </c>
      <c r="F57" s="84">
        <f t="shared" si="1"/>
        <v>44378</v>
      </c>
      <c r="G57" s="84">
        <f t="shared" si="3"/>
        <v>46478</v>
      </c>
      <c r="H57" s="78">
        <f t="shared" si="4"/>
        <v>69</v>
      </c>
      <c r="I57" s="79">
        <f t="shared" si="5"/>
        <v>1.4755594835079209</v>
      </c>
      <c r="J57" s="75">
        <f t="shared" si="2"/>
        <v>0</v>
      </c>
    </row>
    <row r="58" spans="1:12">
      <c r="B58" s="78">
        <f t="shared" si="6"/>
        <v>2022</v>
      </c>
      <c r="C58" s="75">
        <f t="shared" si="0"/>
        <v>24433</v>
      </c>
      <c r="D58" s="75">
        <f t="shared" si="0"/>
        <v>3</v>
      </c>
      <c r="E58" s="75">
        <f t="shared" si="0"/>
        <v>760000</v>
      </c>
      <c r="F58" s="84">
        <f t="shared" si="1"/>
        <v>44743</v>
      </c>
      <c r="G58" s="84">
        <f t="shared" si="3"/>
        <v>46478</v>
      </c>
      <c r="H58" s="78">
        <f t="shared" si="4"/>
        <v>57</v>
      </c>
      <c r="I58" s="79">
        <f t="shared" si="5"/>
        <v>1.3790275546802997</v>
      </c>
      <c r="J58" s="75">
        <f t="shared" si="2"/>
        <v>1048060.9415570277</v>
      </c>
    </row>
    <row r="59" spans="1:12">
      <c r="B59" s="78">
        <f t="shared" si="6"/>
        <v>2023</v>
      </c>
      <c r="C59" s="75">
        <f t="shared" si="0"/>
        <v>24752</v>
      </c>
      <c r="D59" s="75">
        <f t="shared" si="0"/>
        <v>0</v>
      </c>
      <c r="E59" s="75">
        <f t="shared" si="0"/>
        <v>0</v>
      </c>
      <c r="F59" s="84">
        <f t="shared" si="1"/>
        <v>45108</v>
      </c>
      <c r="G59" s="84">
        <f t="shared" si="3"/>
        <v>46478</v>
      </c>
      <c r="H59" s="78">
        <f t="shared" si="4"/>
        <v>45</v>
      </c>
      <c r="I59" s="79">
        <f t="shared" si="5"/>
        <v>1.2888107987666353</v>
      </c>
      <c r="J59" s="75">
        <f t="shared" si="2"/>
        <v>0</v>
      </c>
    </row>
    <row r="60" spans="1:12">
      <c r="B60" s="73">
        <f t="shared" si="6"/>
        <v>2024</v>
      </c>
      <c r="C60" s="80">
        <f t="shared" si="0"/>
        <v>25392</v>
      </c>
      <c r="D60" s="80">
        <f t="shared" si="0"/>
        <v>4</v>
      </c>
      <c r="E60" s="80">
        <f t="shared" si="0"/>
        <v>900000</v>
      </c>
      <c r="F60" s="81">
        <f t="shared" si="1"/>
        <v>45474</v>
      </c>
      <c r="G60" s="81">
        <f t="shared" si="3"/>
        <v>46478</v>
      </c>
      <c r="H60" s="73">
        <f t="shared" si="4"/>
        <v>33</v>
      </c>
      <c r="I60" s="82">
        <f t="shared" si="5"/>
        <v>1.2044960736136776</v>
      </c>
      <c r="J60" s="80">
        <f t="shared" si="2"/>
        <v>1084046.4662523097</v>
      </c>
    </row>
    <row r="61" spans="1:12">
      <c r="B61" s="78" t="s">
        <v>230</v>
      </c>
      <c r="C61" s="75">
        <f>SUM(C51:C60)</f>
        <v>236204</v>
      </c>
      <c r="D61" s="75">
        <f>SUM(D51:D60)</f>
        <v>10</v>
      </c>
      <c r="E61" s="75">
        <f>SUM(E51:E60)</f>
        <v>3220000</v>
      </c>
      <c r="F61" s="78"/>
      <c r="G61" s="78"/>
      <c r="H61" s="78"/>
      <c r="I61" s="78"/>
      <c r="J61" s="75">
        <f>SUM(J51:J60)</f>
        <v>5094378.141599521</v>
      </c>
    </row>
    <row r="62" spans="1:12">
      <c r="G62" s="85"/>
      <c r="H62" s="85"/>
      <c r="I62" s="85"/>
      <c r="J62" s="85"/>
    </row>
    <row r="63" spans="1:12">
      <c r="G63" s="1" t="s">
        <v>233</v>
      </c>
      <c r="J63" s="71">
        <f>J61/$C61</f>
        <v>21.567704787385146</v>
      </c>
    </row>
    <row r="64" spans="1:12">
      <c r="G64" s="1" t="s">
        <v>232</v>
      </c>
      <c r="J64" s="75">
        <f>C60</f>
        <v>25392</v>
      </c>
    </row>
    <row r="65" spans="3:10">
      <c r="G65" s="1" t="s">
        <v>234</v>
      </c>
      <c r="J65" s="75">
        <f>J63*J64</f>
        <v>547647.15996128367</v>
      </c>
    </row>
    <row r="66" spans="3:10">
      <c r="G66" s="1" t="s">
        <v>224</v>
      </c>
      <c r="J66" s="75">
        <f>F44</f>
        <v>17500000</v>
      </c>
    </row>
    <row r="67" spans="3:10">
      <c r="C67" s="86"/>
      <c r="D67" s="86"/>
      <c r="G67" s="1" t="s">
        <v>235</v>
      </c>
      <c r="J67" s="83">
        <f>J65/J66</f>
        <v>3.1294123426359066E-2</v>
      </c>
    </row>
  </sheetData>
  <mergeCells count="4">
    <mergeCell ref="B27:B28"/>
    <mergeCell ref="C27:C28"/>
    <mergeCell ref="D27:E27"/>
    <mergeCell ref="D49:E49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397CC-39C7-45B0-B2E0-5CAC8DEE7F5F}">
  <dimension ref="A1:R49"/>
  <sheetViews>
    <sheetView zoomScaleNormal="100" workbookViewId="0"/>
  </sheetViews>
  <sheetFormatPr defaultRowHeight="15.6"/>
  <cols>
    <col min="1" max="8" width="9.77734375" style="1" customWidth="1"/>
    <col min="9" max="9" width="11.21875" style="1" customWidth="1"/>
    <col min="10" max="12" width="9.77734375" style="1" customWidth="1"/>
    <col min="13" max="16384" width="8.88671875" style="1"/>
  </cols>
  <sheetData>
    <row r="1" spans="1:18" ht="17.399999999999999">
      <c r="A1" s="13" t="s">
        <v>49</v>
      </c>
      <c r="B1" s="4"/>
      <c r="C1" s="4" t="s">
        <v>10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50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8">
      <c r="A5" s="15"/>
      <c r="B5" s="29" t="s">
        <v>172</v>
      </c>
      <c r="C5" s="4"/>
      <c r="D5" s="4"/>
      <c r="E5" s="4"/>
      <c r="F5" s="4"/>
      <c r="G5" s="4"/>
      <c r="H5" s="4"/>
      <c r="I5" s="35">
        <v>5600</v>
      </c>
      <c r="J5" s="4"/>
      <c r="K5" s="4"/>
      <c r="L5" s="4"/>
    </row>
    <row r="6" spans="1:18">
      <c r="A6" s="15"/>
      <c r="B6" s="29" t="s">
        <v>57</v>
      </c>
      <c r="C6" s="4"/>
      <c r="D6" s="4"/>
      <c r="E6" s="4"/>
      <c r="F6" s="4"/>
      <c r="G6" s="4"/>
      <c r="H6" s="4"/>
      <c r="I6" s="35">
        <v>1200</v>
      </c>
      <c r="J6" s="4"/>
      <c r="K6" s="4"/>
      <c r="L6" s="4"/>
    </row>
    <row r="7" spans="1:18">
      <c r="A7" s="15"/>
      <c r="B7" s="29" t="s">
        <v>59</v>
      </c>
      <c r="C7" s="32">
        <v>0.95</v>
      </c>
      <c r="D7" s="29" t="s">
        <v>58</v>
      </c>
      <c r="E7" s="4"/>
      <c r="F7" s="4"/>
      <c r="G7" s="4"/>
      <c r="H7" s="4"/>
      <c r="I7" s="4"/>
      <c r="J7" s="4"/>
      <c r="K7" s="4"/>
      <c r="L7" s="4"/>
    </row>
    <row r="8" spans="1:18">
      <c r="A8" s="15"/>
      <c r="B8" s="29" t="s">
        <v>173</v>
      </c>
      <c r="C8" s="4"/>
      <c r="D8" s="4"/>
      <c r="E8" s="4"/>
      <c r="F8" s="4"/>
      <c r="G8" s="4"/>
      <c r="H8" s="4"/>
      <c r="I8" s="4"/>
      <c r="J8" s="4"/>
      <c r="K8" s="32">
        <v>0.05</v>
      </c>
      <c r="L8" s="4"/>
    </row>
    <row r="9" spans="1:18">
      <c r="A9" s="4"/>
      <c r="B9" s="29" t="s">
        <v>174</v>
      </c>
      <c r="C9" s="4"/>
      <c r="D9" s="4"/>
      <c r="E9" s="4"/>
      <c r="F9" s="4"/>
      <c r="G9" s="30">
        <v>900</v>
      </c>
      <c r="H9" s="4"/>
      <c r="I9" s="4"/>
      <c r="J9" s="4"/>
      <c r="K9" s="4"/>
      <c r="L9" s="4"/>
    </row>
    <row r="10" spans="1:18">
      <c r="A10" s="4"/>
      <c r="B10" s="29" t="s">
        <v>51</v>
      </c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8">
      <c r="A11" s="15"/>
      <c r="B11" s="29" t="s">
        <v>52</v>
      </c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8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8">
      <c r="A13" s="17" t="s">
        <v>4</v>
      </c>
      <c r="B13" s="4" t="s">
        <v>53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3"/>
      <c r="N13" s="3"/>
      <c r="O13" s="3"/>
      <c r="P13" s="3"/>
      <c r="Q13" s="3"/>
      <c r="R13" s="3"/>
    </row>
    <row r="14" spans="1:18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8">
      <c r="A15" s="2" t="s">
        <v>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8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B17" s="1" t="s">
        <v>247</v>
      </c>
      <c r="I17" s="87">
        <f>I5*C7*0.5</f>
        <v>2660</v>
      </c>
      <c r="M17" s="2"/>
    </row>
    <row r="18" spans="1:13">
      <c r="B18" s="1" t="s">
        <v>238</v>
      </c>
      <c r="I18" s="87">
        <f>I6</f>
        <v>1200</v>
      </c>
      <c r="M18" s="2"/>
    </row>
    <row r="19" spans="1:13">
      <c r="B19" s="1" t="s">
        <v>239</v>
      </c>
      <c r="I19" s="87">
        <f>I17*I18</f>
        <v>3192000</v>
      </c>
      <c r="M19" s="2"/>
    </row>
    <row r="20" spans="1:13">
      <c r="I20" s="87"/>
      <c r="M20" s="2"/>
    </row>
    <row r="21" spans="1:13">
      <c r="B21" s="1" t="s">
        <v>248</v>
      </c>
      <c r="I21" s="87">
        <f>I17</f>
        <v>2660</v>
      </c>
      <c r="M21" s="2"/>
    </row>
    <row r="22" spans="1:13">
      <c r="B22" s="1" t="s">
        <v>240</v>
      </c>
      <c r="I22" s="87">
        <f>I18*(1+K8)</f>
        <v>1260</v>
      </c>
      <c r="M22" s="2"/>
    </row>
    <row r="23" spans="1:13">
      <c r="B23" s="1" t="s">
        <v>241</v>
      </c>
      <c r="I23" s="87">
        <f>I21*I22</f>
        <v>3351600</v>
      </c>
      <c r="M23" s="2"/>
    </row>
    <row r="24" spans="1:13">
      <c r="I24" s="87"/>
      <c r="M24" s="2"/>
    </row>
    <row r="25" spans="1:13">
      <c r="B25" s="1" t="s">
        <v>242</v>
      </c>
      <c r="I25" s="87">
        <f>I23+I19</f>
        <v>6543600</v>
      </c>
      <c r="M25" s="2"/>
    </row>
    <row r="26" spans="1:13">
      <c r="M26" s="3"/>
    </row>
    <row r="27" spans="1:13">
      <c r="A27" s="17" t="s">
        <v>5</v>
      </c>
      <c r="B27" s="4" t="s">
        <v>54</v>
      </c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>
      <c r="A29" s="2" t="s">
        <v>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>
      <c r="B31" s="1" t="s">
        <v>249</v>
      </c>
      <c r="H31" s="2"/>
      <c r="I31" s="87">
        <f>0.5*G9</f>
        <v>450</v>
      </c>
      <c r="J31" s="2"/>
      <c r="K31" s="2"/>
      <c r="L31" s="2"/>
    </row>
    <row r="32" spans="1:13">
      <c r="B32" s="1" t="s">
        <v>243</v>
      </c>
      <c r="H32" s="2"/>
      <c r="I32" s="87">
        <f>I18</f>
        <v>1200</v>
      </c>
      <c r="J32" s="2"/>
      <c r="K32" s="2"/>
      <c r="L32" s="2"/>
    </row>
    <row r="33" spans="1:13">
      <c r="B33" s="1" t="s">
        <v>239</v>
      </c>
      <c r="H33" s="2"/>
      <c r="I33" s="87">
        <f>I31*I32</f>
        <v>540000</v>
      </c>
      <c r="J33" s="2"/>
      <c r="K33" s="2"/>
      <c r="L33" s="2"/>
    </row>
    <row r="34" spans="1:13">
      <c r="H34" s="2"/>
      <c r="I34" s="87"/>
      <c r="J34" s="2"/>
      <c r="K34" s="2"/>
      <c r="L34" s="2"/>
    </row>
    <row r="35" spans="1:13">
      <c r="B35" s="1" t="s">
        <v>250</v>
      </c>
      <c r="H35" s="2"/>
      <c r="I35" s="87">
        <f>I31</f>
        <v>450</v>
      </c>
      <c r="J35" s="2"/>
      <c r="K35" s="2"/>
      <c r="L35" s="2"/>
    </row>
    <row r="36" spans="1:13">
      <c r="B36" s="1" t="s">
        <v>244</v>
      </c>
      <c r="H36" s="2"/>
      <c r="I36" s="87">
        <f>I22</f>
        <v>1260</v>
      </c>
      <c r="J36" s="2"/>
      <c r="K36" s="2"/>
      <c r="L36" s="2"/>
    </row>
    <row r="37" spans="1:13">
      <c r="C37" s="88" t="s">
        <v>251</v>
      </c>
      <c r="H37" s="2"/>
      <c r="I37" s="87"/>
      <c r="J37" s="2"/>
      <c r="K37" s="2"/>
      <c r="L37" s="2"/>
    </row>
    <row r="38" spans="1:13">
      <c r="B38" s="1" t="s">
        <v>241</v>
      </c>
      <c r="H38" s="2"/>
      <c r="I38" s="87">
        <f>I35*I36</f>
        <v>567000</v>
      </c>
      <c r="J38" s="2"/>
      <c r="K38" s="2"/>
      <c r="L38" s="2"/>
    </row>
    <row r="39" spans="1:13">
      <c r="H39" s="2"/>
      <c r="I39" s="87"/>
      <c r="J39" s="2"/>
      <c r="K39" s="2"/>
      <c r="L39" s="2"/>
    </row>
    <row r="40" spans="1:13">
      <c r="B40" s="1" t="s">
        <v>242</v>
      </c>
      <c r="H40" s="2"/>
      <c r="I40" s="87">
        <f>I38+I33</f>
        <v>1107000</v>
      </c>
      <c r="J40" s="2"/>
      <c r="K40" s="2"/>
      <c r="L40" s="2"/>
    </row>
    <row r="41" spans="1:13">
      <c r="M41" s="2"/>
    </row>
    <row r="42" spans="1:13">
      <c r="A42" s="34" t="s">
        <v>55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</row>
    <row r="44" spans="1:13">
      <c r="A44" s="17" t="s">
        <v>0</v>
      </c>
      <c r="B44" s="159" t="s">
        <v>56</v>
      </c>
      <c r="C44" s="159"/>
      <c r="D44" s="159"/>
      <c r="E44" s="159"/>
      <c r="F44" s="159"/>
      <c r="G44" s="159"/>
      <c r="H44" s="159"/>
      <c r="I44" s="159"/>
      <c r="J44" s="159"/>
      <c r="K44" s="159"/>
      <c r="L44" s="159"/>
    </row>
    <row r="45" spans="1:13">
      <c r="A45" s="17"/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</row>
    <row r="46" spans="1:1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3">
      <c r="A47" s="2" t="s">
        <v>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3">
      <c r="A48" s="2"/>
      <c r="B48" s="2" t="s">
        <v>245</v>
      </c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>
      <c r="A49" s="2"/>
      <c r="B49" s="2" t="s">
        <v>246</v>
      </c>
      <c r="C49" s="2"/>
      <c r="D49" s="2"/>
      <c r="E49" s="2"/>
      <c r="F49" s="2"/>
      <c r="G49" s="2"/>
      <c r="H49" s="2"/>
      <c r="I49" s="2"/>
      <c r="J49" s="2"/>
      <c r="K49" s="2"/>
      <c r="L49" s="2"/>
    </row>
  </sheetData>
  <mergeCells count="1">
    <mergeCell ref="B44:L45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78A8A-1392-4345-B075-FE11E859CDBF}">
  <dimension ref="A1:R67"/>
  <sheetViews>
    <sheetView zoomScaleNormal="100" workbookViewId="0"/>
  </sheetViews>
  <sheetFormatPr defaultRowHeight="15.6"/>
  <cols>
    <col min="1" max="12" width="12.77734375" style="1" customWidth="1"/>
    <col min="13" max="16384" width="8.88671875" style="1"/>
  </cols>
  <sheetData>
    <row r="1" spans="1:18" ht="17.399999999999999">
      <c r="A1" s="13" t="s">
        <v>60</v>
      </c>
      <c r="B1" s="4"/>
      <c r="C1" s="4" t="s">
        <v>61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34" t="s">
        <v>62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8">
      <c r="A5" s="17" t="s">
        <v>4</v>
      </c>
      <c r="B5" s="4" t="s">
        <v>63</v>
      </c>
      <c r="C5" s="4"/>
      <c r="D5" s="4"/>
      <c r="E5" s="4"/>
      <c r="F5" s="4"/>
      <c r="G5" s="4"/>
      <c r="H5" s="4"/>
      <c r="I5" s="4"/>
      <c r="J5" s="4"/>
      <c r="K5" s="4"/>
      <c r="L5" s="4"/>
      <c r="M5" s="3"/>
      <c r="N5" s="3"/>
      <c r="O5" s="3"/>
      <c r="P5" s="3"/>
      <c r="Q5" s="3"/>
      <c r="R5" s="3"/>
    </row>
    <row r="6" spans="1:1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8">
      <c r="A7" s="2" t="s">
        <v>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8">
      <c r="A9" s="2"/>
      <c r="B9" s="2" t="s">
        <v>273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8">
      <c r="B10" s="2"/>
      <c r="M10" s="3"/>
    </row>
    <row r="11" spans="1:18">
      <c r="B11" s="2" t="s">
        <v>274</v>
      </c>
      <c r="M11" s="3"/>
    </row>
    <row r="12" spans="1:18">
      <c r="M12" s="3"/>
    </row>
    <row r="13" spans="1:18">
      <c r="A13" s="34" t="s">
        <v>176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3"/>
    </row>
    <row r="14" spans="1:18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3"/>
    </row>
    <row r="15" spans="1:18">
      <c r="A15" s="4"/>
      <c r="B15" s="38" t="s">
        <v>64</v>
      </c>
      <c r="C15" s="39"/>
      <c r="D15" s="36">
        <v>0.3</v>
      </c>
      <c r="E15" s="4"/>
      <c r="F15" s="4"/>
      <c r="G15" s="4"/>
      <c r="H15" s="4"/>
      <c r="I15" s="4"/>
      <c r="J15" s="4"/>
      <c r="K15" s="4"/>
      <c r="L15" s="4"/>
      <c r="M15" s="3"/>
    </row>
    <row r="16" spans="1:18">
      <c r="A16" s="4"/>
      <c r="B16" s="42" t="s">
        <v>65</v>
      </c>
      <c r="C16" s="37"/>
      <c r="D16" s="36">
        <v>0.5</v>
      </c>
      <c r="E16" s="4"/>
      <c r="F16" s="4"/>
      <c r="G16" s="4"/>
      <c r="H16" s="4"/>
      <c r="I16" s="4"/>
      <c r="J16" s="4"/>
      <c r="K16" s="4"/>
      <c r="L16" s="4"/>
      <c r="M16" s="3"/>
    </row>
    <row r="17" spans="1:13">
      <c r="A17" s="4"/>
      <c r="B17" s="40" t="s">
        <v>66</v>
      </c>
      <c r="C17" s="41"/>
      <c r="D17" s="36">
        <v>0.2</v>
      </c>
      <c r="E17" s="4"/>
      <c r="F17" s="4"/>
      <c r="G17" s="4"/>
      <c r="H17" s="4"/>
      <c r="I17" s="4"/>
      <c r="J17" s="4"/>
      <c r="K17" s="4"/>
      <c r="L17" s="4"/>
      <c r="M17" s="3"/>
    </row>
    <row r="18" spans="1:1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3"/>
    </row>
    <row r="19" spans="1:13">
      <c r="A19" s="34" t="s">
        <v>67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3"/>
    </row>
    <row r="20" spans="1:1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3"/>
    </row>
    <row r="21" spans="1:13" ht="46.8">
      <c r="A21" s="4"/>
      <c r="B21" s="21" t="s">
        <v>68</v>
      </c>
      <c r="C21" s="21" t="s">
        <v>69</v>
      </c>
      <c r="D21" s="21" t="s">
        <v>70</v>
      </c>
      <c r="E21" s="21" t="s">
        <v>71</v>
      </c>
      <c r="F21" s="4"/>
      <c r="G21" s="4"/>
      <c r="H21" s="4"/>
      <c r="I21" s="4"/>
      <c r="J21" s="4"/>
      <c r="K21" s="4"/>
      <c r="L21" s="4"/>
      <c r="M21" s="3"/>
    </row>
    <row r="22" spans="1:13">
      <c r="A22" s="4"/>
      <c r="B22" s="19">
        <v>2021</v>
      </c>
      <c r="C22" s="20">
        <v>359580</v>
      </c>
      <c r="D22" s="20">
        <v>1180</v>
      </c>
      <c r="E22" s="20">
        <v>1064</v>
      </c>
      <c r="F22" s="4"/>
      <c r="G22" s="4"/>
      <c r="H22" s="4"/>
      <c r="I22" s="4"/>
      <c r="J22" s="4"/>
      <c r="K22" s="4"/>
      <c r="L22" s="4"/>
      <c r="M22" s="3"/>
    </row>
    <row r="23" spans="1:13">
      <c r="A23" s="4"/>
      <c r="B23" s="19">
        <v>2022</v>
      </c>
      <c r="C23" s="20">
        <v>369300</v>
      </c>
      <c r="D23" s="19">
        <v>904</v>
      </c>
      <c r="E23" s="19">
        <v>900</v>
      </c>
      <c r="F23" s="4"/>
      <c r="G23" s="4"/>
      <c r="H23" s="4"/>
      <c r="I23" s="4"/>
      <c r="J23" s="4"/>
      <c r="K23" s="4"/>
      <c r="L23" s="4"/>
      <c r="M23" s="3"/>
    </row>
    <row r="24" spans="1:13">
      <c r="A24" s="4"/>
      <c r="B24" s="19">
        <v>2023</v>
      </c>
      <c r="C24" s="20">
        <v>373500</v>
      </c>
      <c r="D24" s="19">
        <v>860</v>
      </c>
      <c r="E24" s="19">
        <v>838</v>
      </c>
      <c r="F24" s="4"/>
      <c r="G24" s="4"/>
      <c r="H24" s="4"/>
      <c r="I24" s="4"/>
      <c r="J24" s="4"/>
      <c r="K24" s="4"/>
      <c r="L24" s="4"/>
      <c r="M24" s="3"/>
    </row>
    <row r="25" spans="1:13">
      <c r="A25" s="4"/>
      <c r="B25" s="19">
        <v>2024</v>
      </c>
      <c r="C25" s="20">
        <v>393900</v>
      </c>
      <c r="D25" s="19">
        <v>870</v>
      </c>
      <c r="E25" s="19">
        <v>842</v>
      </c>
      <c r="F25" s="4"/>
      <c r="G25" s="4"/>
      <c r="H25" s="4"/>
      <c r="I25" s="4"/>
      <c r="J25" s="4"/>
      <c r="K25" s="4"/>
      <c r="L25" s="4"/>
      <c r="M25" s="3"/>
    </row>
    <row r="26" spans="1:1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3"/>
    </row>
    <row r="27" spans="1:13">
      <c r="A27" s="4"/>
      <c r="B27" s="29" t="s">
        <v>72</v>
      </c>
      <c r="C27" s="4"/>
      <c r="D27" s="4"/>
      <c r="E27" s="4"/>
      <c r="F27" s="43">
        <v>750</v>
      </c>
      <c r="G27" s="4"/>
      <c r="H27" s="4"/>
      <c r="I27" s="4"/>
      <c r="J27" s="4"/>
      <c r="K27" s="4"/>
      <c r="L27" s="4"/>
      <c r="M27" s="3"/>
    </row>
    <row r="28" spans="1:13">
      <c r="A28" s="4"/>
      <c r="B28" s="29" t="s">
        <v>73</v>
      </c>
      <c r="C28" s="4"/>
      <c r="D28" s="4"/>
      <c r="E28" s="4"/>
      <c r="F28" s="32">
        <v>0.03</v>
      </c>
      <c r="G28" s="4"/>
      <c r="H28" s="4"/>
      <c r="I28" s="4"/>
      <c r="J28" s="4"/>
      <c r="K28" s="4"/>
      <c r="L28" s="4"/>
      <c r="M28" s="3"/>
    </row>
    <row r="29" spans="1:13">
      <c r="M29" s="3"/>
    </row>
    <row r="30" spans="1:13">
      <c r="A30" s="17" t="s">
        <v>5</v>
      </c>
      <c r="B30" s="4" t="s">
        <v>74</v>
      </c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>
      <c r="A32" s="2" t="s">
        <v>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3">
      <c r="C34" s="2"/>
      <c r="D34" s="114" t="s">
        <v>38</v>
      </c>
      <c r="E34" s="114"/>
      <c r="F34" s="114"/>
      <c r="G34" s="114"/>
      <c r="H34" s="78" t="s">
        <v>275</v>
      </c>
      <c r="I34" s="78" t="s">
        <v>276</v>
      </c>
      <c r="J34" s="78" t="s">
        <v>277</v>
      </c>
      <c r="K34" s="78" t="s">
        <v>275</v>
      </c>
      <c r="L34" s="2"/>
    </row>
    <row r="35" spans="1:13">
      <c r="B35" s="78" t="s">
        <v>278</v>
      </c>
      <c r="C35" s="78" t="s">
        <v>279</v>
      </c>
      <c r="D35" s="78" t="s">
        <v>280</v>
      </c>
      <c r="E35" s="78"/>
      <c r="F35" s="78"/>
      <c r="G35" s="78" t="s">
        <v>281</v>
      </c>
      <c r="H35" s="78" t="s">
        <v>282</v>
      </c>
      <c r="I35" s="78" t="s">
        <v>283</v>
      </c>
      <c r="J35" s="78" t="s">
        <v>284</v>
      </c>
      <c r="K35" s="78" t="s">
        <v>285</v>
      </c>
      <c r="L35" s="2"/>
    </row>
    <row r="36" spans="1:13">
      <c r="B36" s="73" t="s">
        <v>88</v>
      </c>
      <c r="C36" s="73" t="s">
        <v>286</v>
      </c>
      <c r="D36" s="73" t="s">
        <v>287</v>
      </c>
      <c r="E36" s="73" t="s">
        <v>288</v>
      </c>
      <c r="F36" s="73" t="s">
        <v>289</v>
      </c>
      <c r="G36" s="73" t="s">
        <v>230</v>
      </c>
      <c r="H36" s="73" t="s">
        <v>290</v>
      </c>
      <c r="I36" s="73" t="s">
        <v>291</v>
      </c>
      <c r="J36" s="115">
        <f>F28</f>
        <v>0.03</v>
      </c>
      <c r="K36" s="73">
        <v>2025</v>
      </c>
      <c r="L36" s="2"/>
    </row>
    <row r="37" spans="1:13">
      <c r="B37" s="78">
        <v>2021</v>
      </c>
      <c r="C37" s="75">
        <f t="shared" ref="C37:D40" si="0">C22</f>
        <v>359580</v>
      </c>
      <c r="D37" s="75">
        <f t="shared" si="0"/>
        <v>1180</v>
      </c>
      <c r="E37" s="75">
        <f>F$27+D37-F37</f>
        <v>866</v>
      </c>
      <c r="F37" s="75">
        <f>E22</f>
        <v>1064</v>
      </c>
      <c r="G37" s="116">
        <f>SUMPRODUCT(D37:F37,D$42:F$42)</f>
        <v>999.8</v>
      </c>
      <c r="H37" s="116">
        <f>$C37/G37</f>
        <v>359.65193038607725</v>
      </c>
      <c r="I37" s="78">
        <f t="shared" ref="I37:I38" si="1">I38+1</f>
        <v>4</v>
      </c>
      <c r="J37" s="79">
        <f>(1+J$36)^I37</f>
        <v>1.1255088099999999</v>
      </c>
      <c r="K37" s="116">
        <f>H37*J37</f>
        <v>404.79141618303663</v>
      </c>
      <c r="L37" s="2"/>
    </row>
    <row r="38" spans="1:13">
      <c r="B38" s="78">
        <v>2022</v>
      </c>
      <c r="C38" s="75">
        <f t="shared" si="0"/>
        <v>369300</v>
      </c>
      <c r="D38" s="75">
        <f t="shared" si="0"/>
        <v>904</v>
      </c>
      <c r="E38" s="75">
        <f>E37+D38-F38</f>
        <v>870</v>
      </c>
      <c r="F38" s="75">
        <f>E23</f>
        <v>900</v>
      </c>
      <c r="G38" s="116">
        <f>SUMPRODUCT(D38:F38,D$42:F$42)</f>
        <v>886.2</v>
      </c>
      <c r="H38" s="116">
        <f t="shared" ref="H38:H39" si="2">C38/G38</f>
        <v>416.72308733920107</v>
      </c>
      <c r="I38" s="78">
        <f t="shared" si="1"/>
        <v>3</v>
      </c>
      <c r="J38" s="79">
        <f>(1+J$36)^I38</f>
        <v>1.092727</v>
      </c>
      <c r="K38" s="116">
        <f t="shared" ref="K38:K39" si="3">H38*J38</f>
        <v>455.36456905890316</v>
      </c>
      <c r="L38" s="2"/>
    </row>
    <row r="39" spans="1:13">
      <c r="B39" s="78">
        <v>2023</v>
      </c>
      <c r="C39" s="75">
        <f t="shared" si="0"/>
        <v>373500</v>
      </c>
      <c r="D39" s="75">
        <f t="shared" si="0"/>
        <v>860</v>
      </c>
      <c r="E39" s="75">
        <f t="shared" ref="E39:E40" si="4">E38+D39-F39</f>
        <v>892</v>
      </c>
      <c r="F39" s="75">
        <f>E24</f>
        <v>838</v>
      </c>
      <c r="G39" s="116">
        <f>SUMPRODUCT(D39:F39,D$42:F$42)</f>
        <v>871.6</v>
      </c>
      <c r="H39" s="116">
        <f t="shared" si="2"/>
        <v>428.52225791647544</v>
      </c>
      <c r="I39" s="78">
        <f>I40+1</f>
        <v>2</v>
      </c>
      <c r="J39" s="79">
        <f>(1+J$36)^I39</f>
        <v>1.0609</v>
      </c>
      <c r="K39" s="116">
        <f t="shared" si="3"/>
        <v>454.61926342358879</v>
      </c>
      <c r="L39" s="2"/>
    </row>
    <row r="40" spans="1:13">
      <c r="B40" s="78">
        <v>2024</v>
      </c>
      <c r="C40" s="75">
        <f t="shared" si="0"/>
        <v>393900</v>
      </c>
      <c r="D40" s="75">
        <f t="shared" si="0"/>
        <v>870</v>
      </c>
      <c r="E40" s="75">
        <f t="shared" si="4"/>
        <v>920</v>
      </c>
      <c r="F40" s="75">
        <f>E25</f>
        <v>842</v>
      </c>
      <c r="G40" s="116">
        <f>SUMPRODUCT(D40:F40,D$42:F$42)</f>
        <v>889.4</v>
      </c>
      <c r="H40" s="116">
        <f>C40/G40</f>
        <v>442.88284236563976</v>
      </c>
      <c r="I40" s="78">
        <v>1</v>
      </c>
      <c r="J40" s="79">
        <f>(1+J$36)^I40</f>
        <v>1.03</v>
      </c>
      <c r="K40" s="116">
        <f>H40*J40</f>
        <v>456.16932763660895</v>
      </c>
      <c r="L40" s="2"/>
    </row>
    <row r="41" spans="1:13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3">
      <c r="B42" s="2" t="s">
        <v>292</v>
      </c>
      <c r="C42" s="2"/>
      <c r="D42" s="117">
        <f>D$15</f>
        <v>0.3</v>
      </c>
      <c r="E42" s="117">
        <f>D$16</f>
        <v>0.5</v>
      </c>
      <c r="F42" s="117">
        <f>D$17</f>
        <v>0.2</v>
      </c>
      <c r="G42" s="2"/>
      <c r="H42" s="2"/>
      <c r="I42" s="2"/>
      <c r="J42" s="2"/>
      <c r="K42" s="2"/>
      <c r="L42" s="2"/>
    </row>
    <row r="43" spans="1:13">
      <c r="B43" s="2"/>
      <c r="C43" s="2"/>
      <c r="D43" s="117"/>
      <c r="E43" s="117"/>
      <c r="F43" s="117"/>
      <c r="G43" s="2"/>
      <c r="H43" s="2"/>
      <c r="I43" s="2"/>
      <c r="J43" s="2"/>
      <c r="K43" s="2"/>
      <c r="M43" s="2"/>
    </row>
    <row r="44" spans="1:13">
      <c r="B44" s="2" t="s">
        <v>293</v>
      </c>
      <c r="C44" s="2"/>
      <c r="D44" s="2"/>
      <c r="E44" s="2"/>
      <c r="F44" s="2"/>
      <c r="G44" s="2"/>
      <c r="H44" s="2"/>
      <c r="I44" s="2"/>
      <c r="J44" s="2"/>
      <c r="K44" s="116">
        <f>AVERAGE(K38:K40)</f>
        <v>455.38438670636697</v>
      </c>
      <c r="M44" s="2"/>
    </row>
    <row r="45" spans="1:13">
      <c r="B45" s="2" t="s">
        <v>294</v>
      </c>
      <c r="C45" s="2"/>
      <c r="D45" s="2"/>
      <c r="E45" s="2"/>
      <c r="F45" s="2"/>
      <c r="G45" s="2"/>
      <c r="H45" s="2"/>
      <c r="I45" s="2"/>
      <c r="J45" s="2"/>
      <c r="K45"/>
      <c r="M45" s="2"/>
    </row>
    <row r="46" spans="1:13">
      <c r="M46" s="2"/>
    </row>
    <row r="47" spans="1:13">
      <c r="A47" s="34" t="s">
        <v>75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2"/>
    </row>
    <row r="48" spans="1:1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2"/>
    </row>
    <row r="49" spans="1:13" ht="46.8">
      <c r="A49" s="4"/>
      <c r="B49" s="21" t="s">
        <v>68</v>
      </c>
      <c r="C49" s="21" t="s">
        <v>70</v>
      </c>
      <c r="D49" s="21" t="s">
        <v>71</v>
      </c>
      <c r="E49" s="4"/>
      <c r="F49" s="4"/>
      <c r="G49" s="4"/>
      <c r="H49" s="4"/>
      <c r="I49" s="4"/>
      <c r="J49" s="4"/>
      <c r="K49" s="4"/>
      <c r="L49" s="4"/>
      <c r="M49" s="2"/>
    </row>
    <row r="50" spans="1:13">
      <c r="A50" s="4"/>
      <c r="B50" s="19">
        <v>2025</v>
      </c>
      <c r="C50" s="19">
        <v>238</v>
      </c>
      <c r="D50" s="19">
        <v>548</v>
      </c>
      <c r="E50" s="4"/>
      <c r="F50" s="4"/>
      <c r="G50" s="4"/>
      <c r="H50" s="4"/>
      <c r="I50" s="4"/>
      <c r="J50" s="4"/>
      <c r="K50" s="4"/>
      <c r="L50" s="4"/>
      <c r="M50" s="2"/>
    </row>
    <row r="51" spans="1:13">
      <c r="A51" s="4"/>
      <c r="B51" s="19">
        <v>2026</v>
      </c>
      <c r="C51" s="19">
        <v>99</v>
      </c>
      <c r="D51" s="19">
        <v>370</v>
      </c>
      <c r="E51" s="4"/>
      <c r="F51" s="4"/>
      <c r="G51" s="4"/>
      <c r="H51" s="4"/>
      <c r="I51" s="4"/>
      <c r="J51" s="4"/>
      <c r="K51" s="4"/>
      <c r="L51" s="4"/>
      <c r="M51" s="2"/>
    </row>
    <row r="52" spans="1:13">
      <c r="A52" s="4"/>
      <c r="B52" s="19">
        <v>2027</v>
      </c>
      <c r="C52" s="19">
        <v>35</v>
      </c>
      <c r="D52" s="19">
        <v>170</v>
      </c>
      <c r="E52" s="4"/>
      <c r="F52" s="4"/>
      <c r="G52" s="4"/>
      <c r="H52" s="4"/>
      <c r="I52" s="4"/>
      <c r="J52" s="4"/>
      <c r="K52" s="4"/>
      <c r="L52" s="4"/>
      <c r="M52" s="2"/>
    </row>
    <row r="53" spans="1:13">
      <c r="A53" s="4"/>
      <c r="B53" s="19">
        <v>2028</v>
      </c>
      <c r="C53" s="19">
        <v>0</v>
      </c>
      <c r="D53" s="19">
        <v>128</v>
      </c>
      <c r="E53" s="4"/>
      <c r="F53" s="4"/>
      <c r="G53" s="4"/>
      <c r="H53" s="4"/>
      <c r="I53" s="4"/>
      <c r="J53" s="4"/>
      <c r="K53" s="4"/>
      <c r="L53" s="4"/>
      <c r="M53" s="2"/>
    </row>
    <row r="54" spans="1:13">
      <c r="A54" s="4"/>
      <c r="B54" s="19">
        <v>2029</v>
      </c>
      <c r="C54" s="19">
        <v>0</v>
      </c>
      <c r="D54" s="19">
        <v>76</v>
      </c>
      <c r="E54" s="4"/>
      <c r="F54" s="4"/>
      <c r="G54" s="4"/>
      <c r="H54" s="4"/>
      <c r="I54" s="4"/>
      <c r="J54" s="4"/>
      <c r="K54" s="4"/>
      <c r="L54" s="4"/>
      <c r="M54" s="2"/>
    </row>
    <row r="56" spans="1:13">
      <c r="A56" s="17" t="s">
        <v>0</v>
      </c>
      <c r="B56" s="4" t="s">
        <v>76</v>
      </c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1: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1:13">
      <c r="A58" s="2" t="s">
        <v>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1:13">
      <c r="A59" s="2"/>
      <c r="B59" s="2"/>
      <c r="C59" s="114" t="s">
        <v>38</v>
      </c>
      <c r="D59" s="114"/>
      <c r="E59" s="114"/>
      <c r="F59" s="114"/>
      <c r="G59" s="78" t="s">
        <v>276</v>
      </c>
      <c r="H59" s="78" t="s">
        <v>295</v>
      </c>
      <c r="I59" s="78" t="s">
        <v>296</v>
      </c>
      <c r="J59" s="78" t="s">
        <v>297</v>
      </c>
      <c r="K59" s="2"/>
      <c r="L59" s="2"/>
    </row>
    <row r="60" spans="1:13">
      <c r="B60" s="78" t="s">
        <v>278</v>
      </c>
      <c r="C60" s="78" t="s">
        <v>280</v>
      </c>
      <c r="D60" s="78"/>
      <c r="E60" s="78"/>
      <c r="F60" s="78" t="s">
        <v>281</v>
      </c>
      <c r="G60" s="78" t="s">
        <v>283</v>
      </c>
      <c r="H60" s="78" t="str">
        <f>B62&amp;" at"</f>
        <v>2025 at</v>
      </c>
      <c r="I60" s="78" t="s">
        <v>298</v>
      </c>
      <c r="J60" s="78" t="s">
        <v>299</v>
      </c>
      <c r="K60" s="2"/>
      <c r="L60" s="2"/>
    </row>
    <row r="61" spans="1:13">
      <c r="B61" s="73" t="s">
        <v>88</v>
      </c>
      <c r="C61" s="73" t="s">
        <v>287</v>
      </c>
      <c r="D61" s="73" t="s">
        <v>288</v>
      </c>
      <c r="E61" s="73" t="s">
        <v>289</v>
      </c>
      <c r="F61" s="73" t="s">
        <v>230</v>
      </c>
      <c r="G61" s="73" t="s">
        <v>291</v>
      </c>
      <c r="H61" s="115">
        <f>F28</f>
        <v>0.03</v>
      </c>
      <c r="I61" s="73" t="s">
        <v>286</v>
      </c>
      <c r="J61" s="73" t="s">
        <v>286</v>
      </c>
    </row>
    <row r="62" spans="1:13">
      <c r="B62" s="78">
        <v>2025</v>
      </c>
      <c r="C62" s="75">
        <f>C50</f>
        <v>238</v>
      </c>
      <c r="D62" s="75">
        <f>E$40+C62-E62</f>
        <v>610</v>
      </c>
      <c r="E62" s="75">
        <f>D50</f>
        <v>548</v>
      </c>
      <c r="F62" s="116">
        <f>SUMPRODUCT(C62:E62,D$42:F$42)</f>
        <v>486</v>
      </c>
      <c r="G62" s="78">
        <v>0</v>
      </c>
      <c r="H62" s="79">
        <f>(1+H$61)^G62</f>
        <v>1</v>
      </c>
      <c r="I62" s="116">
        <f>K$44*H62</f>
        <v>455.38438670636697</v>
      </c>
      <c r="J62" s="75">
        <f>F62*I62</f>
        <v>221316.81193929433</v>
      </c>
    </row>
    <row r="63" spans="1:13">
      <c r="B63" s="78">
        <v>2026</v>
      </c>
      <c r="C63" s="75">
        <f>C51</f>
        <v>99</v>
      </c>
      <c r="D63" s="75">
        <f t="shared" ref="D63:D65" si="5">D62+C63-E63</f>
        <v>339</v>
      </c>
      <c r="E63" s="75">
        <f>D51</f>
        <v>370</v>
      </c>
      <c r="F63" s="116">
        <f>SUMPRODUCT(C63:E63,D$42:F$42)</f>
        <v>273.2</v>
      </c>
      <c r="G63" s="78">
        <f>G62+1</f>
        <v>1</v>
      </c>
      <c r="H63" s="79">
        <f>(1+H$61)^G63</f>
        <v>1.03</v>
      </c>
      <c r="I63" s="116">
        <f>K$44*H63</f>
        <v>469.045918307558</v>
      </c>
      <c r="J63" s="75">
        <f t="shared" ref="J63:J66" si="6">F63*I63</f>
        <v>128143.34488162484</v>
      </c>
    </row>
    <row r="64" spans="1:13">
      <c r="B64" s="78">
        <v>2027</v>
      </c>
      <c r="C64" s="75">
        <f>C52</f>
        <v>35</v>
      </c>
      <c r="D64" s="75">
        <f>D63+C64-E64</f>
        <v>204</v>
      </c>
      <c r="E64" s="75">
        <f>D52</f>
        <v>170</v>
      </c>
      <c r="F64" s="116">
        <f>SUMPRODUCT(C64:E64,D$42:F$42)</f>
        <v>146.5</v>
      </c>
      <c r="G64" s="78">
        <f t="shared" ref="G64:G66" si="7">G63+1</f>
        <v>2</v>
      </c>
      <c r="H64" s="79">
        <f>(1+H$61)^G64</f>
        <v>1.0609</v>
      </c>
      <c r="I64" s="116">
        <f>K$44*H64</f>
        <v>483.11729585678472</v>
      </c>
      <c r="J64" s="75">
        <f t="shared" si="6"/>
        <v>70776.683843018967</v>
      </c>
    </row>
    <row r="65" spans="2:10">
      <c r="B65" s="78">
        <v>2028</v>
      </c>
      <c r="C65" s="75">
        <f>C53</f>
        <v>0</v>
      </c>
      <c r="D65" s="75">
        <f t="shared" si="5"/>
        <v>76</v>
      </c>
      <c r="E65" s="75">
        <f>D53</f>
        <v>128</v>
      </c>
      <c r="F65" s="116">
        <f>SUMPRODUCT(C65:E65,D$42:F$42)</f>
        <v>63.6</v>
      </c>
      <c r="G65" s="78">
        <f t="shared" si="7"/>
        <v>3</v>
      </c>
      <c r="H65" s="79">
        <f>(1+H$61)^G65</f>
        <v>1.092727</v>
      </c>
      <c r="I65" s="116">
        <f>K$44*H65</f>
        <v>497.61081473248828</v>
      </c>
      <c r="J65" s="75">
        <f t="shared" si="6"/>
        <v>31648.047816986254</v>
      </c>
    </row>
    <row r="66" spans="2:10">
      <c r="B66" s="73">
        <v>2029</v>
      </c>
      <c r="C66" s="80">
        <f>C54</f>
        <v>0</v>
      </c>
      <c r="D66" s="80">
        <f>D65+C66-E66</f>
        <v>0</v>
      </c>
      <c r="E66" s="80">
        <f>D54</f>
        <v>76</v>
      </c>
      <c r="F66" s="118">
        <f>SUMPRODUCT(C66:E66,D$42:F$42)</f>
        <v>15.200000000000001</v>
      </c>
      <c r="G66" s="73">
        <f t="shared" si="7"/>
        <v>4</v>
      </c>
      <c r="H66" s="82">
        <f>(1+H$61)^G66</f>
        <v>1.1255088099999999</v>
      </c>
      <c r="I66" s="118">
        <f>K$44*H66</f>
        <v>512.53913917446289</v>
      </c>
      <c r="J66" s="80">
        <f t="shared" si="6"/>
        <v>7790.5949154518366</v>
      </c>
    </row>
    <row r="67" spans="2:10">
      <c r="B67" s="78" t="s">
        <v>230</v>
      </c>
      <c r="C67" s="2"/>
      <c r="D67" s="2"/>
      <c r="E67" s="2"/>
      <c r="F67" s="2"/>
      <c r="G67" s="2"/>
      <c r="H67" s="2"/>
      <c r="I67" s="2"/>
      <c r="J67" s="75">
        <f>SUM(J62:J66)</f>
        <v>459675.48339637625</v>
      </c>
    </row>
  </sheetData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2D4CD-793C-4873-9A5E-F8036A12E784}">
  <dimension ref="A1:AN80"/>
  <sheetViews>
    <sheetView zoomScaleNormal="100" workbookViewId="0"/>
  </sheetViews>
  <sheetFormatPr defaultRowHeight="15.6"/>
  <cols>
    <col min="1" max="1" width="8.88671875" style="1" customWidth="1"/>
    <col min="2" max="2" width="20.88671875" style="1" customWidth="1"/>
    <col min="3" max="3" width="15.77734375" style="1" customWidth="1"/>
    <col min="4" max="4" width="16.33203125" style="1" customWidth="1"/>
    <col min="5" max="10" width="13.77734375" style="1" customWidth="1"/>
    <col min="11" max="12" width="8.88671875" style="1"/>
    <col min="13" max="40" width="4" style="1" customWidth="1"/>
    <col min="41" max="16384" width="8.88671875" style="1"/>
  </cols>
  <sheetData>
    <row r="1" spans="1:18" ht="17.399999999999999">
      <c r="A1" s="13" t="s">
        <v>77</v>
      </c>
      <c r="B1" s="4"/>
      <c r="C1" s="4" t="s">
        <v>8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34" t="s">
        <v>78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8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8">
      <c r="A5" s="15"/>
      <c r="B5" s="172" t="s">
        <v>79</v>
      </c>
      <c r="C5" s="161"/>
      <c r="D5" s="4"/>
      <c r="E5" s="4"/>
      <c r="F5" s="4"/>
      <c r="G5" s="4"/>
      <c r="H5" s="4"/>
      <c r="I5" s="4"/>
      <c r="J5" s="4"/>
      <c r="K5" s="4"/>
      <c r="L5" s="4"/>
    </row>
    <row r="6" spans="1:18">
      <c r="A6" s="15"/>
      <c r="B6" s="22" t="s">
        <v>80</v>
      </c>
      <c r="C6" s="22" t="s">
        <v>81</v>
      </c>
      <c r="D6" s="4"/>
      <c r="E6" s="4"/>
      <c r="F6" s="4"/>
      <c r="G6" s="4"/>
      <c r="H6" s="4"/>
      <c r="I6" s="4"/>
      <c r="J6" s="4"/>
      <c r="K6" s="4"/>
      <c r="L6" s="4"/>
    </row>
    <row r="7" spans="1:18">
      <c r="A7" s="15"/>
      <c r="B7" s="23" t="s">
        <v>82</v>
      </c>
      <c r="C7" s="23" t="s">
        <v>83</v>
      </c>
      <c r="D7" s="4"/>
      <c r="E7" s="4"/>
      <c r="F7" s="4"/>
      <c r="G7" s="4"/>
      <c r="H7" s="4"/>
      <c r="I7" s="4"/>
      <c r="J7" s="4"/>
      <c r="K7" s="4"/>
      <c r="L7" s="4"/>
    </row>
    <row r="8" spans="1:18">
      <c r="A8" s="15"/>
      <c r="B8" s="46">
        <v>43282</v>
      </c>
      <c r="C8" s="44">
        <v>0.06</v>
      </c>
      <c r="D8" s="4"/>
      <c r="E8" s="4"/>
      <c r="F8" s="4"/>
      <c r="G8" s="4"/>
      <c r="H8" s="4"/>
      <c r="I8" s="4"/>
      <c r="J8" s="4"/>
      <c r="K8" s="4"/>
      <c r="L8" s="4"/>
    </row>
    <row r="9" spans="1:18">
      <c r="A9" s="4"/>
      <c r="B9" s="47">
        <v>43709</v>
      </c>
      <c r="C9" s="44">
        <v>0.04</v>
      </c>
      <c r="D9" s="4"/>
      <c r="E9" s="4"/>
      <c r="F9" s="4"/>
      <c r="G9" s="4"/>
      <c r="H9" s="4"/>
      <c r="I9" s="4"/>
      <c r="J9" s="4"/>
      <c r="K9" s="4"/>
      <c r="L9" s="4"/>
    </row>
    <row r="10" spans="1:18">
      <c r="A10" s="4"/>
      <c r="B10" s="47">
        <v>44287</v>
      </c>
      <c r="C10" s="44">
        <v>-0.2</v>
      </c>
      <c r="D10" s="4"/>
      <c r="E10" s="4"/>
      <c r="F10" s="4"/>
      <c r="G10" s="4"/>
      <c r="H10" s="4"/>
      <c r="I10" s="4"/>
      <c r="J10" s="4"/>
      <c r="K10" s="4"/>
      <c r="L10" s="4"/>
    </row>
    <row r="11" spans="1:18">
      <c r="A11" s="15"/>
      <c r="B11" s="47">
        <v>45170</v>
      </c>
      <c r="C11" s="44">
        <v>0.03</v>
      </c>
      <c r="D11" s="4"/>
      <c r="E11" s="4"/>
      <c r="F11" s="4"/>
      <c r="G11" s="4"/>
      <c r="H11" s="4"/>
      <c r="I11" s="4"/>
      <c r="J11" s="4"/>
      <c r="K11" s="4"/>
      <c r="L11" s="4"/>
    </row>
    <row r="12" spans="1:18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8">
      <c r="A13" s="4"/>
      <c r="B13" s="29" t="s">
        <v>84</v>
      </c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8">
      <c r="A14" s="4"/>
      <c r="B14" s="29" t="s">
        <v>85</v>
      </c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8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8">
      <c r="A16" s="17" t="s">
        <v>4</v>
      </c>
      <c r="B16" s="4" t="s">
        <v>86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3"/>
      <c r="N16" s="3"/>
      <c r="O16" s="3"/>
      <c r="P16" s="3"/>
      <c r="Q16" s="3"/>
      <c r="R16" s="3"/>
    </row>
    <row r="17" spans="1:40">
      <c r="A17" s="48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40" ht="16.2">
      <c r="A18" s="2" t="s">
        <v>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5" t="s">
        <v>9</v>
      </c>
    </row>
    <row r="19" spans="1:40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169">
        <v>2018</v>
      </c>
      <c r="N19" s="169"/>
      <c r="O19" s="169"/>
      <c r="P19" s="169"/>
      <c r="Q19" s="169">
        <f>M19+1</f>
        <v>2019</v>
      </c>
      <c r="R19" s="169"/>
      <c r="S19" s="169"/>
      <c r="T19" s="169"/>
      <c r="U19" s="169">
        <f>Q19+1</f>
        <v>2020</v>
      </c>
      <c r="V19" s="169"/>
      <c r="W19" s="169"/>
      <c r="X19" s="169"/>
      <c r="Y19" s="169">
        <f>U19+1</f>
        <v>2021</v>
      </c>
      <c r="Z19" s="169"/>
      <c r="AA19" s="169"/>
      <c r="AB19" s="169"/>
      <c r="AC19" s="169">
        <f>Y19+1</f>
        <v>2022</v>
      </c>
      <c r="AD19" s="169"/>
      <c r="AE19" s="169"/>
      <c r="AF19" s="169"/>
      <c r="AG19" s="169">
        <f>AC19+1</f>
        <v>2023</v>
      </c>
      <c r="AH19" s="169"/>
      <c r="AI19" s="169"/>
      <c r="AJ19" s="169"/>
      <c r="AK19" s="169">
        <f>AG19+1</f>
        <v>2024</v>
      </c>
      <c r="AL19" s="169"/>
      <c r="AM19" s="169"/>
      <c r="AN19" s="169"/>
    </row>
    <row r="20" spans="1:40" ht="19.9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6"/>
      <c r="N20" s="7"/>
      <c r="O20" s="7"/>
      <c r="P20" s="8"/>
      <c r="Q20" s="6"/>
      <c r="R20" s="7"/>
      <c r="S20" s="7"/>
      <c r="T20" s="8"/>
      <c r="U20" s="6"/>
      <c r="V20" s="7"/>
      <c r="W20" s="7"/>
      <c r="X20" s="8"/>
      <c r="Y20" s="6"/>
      <c r="Z20" s="7"/>
      <c r="AA20" s="7"/>
      <c r="AB20" s="8"/>
      <c r="AC20" s="6"/>
      <c r="AD20" s="7"/>
      <c r="AE20" s="7"/>
      <c r="AF20" s="8"/>
      <c r="AG20" s="6"/>
      <c r="AH20" s="7"/>
      <c r="AI20" s="7"/>
      <c r="AJ20" s="8"/>
      <c r="AK20" s="6"/>
      <c r="AL20" s="7"/>
      <c r="AM20" s="7"/>
      <c r="AN20" s="8"/>
    </row>
    <row r="21" spans="1:40" ht="19.95" customHeight="1">
      <c r="J21" s="2"/>
      <c r="K21" s="2"/>
      <c r="L21" s="2"/>
      <c r="M21" s="9"/>
      <c r="N21" s="155">
        <v>1</v>
      </c>
      <c r="O21" s="2"/>
      <c r="P21" s="156"/>
      <c r="Q21" s="157"/>
      <c r="R21" s="170">
        <f>C28</f>
        <v>1.06</v>
      </c>
      <c r="S21" s="170"/>
      <c r="T21" s="156"/>
      <c r="U21" s="157"/>
      <c r="V21" s="171">
        <f>C29</f>
        <v>1.1024</v>
      </c>
      <c r="W21" s="171"/>
      <c r="X21" s="156"/>
      <c r="Y21" s="157"/>
      <c r="Z21" s="2"/>
      <c r="AA21" s="2"/>
      <c r="AB21" s="156"/>
      <c r="AC21" s="157"/>
      <c r="AD21" s="166">
        <f>C30</f>
        <v>0.88192000000000004</v>
      </c>
      <c r="AE21" s="166"/>
      <c r="AF21" s="156"/>
      <c r="AG21" s="157"/>
      <c r="AH21" s="2"/>
      <c r="AI21" s="2"/>
      <c r="AJ21" s="156"/>
      <c r="AK21" s="157"/>
      <c r="AL21" s="166">
        <f>C31</f>
        <v>0.90837760000000001</v>
      </c>
      <c r="AM21" s="166"/>
      <c r="AN21" s="156"/>
    </row>
    <row r="22" spans="1:40" ht="19.95" customHeight="1">
      <c r="M22" s="9"/>
      <c r="N22" s="2"/>
      <c r="O22" s="2"/>
      <c r="P22" s="156"/>
      <c r="Q22" s="157"/>
      <c r="R22" s="2"/>
      <c r="S22" s="2"/>
      <c r="T22" s="156"/>
      <c r="U22" s="157"/>
      <c r="V22" s="2"/>
      <c r="W22" s="2"/>
      <c r="X22" s="156"/>
      <c r="Y22" s="157"/>
      <c r="Z22" s="2"/>
      <c r="AA22" s="2"/>
      <c r="AB22" s="156"/>
      <c r="AC22" s="157"/>
      <c r="AD22" s="2"/>
      <c r="AE22" s="2"/>
      <c r="AF22" s="156"/>
      <c r="AG22" s="157"/>
      <c r="AH22" s="2"/>
      <c r="AI22" s="2"/>
      <c r="AJ22" s="156"/>
      <c r="AK22" s="157"/>
      <c r="AL22" s="2"/>
      <c r="AM22" s="2"/>
      <c r="AN22" s="156"/>
    </row>
    <row r="23" spans="1:40" ht="19.95" customHeight="1">
      <c r="M23" s="10"/>
      <c r="N23" s="11"/>
      <c r="O23" s="11"/>
      <c r="P23" s="12"/>
      <c r="Q23" s="10"/>
      <c r="R23" s="11"/>
      <c r="S23" s="11"/>
      <c r="T23" s="12"/>
      <c r="U23" s="10"/>
      <c r="V23" s="11"/>
      <c r="W23" s="11"/>
      <c r="X23" s="12"/>
      <c r="Y23" s="10"/>
      <c r="Z23" s="11"/>
      <c r="AA23" s="11"/>
      <c r="AB23" s="12"/>
      <c r="AC23" s="10"/>
      <c r="AD23" s="11"/>
      <c r="AE23" s="11"/>
      <c r="AF23" s="12"/>
      <c r="AG23" s="10"/>
      <c r="AH23" s="11"/>
      <c r="AI23" s="11"/>
      <c r="AJ23" s="12"/>
      <c r="AK23" s="10"/>
      <c r="AL23" s="11"/>
      <c r="AM23" s="11"/>
      <c r="AN23" s="12"/>
    </row>
    <row r="24" spans="1:40">
      <c r="M24" s="3"/>
      <c r="O24" s="100">
        <f>C8</f>
        <v>0.06</v>
      </c>
      <c r="S24" s="100">
        <f>C9</f>
        <v>0.04</v>
      </c>
      <c r="Z24" s="167">
        <f>C10</f>
        <v>-0.2</v>
      </c>
      <c r="AA24" s="167"/>
      <c r="AI24" s="100">
        <f>C11</f>
        <v>0.03</v>
      </c>
    </row>
    <row r="25" spans="1:40">
      <c r="A25" s="77"/>
      <c r="D25" s="160" t="s">
        <v>252</v>
      </c>
      <c r="E25" s="160"/>
      <c r="F25" s="160"/>
      <c r="G25" s="160"/>
      <c r="H25" s="160"/>
      <c r="I25" s="160"/>
      <c r="J25" s="160"/>
      <c r="M25" s="3"/>
    </row>
    <row r="26" spans="1:40">
      <c r="B26" s="69" t="s">
        <v>253</v>
      </c>
      <c r="C26" s="69" t="s">
        <v>256</v>
      </c>
      <c r="D26" s="69">
        <v>2018</v>
      </c>
      <c r="E26" s="69">
        <f t="shared" ref="E26:J26" si="0">D26+1</f>
        <v>2019</v>
      </c>
      <c r="F26" s="69">
        <f t="shared" si="0"/>
        <v>2020</v>
      </c>
      <c r="G26" s="69">
        <f t="shared" si="0"/>
        <v>2021</v>
      </c>
      <c r="H26" s="69">
        <f t="shared" si="0"/>
        <v>2022</v>
      </c>
      <c r="I26" s="69">
        <f t="shared" si="0"/>
        <v>2023</v>
      </c>
      <c r="J26" s="69">
        <f t="shared" si="0"/>
        <v>2024</v>
      </c>
      <c r="M26" s="3"/>
    </row>
    <row r="27" spans="1:40">
      <c r="B27" s="68" t="s">
        <v>254</v>
      </c>
      <c r="C27" s="97">
        <v>1</v>
      </c>
      <c r="D27" s="91">
        <v>0.75</v>
      </c>
      <c r="E27" s="91"/>
      <c r="F27" s="91"/>
      <c r="G27" s="91"/>
      <c r="H27" s="91"/>
      <c r="I27" s="91"/>
      <c r="J27" s="91"/>
      <c r="M27" s="3"/>
    </row>
    <row r="28" spans="1:40">
      <c r="B28" s="92">
        <f>B8</f>
        <v>43282</v>
      </c>
      <c r="C28" s="97">
        <f>C27*(1+C8)</f>
        <v>1.06</v>
      </c>
      <c r="D28" s="91">
        <v>0.25</v>
      </c>
      <c r="E28" s="91">
        <f>1-E29</f>
        <v>0.88888888888888884</v>
      </c>
      <c r="F28" s="91">
        <f>0.5*(2/12)*(4/12)</f>
        <v>2.7777777777777776E-2</v>
      </c>
      <c r="G28" s="91"/>
      <c r="H28" s="91"/>
      <c r="I28" s="91"/>
      <c r="J28" s="91"/>
      <c r="M28" s="3"/>
    </row>
    <row r="29" spans="1:40">
      <c r="B29" s="92">
        <f t="shared" ref="B29:B31" si="1">B9</f>
        <v>43709</v>
      </c>
      <c r="C29" s="97">
        <f>C28*(1+C9)</f>
        <v>1.1024</v>
      </c>
      <c r="D29" s="91"/>
      <c r="E29" s="91">
        <f>0.5*(4/12)*(8/12)</f>
        <v>0.1111111111111111</v>
      </c>
      <c r="F29" s="91">
        <f>1-F28</f>
        <v>0.97222222222222221</v>
      </c>
      <c r="G29" s="91">
        <v>0.5</v>
      </c>
      <c r="H29" s="91"/>
      <c r="I29" s="91"/>
      <c r="J29" s="91"/>
      <c r="M29" s="3"/>
    </row>
    <row r="30" spans="1:40">
      <c r="B30" s="92">
        <f t="shared" si="1"/>
        <v>44287</v>
      </c>
      <c r="C30" s="97">
        <f>C29*(1+C10)</f>
        <v>0.88192000000000004</v>
      </c>
      <c r="D30" s="91"/>
      <c r="E30" s="91"/>
      <c r="F30" s="91"/>
      <c r="G30" s="91">
        <v>0.5</v>
      </c>
      <c r="H30" s="91">
        <v>1</v>
      </c>
      <c r="I30" s="91">
        <f>E28</f>
        <v>0.88888888888888884</v>
      </c>
      <c r="J30" s="91">
        <f>F28</f>
        <v>2.7777777777777776E-2</v>
      </c>
      <c r="M30" s="3"/>
    </row>
    <row r="31" spans="1:40">
      <c r="B31" s="98">
        <f t="shared" si="1"/>
        <v>45170</v>
      </c>
      <c r="C31" s="99">
        <f>C30*(1+C11)</f>
        <v>0.90837760000000001</v>
      </c>
      <c r="D31" s="90"/>
      <c r="E31" s="90"/>
      <c r="F31" s="90"/>
      <c r="G31" s="90"/>
      <c r="H31" s="90"/>
      <c r="I31" s="90">
        <f>E29</f>
        <v>0.1111111111111111</v>
      </c>
      <c r="J31" s="90">
        <f>F29</f>
        <v>0.97222222222222221</v>
      </c>
      <c r="M31" s="3"/>
    </row>
    <row r="32" spans="1:40">
      <c r="B32" s="1" t="s">
        <v>230</v>
      </c>
      <c r="D32" s="94">
        <f t="shared" ref="D32:J32" si="2">SUM(D27:D31)</f>
        <v>1</v>
      </c>
      <c r="E32" s="94">
        <f t="shared" si="2"/>
        <v>1</v>
      </c>
      <c r="F32" s="94">
        <f t="shared" si="2"/>
        <v>1</v>
      </c>
      <c r="G32" s="94">
        <f t="shared" si="2"/>
        <v>1</v>
      </c>
      <c r="H32" s="94">
        <f t="shared" si="2"/>
        <v>1</v>
      </c>
      <c r="I32" s="94">
        <f t="shared" si="2"/>
        <v>1</v>
      </c>
      <c r="J32" s="94">
        <f t="shared" si="2"/>
        <v>1</v>
      </c>
      <c r="M32" s="3"/>
    </row>
    <row r="33" spans="1:13">
      <c r="B33" s="1" t="s">
        <v>255</v>
      </c>
      <c r="D33" s="95">
        <f t="shared" ref="D33:J33" si="3">SUMPRODUCT($C$27:$C$31,D27:D31)</f>
        <v>1.0150000000000001</v>
      </c>
      <c r="E33" s="95">
        <f t="shared" si="3"/>
        <v>1.0647111111111112</v>
      </c>
      <c r="F33" s="95">
        <f t="shared" si="3"/>
        <v>1.1012222222222221</v>
      </c>
      <c r="G33" s="95">
        <f t="shared" si="3"/>
        <v>0.99216000000000004</v>
      </c>
      <c r="H33" s="95">
        <f t="shared" si="3"/>
        <v>0.88192000000000004</v>
      </c>
      <c r="I33" s="95">
        <f t="shared" si="3"/>
        <v>0.88485973333333334</v>
      </c>
      <c r="J33" s="95">
        <f t="shared" si="3"/>
        <v>0.9076426666666666</v>
      </c>
      <c r="M33" s="3"/>
    </row>
    <row r="34" spans="1:13">
      <c r="B34" s="1" t="s">
        <v>257</v>
      </c>
      <c r="D34" s="95">
        <f t="shared" ref="D34:J34" si="4">$J$33/D33</f>
        <v>0.8942292282430212</v>
      </c>
      <c r="E34" s="95">
        <f t="shared" si="4"/>
        <v>0.85247787610619463</v>
      </c>
      <c r="F34" s="95">
        <f t="shared" si="4"/>
        <v>0.82421390374331549</v>
      </c>
      <c r="G34" s="95">
        <f t="shared" si="4"/>
        <v>0.91481481481481475</v>
      </c>
      <c r="H34" s="95">
        <f t="shared" si="4"/>
        <v>1.0291666666666666</v>
      </c>
      <c r="I34" s="95">
        <f t="shared" si="4"/>
        <v>1.0257475083056478</v>
      </c>
      <c r="J34" s="95">
        <f t="shared" si="4"/>
        <v>1</v>
      </c>
      <c r="M34" s="3"/>
    </row>
    <row r="35" spans="1:13">
      <c r="M35" s="3"/>
    </row>
    <row r="36" spans="1:13">
      <c r="A36" s="34" t="s">
        <v>87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3"/>
    </row>
    <row r="37" spans="1:1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3"/>
    </row>
    <row r="38" spans="1:13" ht="52.8" customHeight="1">
      <c r="A38" s="4"/>
      <c r="B38" s="21" t="s">
        <v>12</v>
      </c>
      <c r="C38" s="21" t="s">
        <v>89</v>
      </c>
      <c r="D38" s="21" t="s">
        <v>90</v>
      </c>
      <c r="E38" s="4"/>
      <c r="F38" s="4"/>
      <c r="G38" s="4"/>
      <c r="H38" s="4"/>
      <c r="I38" s="4"/>
      <c r="J38" s="4"/>
      <c r="K38" s="4"/>
      <c r="L38" s="4"/>
      <c r="M38" s="3"/>
    </row>
    <row r="39" spans="1:13">
      <c r="A39" s="4"/>
      <c r="B39" s="19">
        <v>2018</v>
      </c>
      <c r="C39" s="20">
        <v>9956743</v>
      </c>
      <c r="D39" s="20">
        <v>6574878</v>
      </c>
      <c r="E39" s="4"/>
      <c r="F39" s="4"/>
      <c r="G39" s="4"/>
      <c r="H39" s="4"/>
      <c r="I39" s="4"/>
      <c r="J39" s="4"/>
      <c r="K39" s="4"/>
      <c r="L39" s="4"/>
      <c r="M39" s="3"/>
    </row>
    <row r="40" spans="1:13">
      <c r="A40" s="4"/>
      <c r="B40" s="19">
        <v>2019</v>
      </c>
      <c r="C40" s="20">
        <v>10331409</v>
      </c>
      <c r="D40" s="20">
        <v>6997575</v>
      </c>
      <c r="E40" s="4"/>
      <c r="F40" s="4"/>
      <c r="G40" s="4"/>
      <c r="H40" s="4"/>
      <c r="I40" s="4"/>
      <c r="J40" s="4"/>
      <c r="K40" s="4"/>
      <c r="L40" s="4"/>
      <c r="M40" s="3"/>
    </row>
    <row r="41" spans="1:13">
      <c r="A41" s="4"/>
      <c r="B41" s="19">
        <v>2020</v>
      </c>
      <c r="C41" s="20">
        <v>10990536</v>
      </c>
      <c r="D41" s="20">
        <v>7031623</v>
      </c>
      <c r="E41" s="4"/>
      <c r="F41" s="4"/>
      <c r="G41" s="4"/>
      <c r="H41" s="4"/>
      <c r="I41" s="4"/>
      <c r="J41" s="4"/>
      <c r="K41" s="4"/>
      <c r="L41" s="4"/>
      <c r="M41" s="3"/>
    </row>
    <row r="42" spans="1:13">
      <c r="A42" s="4"/>
      <c r="B42" s="19">
        <v>2021</v>
      </c>
      <c r="C42" s="20">
        <v>11548428</v>
      </c>
      <c r="D42" s="20">
        <v>6368826</v>
      </c>
      <c r="E42" s="4"/>
      <c r="F42" s="4"/>
      <c r="G42" s="4"/>
      <c r="H42" s="4"/>
      <c r="I42" s="4"/>
      <c r="J42" s="4"/>
      <c r="K42" s="4"/>
      <c r="L42" s="4"/>
      <c r="M42" s="3"/>
    </row>
    <row r="43" spans="1:13">
      <c r="A43" s="4"/>
      <c r="B43" s="19">
        <v>2022</v>
      </c>
      <c r="C43" s="20">
        <v>9409209</v>
      </c>
      <c r="D43" s="20">
        <v>6676849</v>
      </c>
      <c r="E43" s="4"/>
      <c r="F43" s="4"/>
      <c r="G43" s="4"/>
      <c r="H43" s="4"/>
      <c r="I43" s="4"/>
      <c r="J43" s="4"/>
      <c r="K43" s="4"/>
      <c r="L43" s="4"/>
      <c r="M43" s="3"/>
    </row>
    <row r="44" spans="1:13">
      <c r="A44" s="4"/>
      <c r="B44" s="19">
        <v>2023</v>
      </c>
      <c r="C44" s="20">
        <v>9876766</v>
      </c>
      <c r="D44" s="20">
        <v>7378658</v>
      </c>
      <c r="E44" s="4"/>
      <c r="F44" s="4"/>
      <c r="G44" s="4"/>
      <c r="H44" s="4"/>
      <c r="I44" s="4"/>
      <c r="J44" s="4"/>
      <c r="K44" s="4"/>
      <c r="L44" s="4"/>
      <c r="M44" s="3"/>
    </row>
    <row r="45" spans="1:13">
      <c r="A45" s="4"/>
      <c r="B45" s="19">
        <v>2024</v>
      </c>
      <c r="C45" s="20">
        <v>10286627</v>
      </c>
      <c r="D45" s="20">
        <v>7581748</v>
      </c>
      <c r="E45" s="4"/>
      <c r="F45" s="4"/>
      <c r="G45" s="4"/>
      <c r="H45" s="4"/>
      <c r="I45" s="4"/>
      <c r="J45" s="4"/>
      <c r="K45" s="4"/>
      <c r="L45" s="4"/>
      <c r="M45" s="3"/>
    </row>
    <row r="46" spans="1:1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3"/>
    </row>
    <row r="47" spans="1:13">
      <c r="A47" s="4"/>
      <c r="B47" s="29" t="s">
        <v>92</v>
      </c>
      <c r="C47" s="4"/>
      <c r="D47" s="4"/>
      <c r="E47" s="32">
        <v>0.2</v>
      </c>
      <c r="F47" s="4" t="s">
        <v>91</v>
      </c>
      <c r="G47" s="4"/>
      <c r="H47" s="4"/>
      <c r="I47" s="4"/>
      <c r="J47" s="4"/>
      <c r="K47" s="4"/>
      <c r="L47" s="4"/>
      <c r="M47" s="3"/>
    </row>
    <row r="48" spans="1:13">
      <c r="A48" s="4"/>
      <c r="B48" s="29" t="s">
        <v>93</v>
      </c>
      <c r="C48" s="4"/>
      <c r="D48" s="32">
        <v>0.05</v>
      </c>
      <c r="E48" s="4"/>
      <c r="F48" s="4"/>
      <c r="G48" s="4"/>
      <c r="H48" s="4"/>
      <c r="I48" s="4"/>
      <c r="J48" s="4"/>
      <c r="K48" s="4"/>
      <c r="L48" s="4"/>
      <c r="M48" s="3"/>
    </row>
    <row r="49" spans="1:13">
      <c r="M49" s="3"/>
    </row>
    <row r="50" spans="1:13">
      <c r="A50" s="17" t="s">
        <v>5</v>
      </c>
      <c r="B50" s="4" t="s">
        <v>94</v>
      </c>
      <c r="C50" s="4"/>
      <c r="D50" s="4"/>
      <c r="E50" s="4"/>
      <c r="F50" s="4"/>
      <c r="G50" s="4"/>
      <c r="H50" s="4"/>
      <c r="I50" s="4"/>
      <c r="J50" s="4"/>
      <c r="K50" s="4"/>
      <c r="L50" s="4"/>
    </row>
    <row r="51" spans="1: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3">
      <c r="A52" s="2" t="s">
        <v>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3">
      <c r="A54" s="2"/>
      <c r="B54" s="112" t="s">
        <v>177</v>
      </c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3">
      <c r="A55" s="2"/>
      <c r="B55" s="113" t="s">
        <v>272</v>
      </c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1:13">
      <c r="C57" s="111"/>
      <c r="D57" s="111"/>
      <c r="E57" s="168" t="s">
        <v>270</v>
      </c>
      <c r="F57" s="168"/>
      <c r="G57" s="111"/>
      <c r="H57" s="111"/>
      <c r="I57" s="2"/>
      <c r="J57" s="2"/>
      <c r="K57" s="2"/>
      <c r="L57" s="2"/>
    </row>
    <row r="58" spans="1:13" ht="46.8">
      <c r="B58" s="101" t="s">
        <v>12</v>
      </c>
      <c r="C58" s="101" t="s">
        <v>89</v>
      </c>
      <c r="D58" s="102" t="s">
        <v>90</v>
      </c>
      <c r="E58" s="101" t="s">
        <v>271</v>
      </c>
      <c r="F58" s="69" t="s">
        <v>258</v>
      </c>
      <c r="G58" s="102" t="s">
        <v>259</v>
      </c>
      <c r="H58" s="101" t="s">
        <v>260</v>
      </c>
      <c r="I58" s="2"/>
      <c r="J58" s="2"/>
      <c r="K58" s="2"/>
      <c r="L58" s="2"/>
    </row>
    <row r="59" spans="1:13">
      <c r="B59" s="68">
        <v>2018</v>
      </c>
      <c r="C59" s="76">
        <f t="shared" ref="C59:D65" si="5">C39</f>
        <v>9956743</v>
      </c>
      <c r="D59" s="76">
        <f t="shared" si="5"/>
        <v>6574878</v>
      </c>
      <c r="E59" s="93">
        <f>E60*(1+$D$48)</f>
        <v>1.3400956406250004</v>
      </c>
      <c r="F59" s="96">
        <f>1-E47</f>
        <v>0.8</v>
      </c>
      <c r="G59" s="95">
        <f>D34</f>
        <v>0.8942292282430212</v>
      </c>
      <c r="H59" s="103">
        <f>(D59*E59*F59)/(C59*G59)</f>
        <v>0.7916757129362948</v>
      </c>
      <c r="I59" s="2"/>
      <c r="J59" s="2"/>
      <c r="K59" s="2"/>
      <c r="L59" s="2"/>
    </row>
    <row r="60" spans="1:13">
      <c r="B60" s="68">
        <v>2019</v>
      </c>
      <c r="C60" s="76">
        <f t="shared" si="5"/>
        <v>10331409</v>
      </c>
      <c r="D60" s="76">
        <f t="shared" si="5"/>
        <v>6997575</v>
      </c>
      <c r="E60" s="93">
        <f t="shared" ref="E60:E64" si="6">E61*(1+$D$48)</f>
        <v>1.2762815625000004</v>
      </c>
      <c r="F60" s="96">
        <f>F59</f>
        <v>0.8</v>
      </c>
      <c r="G60" s="95">
        <f>E34</f>
        <v>0.85247787610619463</v>
      </c>
      <c r="H60" s="103">
        <f t="shared" ref="H60:H64" si="7">(D60*E60*F60)/(C60*G60)</f>
        <v>0.81122508708554653</v>
      </c>
      <c r="I60" s="2"/>
      <c r="J60" s="2"/>
      <c r="K60" s="2"/>
      <c r="L60" s="2"/>
    </row>
    <row r="61" spans="1:13">
      <c r="B61" s="68">
        <v>2020</v>
      </c>
      <c r="C61" s="76">
        <f t="shared" si="5"/>
        <v>10990536</v>
      </c>
      <c r="D61" s="76">
        <f t="shared" si="5"/>
        <v>7031623</v>
      </c>
      <c r="E61" s="93">
        <f t="shared" si="6"/>
        <v>1.2155062500000002</v>
      </c>
      <c r="F61" s="96">
        <f>F60</f>
        <v>0.8</v>
      </c>
      <c r="G61" s="95">
        <f>F34</f>
        <v>0.82421390374331549</v>
      </c>
      <c r="H61" s="103">
        <f t="shared" si="7"/>
        <v>0.75482096089103923</v>
      </c>
      <c r="I61" s="2"/>
      <c r="J61" s="2"/>
      <c r="K61" s="2"/>
    </row>
    <row r="62" spans="1:13">
      <c r="B62" s="68">
        <v>2021</v>
      </c>
      <c r="C62" s="76">
        <f t="shared" si="5"/>
        <v>11548428</v>
      </c>
      <c r="D62" s="76">
        <f t="shared" si="5"/>
        <v>6368826</v>
      </c>
      <c r="E62" s="93">
        <f t="shared" si="6"/>
        <v>1.1576250000000001</v>
      </c>
      <c r="F62" s="96">
        <f>0.75*F61+0.25*F63</f>
        <v>0.85000000000000009</v>
      </c>
      <c r="G62" s="95">
        <f>G34</f>
        <v>0.91481481481481475</v>
      </c>
      <c r="H62" s="103">
        <f t="shared" si="7"/>
        <v>0.59318498124178698</v>
      </c>
      <c r="I62" s="2"/>
      <c r="J62" s="2"/>
      <c r="K62" s="2"/>
    </row>
    <row r="63" spans="1:13">
      <c r="B63" s="68">
        <v>2022</v>
      </c>
      <c r="C63" s="76">
        <f t="shared" si="5"/>
        <v>9409209</v>
      </c>
      <c r="D63" s="76">
        <f t="shared" si="5"/>
        <v>6676849</v>
      </c>
      <c r="E63" s="93">
        <f t="shared" si="6"/>
        <v>1.1025</v>
      </c>
      <c r="F63" s="96">
        <v>1</v>
      </c>
      <c r="G63" s="95">
        <f>H34</f>
        <v>1.0291666666666666</v>
      </c>
      <c r="H63" s="103">
        <f t="shared" si="7"/>
        <v>0.76017104955067538</v>
      </c>
      <c r="I63" s="2"/>
      <c r="J63" s="2"/>
      <c r="K63" s="2"/>
      <c r="L63" s="2"/>
    </row>
    <row r="64" spans="1:13">
      <c r="B64" s="68">
        <v>2023</v>
      </c>
      <c r="C64" s="76">
        <f t="shared" si="5"/>
        <v>9876766</v>
      </c>
      <c r="D64" s="76">
        <f t="shared" si="5"/>
        <v>7378658</v>
      </c>
      <c r="E64" s="93">
        <f t="shared" si="6"/>
        <v>1.05</v>
      </c>
      <c r="F64" s="96">
        <v>1</v>
      </c>
      <c r="G64" s="95">
        <f>I34</f>
        <v>1.0257475083056478</v>
      </c>
      <c r="H64" s="103">
        <f t="shared" si="7"/>
        <v>0.76473584150728768</v>
      </c>
      <c r="I64" s="2"/>
      <c r="J64" s="2"/>
      <c r="K64" s="2"/>
      <c r="L64" s="2"/>
    </row>
    <row r="65" spans="1:12">
      <c r="B65" s="69">
        <v>2024</v>
      </c>
      <c r="C65" s="104">
        <f t="shared" si="5"/>
        <v>10286627</v>
      </c>
      <c r="D65" s="104">
        <f t="shared" si="5"/>
        <v>7581748</v>
      </c>
      <c r="E65" s="89">
        <v>1</v>
      </c>
      <c r="F65" s="105">
        <v>1</v>
      </c>
      <c r="G65" s="106">
        <f>J34</f>
        <v>1</v>
      </c>
      <c r="H65" s="109">
        <f>(D65*E65*F65)/(C65*G65)</f>
        <v>0.73704898602817037</v>
      </c>
      <c r="I65" s="2"/>
      <c r="J65" s="2"/>
      <c r="K65" s="2"/>
      <c r="L65" s="2"/>
    </row>
    <row r="66" spans="1:12">
      <c r="B66" s="1" t="s">
        <v>265</v>
      </c>
      <c r="D66"/>
      <c r="E66"/>
      <c r="F66"/>
      <c r="G66"/>
      <c r="H66"/>
      <c r="I66" s="2"/>
      <c r="J66" s="2"/>
      <c r="K66" s="2"/>
      <c r="L66" s="2"/>
    </row>
    <row r="67" spans="1:12">
      <c r="C67" s="1" t="s">
        <v>261</v>
      </c>
      <c r="D67"/>
      <c r="E67"/>
      <c r="F67"/>
      <c r="G67"/>
      <c r="H67" s="103">
        <f>AVERAGE(H59:H64)</f>
        <v>0.74596893886877169</v>
      </c>
      <c r="I67" s="2"/>
      <c r="J67" s="2"/>
      <c r="K67" s="2"/>
      <c r="L67" s="2"/>
    </row>
    <row r="68" spans="1:12">
      <c r="C68" s="1" t="s">
        <v>262</v>
      </c>
      <c r="D68"/>
      <c r="E68"/>
      <c r="F68"/>
      <c r="G68"/>
      <c r="H68" s="103">
        <f>AVERAGE(H60:H64)</f>
        <v>0.73682758405526716</v>
      </c>
      <c r="I68" s="2"/>
      <c r="J68" s="2"/>
      <c r="K68" s="2"/>
      <c r="L68" s="2"/>
    </row>
    <row r="69" spans="1:12">
      <c r="C69" s="1" t="s">
        <v>263</v>
      </c>
      <c r="D69"/>
      <c r="E69"/>
      <c r="F69"/>
      <c r="G69"/>
      <c r="H69" s="103">
        <f>(SUM(H59:H64)-MIN(H59:H64)-MAX(H59:H64))/4</f>
        <v>0.76785089122132422</v>
      </c>
      <c r="I69" s="2"/>
      <c r="J69" s="2"/>
      <c r="K69" s="2"/>
      <c r="L69" s="2"/>
    </row>
    <row r="70" spans="1:12">
      <c r="C70" s="1" t="s">
        <v>264</v>
      </c>
      <c r="D70"/>
      <c r="E70"/>
      <c r="F70"/>
      <c r="G70"/>
      <c r="H70" s="103">
        <f>AVERAGE(H62:H64)</f>
        <v>0.70603062409991668</v>
      </c>
      <c r="I70" s="2"/>
      <c r="J70" s="2"/>
      <c r="K70" s="2"/>
      <c r="L70" s="2"/>
    </row>
    <row r="71" spans="1:12">
      <c r="C71" s="1" t="s">
        <v>266</v>
      </c>
      <c r="D71"/>
      <c r="E71"/>
      <c r="F71"/>
      <c r="G71"/>
      <c r="H71" s="110">
        <f>H69</f>
        <v>0.76785089122132422</v>
      </c>
      <c r="I71" s="2"/>
      <c r="J71" s="2"/>
      <c r="K71" s="2"/>
      <c r="L71" s="2"/>
    </row>
    <row r="72" spans="1:12">
      <c r="C72" s="1" t="s">
        <v>267</v>
      </c>
      <c r="D72"/>
      <c r="E72"/>
      <c r="F72"/>
      <c r="G72"/>
      <c r="H72" s="107"/>
      <c r="I72" s="2"/>
      <c r="J72" s="2"/>
      <c r="K72" s="2"/>
      <c r="L72" s="2"/>
    </row>
    <row r="74" spans="1:12" ht="16.2">
      <c r="A74" s="17" t="s">
        <v>0</v>
      </c>
      <c r="B74" s="16" t="s">
        <v>95</v>
      </c>
      <c r="C74" s="4"/>
      <c r="D74" s="4"/>
      <c r="E74" s="4"/>
      <c r="F74" s="4"/>
      <c r="G74" s="4"/>
      <c r="H74" s="4"/>
      <c r="I74" s="4"/>
      <c r="J74" s="4"/>
      <c r="K74" s="4"/>
      <c r="L74" s="4"/>
    </row>
    <row r="75" spans="1:1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1:12">
      <c r="A76" s="2" t="s">
        <v>1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8" spans="1:12">
      <c r="B78" s="1" t="s">
        <v>268</v>
      </c>
      <c r="D78" s="108">
        <f>H71*G61/(E61*F61)</f>
        <v>0.65083312050669362</v>
      </c>
    </row>
    <row r="79" spans="1:12">
      <c r="D79"/>
    </row>
    <row r="80" spans="1:12">
      <c r="B80" s="1" t="s">
        <v>269</v>
      </c>
      <c r="D80" s="76">
        <f>D78*C61</f>
        <v>7153004.8409211542</v>
      </c>
    </row>
  </sheetData>
  <mergeCells count="15">
    <mergeCell ref="B5:C5"/>
    <mergeCell ref="M19:P19"/>
    <mergeCell ref="Q19:T19"/>
    <mergeCell ref="U19:X19"/>
    <mergeCell ref="Y19:AB19"/>
    <mergeCell ref="AL21:AM21"/>
    <mergeCell ref="D25:J25"/>
    <mergeCell ref="Z24:AA24"/>
    <mergeCell ref="E57:F57"/>
    <mergeCell ref="AC19:AF19"/>
    <mergeCell ref="AG19:AJ19"/>
    <mergeCell ref="R21:S21"/>
    <mergeCell ref="V21:W21"/>
    <mergeCell ref="AD21:AE21"/>
    <mergeCell ref="AK19:AN19"/>
  </mergeCells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327A7-AA94-4F5E-A39C-E6F159627C26}">
  <dimension ref="A1:R80"/>
  <sheetViews>
    <sheetView zoomScaleNormal="100" workbookViewId="0"/>
  </sheetViews>
  <sheetFormatPr defaultRowHeight="15.6"/>
  <cols>
    <col min="1" max="1" width="8.88671875" style="1" customWidth="1"/>
    <col min="2" max="2" width="12.77734375" style="1" customWidth="1"/>
    <col min="3" max="3" width="16.77734375" style="1" customWidth="1"/>
    <col min="4" max="4" width="22.77734375" style="1" customWidth="1"/>
    <col min="5" max="5" width="14.77734375" style="1" customWidth="1"/>
    <col min="6" max="6" width="15.77734375" style="1" customWidth="1"/>
    <col min="7" max="7" width="8.88671875" style="1"/>
    <col min="8" max="8" width="8.88671875" style="1" customWidth="1"/>
    <col min="9" max="16384" width="8.88671875" style="1"/>
  </cols>
  <sheetData>
    <row r="1" spans="1:12" ht="17.399999999999999">
      <c r="A1" s="13" t="s">
        <v>96</v>
      </c>
      <c r="B1" s="4"/>
      <c r="C1" s="4" t="s">
        <v>61</v>
      </c>
      <c r="D1" s="4"/>
      <c r="E1" s="4"/>
      <c r="F1" s="4"/>
      <c r="G1" s="4"/>
      <c r="H1" s="4"/>
      <c r="I1" s="4"/>
      <c r="J1" s="4"/>
      <c r="K1" s="4"/>
      <c r="L1" s="14"/>
    </row>
    <row r="2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2">
      <c r="A3" s="4" t="s">
        <v>97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2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ht="46.8">
      <c r="A5" s="15"/>
      <c r="B5" s="21" t="s">
        <v>12</v>
      </c>
      <c r="C5" s="21" t="s">
        <v>98</v>
      </c>
      <c r="D5" s="21" t="s">
        <v>99</v>
      </c>
      <c r="E5" s="4"/>
      <c r="F5" s="4"/>
      <c r="G5" s="4"/>
      <c r="H5" s="4"/>
      <c r="I5" s="4"/>
      <c r="J5" s="4"/>
      <c r="K5" s="4"/>
      <c r="L5" s="4"/>
    </row>
    <row r="6" spans="1:12">
      <c r="A6" s="15"/>
      <c r="B6" s="28">
        <v>2018</v>
      </c>
      <c r="C6" s="27">
        <v>14596</v>
      </c>
      <c r="D6" s="28">
        <v>746</v>
      </c>
      <c r="E6" s="4"/>
      <c r="F6" s="4"/>
      <c r="G6" s="4"/>
      <c r="H6" s="4"/>
      <c r="I6" s="4"/>
      <c r="J6" s="4"/>
      <c r="K6" s="4"/>
      <c r="L6" s="4"/>
    </row>
    <row r="7" spans="1:12">
      <c r="A7" s="15"/>
      <c r="B7" s="28">
        <v>2019</v>
      </c>
      <c r="C7" s="27">
        <v>14950</v>
      </c>
      <c r="D7" s="28">
        <v>748</v>
      </c>
      <c r="E7" s="4"/>
      <c r="F7" s="4"/>
      <c r="G7" s="4"/>
      <c r="H7" s="4"/>
      <c r="I7" s="4"/>
      <c r="J7" s="4"/>
      <c r="K7" s="4"/>
      <c r="L7" s="4"/>
    </row>
    <row r="8" spans="1:12">
      <c r="A8" s="15"/>
      <c r="B8" s="28">
        <v>2020</v>
      </c>
      <c r="C8" s="27">
        <v>15264</v>
      </c>
      <c r="D8" s="28">
        <v>752</v>
      </c>
      <c r="E8" s="4"/>
      <c r="F8" s="4"/>
      <c r="G8" s="4"/>
      <c r="H8" s="4"/>
      <c r="I8" s="4"/>
      <c r="J8" s="4"/>
      <c r="K8" s="4"/>
      <c r="L8" s="4"/>
    </row>
    <row r="9" spans="1:12">
      <c r="A9" s="4"/>
      <c r="B9" s="28">
        <v>2021</v>
      </c>
      <c r="C9" s="27">
        <v>15271</v>
      </c>
      <c r="D9" s="28">
        <v>838</v>
      </c>
      <c r="E9" s="4"/>
      <c r="F9" s="4"/>
      <c r="G9" s="4"/>
      <c r="H9" s="4"/>
      <c r="I9" s="4"/>
      <c r="J9" s="4"/>
      <c r="K9" s="4"/>
      <c r="L9" s="4"/>
    </row>
    <row r="10" spans="1:12">
      <c r="A10" s="4"/>
      <c r="B10" s="28">
        <v>2022</v>
      </c>
      <c r="C10" s="27">
        <v>15545</v>
      </c>
      <c r="D10" s="28">
        <v>849</v>
      </c>
      <c r="E10" s="4"/>
      <c r="F10" s="4"/>
      <c r="G10" s="4"/>
      <c r="H10" s="4"/>
      <c r="I10" s="4"/>
      <c r="J10" s="4"/>
      <c r="K10" s="4"/>
      <c r="L10" s="4"/>
    </row>
    <row r="11" spans="1:12">
      <c r="A11" s="15"/>
      <c r="B11" s="28">
        <v>2023</v>
      </c>
      <c r="C11" s="27">
        <v>15737</v>
      </c>
      <c r="D11" s="28">
        <v>845</v>
      </c>
      <c r="E11" s="4"/>
      <c r="F11" s="4"/>
      <c r="G11" s="4"/>
      <c r="H11" s="4"/>
      <c r="I11" s="4"/>
      <c r="J11" s="4"/>
      <c r="K11" s="4"/>
      <c r="L11" s="4"/>
    </row>
    <row r="12" spans="1:12">
      <c r="A12" s="4"/>
      <c r="B12" s="28">
        <v>2024</v>
      </c>
      <c r="C12" s="27">
        <v>15855</v>
      </c>
      <c r="D12" s="28">
        <v>844</v>
      </c>
      <c r="E12" s="4"/>
      <c r="F12" s="4"/>
      <c r="G12" s="4"/>
      <c r="H12" s="4"/>
      <c r="I12" s="4"/>
      <c r="J12" s="4"/>
      <c r="K12" s="4"/>
      <c r="L12" s="4"/>
    </row>
    <row r="13" spans="1:1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>
      <c r="A14" s="4"/>
      <c r="B14" s="29" t="s">
        <v>106</v>
      </c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>
      <c r="A15" s="4"/>
      <c r="B15" s="34" t="s">
        <v>105</v>
      </c>
      <c r="C15" s="4"/>
      <c r="D15" s="32">
        <v>0.1</v>
      </c>
      <c r="E15" s="4" t="s">
        <v>104</v>
      </c>
      <c r="F15" s="4"/>
      <c r="G15" s="4"/>
      <c r="H15" s="4"/>
      <c r="I15" s="4"/>
      <c r="J15" s="4"/>
      <c r="K15" s="4"/>
      <c r="L15" s="4"/>
    </row>
    <row r="16" spans="1:12">
      <c r="A16" s="4"/>
      <c r="B16" s="29" t="s">
        <v>101</v>
      </c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8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8">
      <c r="A18" s="17" t="s">
        <v>4</v>
      </c>
      <c r="B18" s="4" t="s">
        <v>100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3"/>
      <c r="N18" s="3"/>
      <c r="O18" s="3"/>
      <c r="P18" s="3"/>
      <c r="Q18" s="3"/>
      <c r="R18" s="3"/>
    </row>
    <row r="19" spans="1:18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8">
      <c r="A20" s="2" t="s">
        <v>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8">
      <c r="B21" s="2"/>
      <c r="C21" s="2"/>
      <c r="D21" s="127"/>
      <c r="E21" s="127"/>
      <c r="F21" s="2"/>
      <c r="G21" s="2"/>
      <c r="H21" s="2"/>
      <c r="I21" s="2"/>
      <c r="J21" s="2"/>
      <c r="K21" s="2"/>
      <c r="L21" s="2"/>
      <c r="M21" s="2"/>
    </row>
    <row r="22" spans="1:18" ht="31.2">
      <c r="B22" s="74" t="s">
        <v>12</v>
      </c>
      <c r="C22" s="74" t="s">
        <v>328</v>
      </c>
      <c r="D22" s="74" t="s">
        <v>329</v>
      </c>
      <c r="E22" s="74" t="s">
        <v>330</v>
      </c>
      <c r="F22" s="74" t="s">
        <v>331</v>
      </c>
      <c r="G22" s="2"/>
      <c r="H22" s="2"/>
      <c r="I22" s="2"/>
      <c r="J22" s="2"/>
      <c r="K22" s="2"/>
      <c r="L22" s="2"/>
      <c r="M22" s="2"/>
    </row>
    <row r="23" spans="1:18">
      <c r="B23" s="78">
        <f>$B$6</f>
        <v>2018</v>
      </c>
      <c r="C23" s="124">
        <f t="shared" ref="C23:C29" si="0">D6/C6</f>
        <v>5.1109893121403127E-2</v>
      </c>
      <c r="D23" s="125">
        <v>1.1000000000000001</v>
      </c>
      <c r="E23" s="124">
        <f t="shared" ref="E23:E29" si="1">D23*$C23</f>
        <v>5.6220882433543444E-2</v>
      </c>
      <c r="F23" s="2"/>
      <c r="G23" s="2"/>
      <c r="H23" s="2"/>
      <c r="I23" s="2"/>
      <c r="J23" s="2"/>
      <c r="K23" s="2"/>
      <c r="L23" s="2"/>
      <c r="M23" s="2"/>
    </row>
    <row r="24" spans="1:18">
      <c r="B24" s="78">
        <f>B23+1</f>
        <v>2019</v>
      </c>
      <c r="C24" s="124">
        <f t="shared" si="0"/>
        <v>5.0033444816053513E-2</v>
      </c>
      <c r="D24" s="125">
        <v>1.1000000000000001</v>
      </c>
      <c r="E24" s="124">
        <f t="shared" si="1"/>
        <v>5.5036789297658865E-2</v>
      </c>
      <c r="F24" s="124">
        <f>E24/E23-1</f>
        <v>-2.1061447003864586E-2</v>
      </c>
      <c r="G24" s="2"/>
      <c r="H24" s="2"/>
      <c r="I24" s="2"/>
      <c r="J24" s="2"/>
      <c r="K24" s="2"/>
      <c r="L24" s="2"/>
      <c r="M24" s="2"/>
    </row>
    <row r="25" spans="1:18">
      <c r="B25" s="78">
        <f t="shared" ref="B25:B29" si="2">B24+1</f>
        <v>2020</v>
      </c>
      <c r="C25" s="124">
        <f t="shared" si="0"/>
        <v>4.9266247379454925E-2</v>
      </c>
      <c r="D25" s="125">
        <v>1.1000000000000001</v>
      </c>
      <c r="E25" s="124">
        <f t="shared" si="1"/>
        <v>5.4192872117400419E-2</v>
      </c>
      <c r="F25" s="124">
        <f t="shared" ref="F25:F29" si="3">E25/E24-1</f>
        <v>-1.5333692081749839E-2</v>
      </c>
      <c r="G25" s="2"/>
      <c r="H25" s="2"/>
      <c r="I25" s="2"/>
      <c r="J25" s="2"/>
      <c r="K25" s="2"/>
      <c r="L25" s="2"/>
      <c r="M25" s="2"/>
    </row>
    <row r="26" spans="1:18">
      <c r="B26" s="78">
        <f t="shared" si="2"/>
        <v>2021</v>
      </c>
      <c r="C26" s="124">
        <f t="shared" si="0"/>
        <v>5.4875253748935891E-2</v>
      </c>
      <c r="D26" s="125">
        <v>1</v>
      </c>
      <c r="E26" s="124">
        <f t="shared" si="1"/>
        <v>5.4875253748935891E-2</v>
      </c>
      <c r="F26" s="124">
        <f t="shared" si="3"/>
        <v>1.2591722949416573E-2</v>
      </c>
      <c r="G26" s="2"/>
      <c r="H26" s="2"/>
      <c r="I26" s="2"/>
      <c r="J26" s="2"/>
      <c r="K26" s="2"/>
      <c r="L26" s="2"/>
      <c r="M26" s="2"/>
    </row>
    <row r="27" spans="1:18">
      <c r="B27" s="78">
        <f t="shared" si="2"/>
        <v>2022</v>
      </c>
      <c r="C27" s="124">
        <f t="shared" si="0"/>
        <v>5.4615632036024445E-2</v>
      </c>
      <c r="D27" s="125">
        <v>1</v>
      </c>
      <c r="E27" s="124">
        <f t="shared" si="1"/>
        <v>5.4615632036024445E-2</v>
      </c>
      <c r="F27" s="124">
        <f t="shared" si="3"/>
        <v>-4.731125510585521E-3</v>
      </c>
      <c r="G27" s="2"/>
      <c r="H27" s="2"/>
      <c r="I27" s="2"/>
      <c r="J27" s="2"/>
      <c r="K27" s="2"/>
      <c r="L27" s="2"/>
      <c r="M27" s="2"/>
    </row>
    <row r="28" spans="1:18">
      <c r="B28" s="78">
        <f t="shared" si="2"/>
        <v>2023</v>
      </c>
      <c r="C28" s="124">
        <f t="shared" si="0"/>
        <v>5.3695113426955585E-2</v>
      </c>
      <c r="D28" s="125">
        <v>1</v>
      </c>
      <c r="E28" s="124">
        <f t="shared" si="1"/>
        <v>5.3695113426955585E-2</v>
      </c>
      <c r="F28" s="124">
        <f t="shared" si="3"/>
        <v>-1.6854489726708444E-2</v>
      </c>
      <c r="G28" s="2"/>
      <c r="H28" s="2"/>
      <c r="I28" s="2"/>
      <c r="J28" s="2"/>
      <c r="K28" s="2"/>
      <c r="L28" s="2"/>
      <c r="M28" s="2"/>
    </row>
    <row r="29" spans="1:18">
      <c r="B29" s="78">
        <f t="shared" si="2"/>
        <v>2024</v>
      </c>
      <c r="C29" s="124">
        <f t="shared" si="0"/>
        <v>5.3232418795332706E-2</v>
      </c>
      <c r="D29" s="125">
        <v>1</v>
      </c>
      <c r="E29" s="124">
        <f t="shared" si="1"/>
        <v>5.3232418795332706E-2</v>
      </c>
      <c r="F29" s="124">
        <f t="shared" si="3"/>
        <v>-8.6170715004133536E-3</v>
      </c>
      <c r="G29" s="2"/>
      <c r="H29" s="2"/>
      <c r="I29" s="2"/>
      <c r="J29" s="2"/>
      <c r="K29" s="2"/>
      <c r="L29" s="2"/>
      <c r="M29" s="2"/>
    </row>
    <row r="30" spans="1:18">
      <c r="B30" s="78"/>
      <c r="C30" s="124"/>
      <c r="D30" s="125"/>
      <c r="E30" s="124"/>
      <c r="F30" s="124"/>
      <c r="G30" s="2"/>
      <c r="H30" s="2"/>
      <c r="I30" s="2"/>
      <c r="J30" s="2"/>
      <c r="K30" s="2"/>
      <c r="L30" s="2"/>
      <c r="M30" s="2"/>
    </row>
    <row r="31" spans="1:18">
      <c r="B31" s="78"/>
      <c r="C31" s="2" t="s">
        <v>332</v>
      </c>
      <c r="D31" s="2" t="s">
        <v>333</v>
      </c>
      <c r="E31" s="2"/>
      <c r="F31" s="128">
        <f>AVERAGE(F24:F29)</f>
        <v>-9.0010171456508612E-3</v>
      </c>
      <c r="G31" s="2"/>
      <c r="H31" s="2"/>
      <c r="I31" s="2"/>
      <c r="J31" s="2"/>
      <c r="K31" s="2"/>
      <c r="L31" s="2"/>
      <c r="M31" s="2"/>
    </row>
    <row r="32" spans="1:18">
      <c r="B32" s="78"/>
      <c r="C32" s="2"/>
      <c r="D32" s="2" t="s">
        <v>334</v>
      </c>
      <c r="E32" s="2"/>
      <c r="F32" s="128">
        <f>(SUM(F24:F29)-MIN(F24:F29)-MAX(F24:F29))/(COUNT(F24:F29)-2)</f>
        <v>-1.1384094704864289E-2</v>
      </c>
      <c r="G32" s="2"/>
      <c r="H32" s="2"/>
      <c r="I32" s="2"/>
      <c r="J32" s="2"/>
      <c r="K32" s="2"/>
      <c r="L32" s="2"/>
      <c r="M32" s="2"/>
    </row>
    <row r="33" spans="1:13">
      <c r="B33" s="78"/>
      <c r="C33" s="2"/>
      <c r="D33" s="2" t="s">
        <v>335</v>
      </c>
      <c r="E33" s="2"/>
      <c r="F33" s="126" cm="1">
        <f t="array" ref="F33">EXP(_xlfn.SINGLE(INDEX(LINEST(LN(E23:E29),),1)))-1</f>
        <v>-7.3106812640213459E-3</v>
      </c>
      <c r="G33" s="2"/>
      <c r="H33" s="2"/>
      <c r="I33" s="2"/>
      <c r="J33" s="2"/>
      <c r="K33" s="2"/>
      <c r="L33" s="2"/>
      <c r="M33" s="2"/>
    </row>
    <row r="34" spans="1:13">
      <c r="B34" s="78"/>
      <c r="C34" s="2"/>
      <c r="D34" s="2" t="s">
        <v>343</v>
      </c>
      <c r="E34" s="2"/>
      <c r="F34" s="126">
        <f>AVERAGE(F24:F25,F27:F29)</f>
        <v>-1.3319565164664348E-2</v>
      </c>
      <c r="G34" s="2"/>
      <c r="H34" s="2"/>
      <c r="I34" s="2"/>
      <c r="J34" s="2"/>
      <c r="K34" s="2"/>
      <c r="L34" s="2"/>
      <c r="M34" s="2"/>
    </row>
    <row r="35" spans="1:13">
      <c r="B35" s="78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>
      <c r="B36" s="78"/>
      <c r="D36" s="1" t="s">
        <v>336</v>
      </c>
      <c r="F36" s="91">
        <f>F34</f>
        <v>-1.3319565164664348E-2</v>
      </c>
      <c r="G36" s="2"/>
      <c r="H36" s="2"/>
      <c r="I36" s="2"/>
      <c r="J36" s="2"/>
      <c r="K36" s="2"/>
      <c r="L36" s="2"/>
      <c r="M36" s="2"/>
    </row>
    <row r="37" spans="1:13">
      <c r="B37" s="78"/>
      <c r="C37" s="1" t="s">
        <v>337</v>
      </c>
      <c r="D37" s="1" t="s">
        <v>344</v>
      </c>
      <c r="G37" s="2"/>
      <c r="H37" s="2"/>
      <c r="I37" s="2"/>
      <c r="J37" s="2"/>
      <c r="K37" s="2"/>
      <c r="L37" s="2"/>
      <c r="M37" s="2"/>
    </row>
    <row r="38" spans="1:13">
      <c r="M38" s="3"/>
    </row>
    <row r="39" spans="1:13" ht="15.6" customHeight="1">
      <c r="A39" s="17" t="s">
        <v>5</v>
      </c>
      <c r="B39" s="4" t="s">
        <v>102</v>
      </c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3">
      <c r="A41" s="2" t="s">
        <v>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3">
      <c r="B42" s="2"/>
      <c r="C42" s="127"/>
      <c r="D42" s="127"/>
      <c r="E42" s="127"/>
      <c r="F42" s="127"/>
      <c r="G42" s="2"/>
      <c r="H42" s="2"/>
      <c r="I42" s="2"/>
      <c r="J42" s="2"/>
      <c r="K42" s="2"/>
      <c r="L42" s="2"/>
    </row>
    <row r="43" spans="1:13" ht="46.8">
      <c r="B43" s="74" t="s">
        <v>12</v>
      </c>
      <c r="C43" s="74" t="str">
        <f t="shared" ref="C43:C50" si="4">E22</f>
        <v>Adjusted Frequency</v>
      </c>
      <c r="D43" s="74" t="s">
        <v>338</v>
      </c>
      <c r="E43" s="74" t="s">
        <v>339</v>
      </c>
      <c r="F43" s="74" t="s">
        <v>340</v>
      </c>
      <c r="G43" s="2"/>
      <c r="H43" s="2"/>
      <c r="I43" s="2"/>
      <c r="J43" s="2"/>
      <c r="K43" s="2"/>
      <c r="L43" s="2"/>
    </row>
    <row r="44" spans="1:13">
      <c r="B44" s="78">
        <f>$B$6</f>
        <v>2018</v>
      </c>
      <c r="C44" s="126">
        <f t="shared" si="4"/>
        <v>5.6220882433543444E-2</v>
      </c>
      <c r="D44" s="129">
        <f t="shared" ref="D44:D49" si="5">D45*(1+$F$36)</f>
        <v>0.92269698016529211</v>
      </c>
      <c r="E44" s="126">
        <f>C44*D44</f>
        <v>5.1874838443658457E-2</v>
      </c>
      <c r="F44" s="116">
        <f t="shared" ref="F44:F50" si="6">$E$56*C6/(D44*D23)</f>
        <v>761.51875591664418</v>
      </c>
      <c r="G44" s="2"/>
      <c r="H44" s="2"/>
      <c r="I44" s="2"/>
      <c r="J44" s="2"/>
      <c r="K44" s="2"/>
      <c r="L44" s="2"/>
    </row>
    <row r="45" spans="1:13">
      <c r="B45" s="78">
        <f>B44+1</f>
        <v>2019</v>
      </c>
      <c r="C45" s="126">
        <f t="shared" si="4"/>
        <v>5.5036789297658865E-2</v>
      </c>
      <c r="D45" s="129">
        <f t="shared" si="5"/>
        <v>0.93515280894292641</v>
      </c>
      <c r="E45" s="126">
        <f t="shared" ref="E45:E50" si="7">C45*D45</f>
        <v>5.1467808106905676E-2</v>
      </c>
      <c r="F45" s="116">
        <f t="shared" si="6"/>
        <v>769.59893638567542</v>
      </c>
      <c r="G45" s="2"/>
      <c r="H45" s="2"/>
      <c r="I45" s="2"/>
      <c r="J45" s="2"/>
      <c r="K45" s="2"/>
      <c r="L45" s="2"/>
    </row>
    <row r="46" spans="1:13">
      <c r="B46" s="78">
        <f t="shared" ref="B46:B50" si="8">B45+1</f>
        <v>2020</v>
      </c>
      <c r="C46" s="126">
        <f t="shared" si="4"/>
        <v>5.4192872117400419E-2</v>
      </c>
      <c r="D46" s="129">
        <f t="shared" si="5"/>
        <v>0.94777678357328676</v>
      </c>
      <c r="E46" s="126">
        <f t="shared" si="7"/>
        <v>5.1362746028028226E-2</v>
      </c>
      <c r="F46" s="116">
        <f t="shared" si="6"/>
        <v>775.29706530519957</v>
      </c>
      <c r="G46" s="2"/>
      <c r="H46" s="2"/>
      <c r="I46" s="2"/>
      <c r="J46" s="2"/>
      <c r="K46" s="2"/>
      <c r="L46" s="2"/>
    </row>
    <row r="47" spans="1:13">
      <c r="B47" s="78">
        <f t="shared" si="8"/>
        <v>2021</v>
      </c>
      <c r="C47" s="126">
        <f t="shared" si="4"/>
        <v>5.4875253748935891E-2</v>
      </c>
      <c r="D47" s="129">
        <f t="shared" si="5"/>
        <v>0.96057117391960711</v>
      </c>
      <c r="E47" s="126">
        <f t="shared" si="7"/>
        <v>5.2711586912751671E-2</v>
      </c>
      <c r="F47" s="116">
        <f t="shared" si="6"/>
        <v>841.85338318404922</v>
      </c>
      <c r="G47" s="2"/>
      <c r="H47" s="2"/>
      <c r="I47" s="2"/>
      <c r="J47" s="2"/>
      <c r="K47" s="2"/>
      <c r="L47" s="2"/>
    </row>
    <row r="48" spans="1:13">
      <c r="B48" s="78">
        <f t="shared" si="8"/>
        <v>2022</v>
      </c>
      <c r="C48" s="126">
        <f t="shared" si="4"/>
        <v>5.4615632036024445E-2</v>
      </c>
      <c r="D48" s="129">
        <f t="shared" si="5"/>
        <v>0.97353828048684699</v>
      </c>
      <c r="E48" s="126">
        <f t="shared" si="7"/>
        <v>5.3170408500053591E-2</v>
      </c>
      <c r="F48" s="116">
        <f t="shared" si="6"/>
        <v>845.54402957938601</v>
      </c>
      <c r="G48" s="2"/>
      <c r="H48" s="2"/>
      <c r="I48" s="2"/>
      <c r="J48" s="2"/>
      <c r="K48" s="2"/>
      <c r="L48" s="2"/>
    </row>
    <row r="49" spans="1:13">
      <c r="B49" s="78">
        <f t="shared" si="8"/>
        <v>2023</v>
      </c>
      <c r="C49" s="126">
        <f t="shared" si="4"/>
        <v>5.3695113426955585E-2</v>
      </c>
      <c r="D49" s="129">
        <f t="shared" si="5"/>
        <v>0.98668043483533563</v>
      </c>
      <c r="E49" s="126">
        <f t="shared" si="7"/>
        <v>5.2979917864641207E-2</v>
      </c>
      <c r="F49" s="116">
        <f t="shared" si="6"/>
        <v>844.58616352463184</v>
      </c>
      <c r="G49" s="2"/>
      <c r="H49" s="2"/>
      <c r="I49" s="2"/>
      <c r="J49" s="2"/>
      <c r="K49" s="2"/>
      <c r="L49" s="2"/>
    </row>
    <row r="50" spans="1:13">
      <c r="B50" s="73">
        <f t="shared" si="8"/>
        <v>2024</v>
      </c>
      <c r="C50" s="131">
        <f t="shared" si="4"/>
        <v>5.3232418795332706E-2</v>
      </c>
      <c r="D50" s="130">
        <v>1</v>
      </c>
      <c r="E50" s="131">
        <f t="shared" si="7"/>
        <v>5.3232418795332706E-2</v>
      </c>
      <c r="F50" s="118">
        <f t="shared" si="6"/>
        <v>839.58521167130459</v>
      </c>
      <c r="G50" s="2"/>
      <c r="H50" s="2"/>
      <c r="I50" s="2"/>
      <c r="J50" s="2"/>
      <c r="K50" s="2"/>
      <c r="L50" s="2"/>
    </row>
    <row r="51" spans="1:13">
      <c r="B51" s="2"/>
      <c r="C51" s="2"/>
      <c r="D51" s="2"/>
      <c r="E51" s="2"/>
      <c r="F51" s="116">
        <f>SUM(F44:F50)</f>
        <v>5677.9835455668908</v>
      </c>
      <c r="G51" s="2"/>
      <c r="H51" s="2"/>
      <c r="I51" s="2"/>
      <c r="J51" s="2"/>
      <c r="K51" s="2"/>
      <c r="L51" s="2"/>
    </row>
    <row r="52" spans="1:13">
      <c r="B52" s="2" t="str">
        <f>"Average trended frequencies at "&amp;B50&amp;" cost level excluding "&amp;B50</f>
        <v>Average trended frequencies at 2024 cost level excluding 2024</v>
      </c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3">
      <c r="B53" s="2"/>
      <c r="C53" s="2"/>
      <c r="D53" s="2" t="s">
        <v>333</v>
      </c>
      <c r="E53" s="126">
        <f>AVERAGE(E44:E49)</f>
        <v>5.2261217642673143E-2</v>
      </c>
      <c r="F53" s="2"/>
      <c r="G53" s="2"/>
      <c r="H53" s="2"/>
      <c r="I53" s="2"/>
      <c r="J53" s="2"/>
      <c r="K53" s="2"/>
      <c r="L53" s="2"/>
    </row>
    <row r="54" spans="1:13">
      <c r="B54" s="2"/>
      <c r="C54" s="2"/>
      <c r="D54" s="2" t="s">
        <v>341</v>
      </c>
      <c r="E54" s="126">
        <f>AVERAGE(E45,E47,E48,E49)</f>
        <v>5.2582430346088033E-2</v>
      </c>
      <c r="F54" s="2"/>
      <c r="G54" s="2"/>
      <c r="H54" s="2"/>
      <c r="I54" s="2"/>
      <c r="J54" s="2"/>
      <c r="K54" s="2"/>
      <c r="L54" s="2"/>
    </row>
    <row r="55" spans="1:13">
      <c r="B55" s="2"/>
      <c r="C55" s="2"/>
      <c r="D55" s="2" t="s">
        <v>346</v>
      </c>
      <c r="E55" s="126">
        <f>AVERAGE(E47:E49)</f>
        <v>5.2953971092482156E-2</v>
      </c>
      <c r="F55" s="2"/>
      <c r="G55" s="2"/>
      <c r="H55" s="2"/>
      <c r="I55" s="2"/>
      <c r="J55" s="2"/>
      <c r="K55" s="2"/>
      <c r="L55" s="2"/>
    </row>
    <row r="56" spans="1:13">
      <c r="B56" s="2"/>
      <c r="C56" s="2" t="str">
        <f>"Selected frequency at "&amp;B50&amp;" cost level"</f>
        <v>Selected frequency at 2024 cost level</v>
      </c>
      <c r="D56" s="2"/>
      <c r="E56" s="126">
        <f>E55</f>
        <v>5.2953971092482156E-2</v>
      </c>
      <c r="F56" s="2"/>
      <c r="G56" s="2"/>
      <c r="H56" s="2"/>
      <c r="I56" s="2"/>
      <c r="J56" s="2"/>
      <c r="K56" s="2"/>
      <c r="L56" s="2"/>
    </row>
    <row r="57" spans="1:13">
      <c r="B57" s="2"/>
      <c r="C57" s="2"/>
      <c r="D57" s="2"/>
      <c r="E57" s="2"/>
      <c r="F57" s="2"/>
      <c r="G57" s="2"/>
      <c r="H57" s="2"/>
      <c r="I57" s="2"/>
      <c r="M57" s="2"/>
    </row>
    <row r="58" spans="1:13">
      <c r="A58" s="34" t="s">
        <v>87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2"/>
    </row>
    <row r="59" spans="1:13">
      <c r="A59" s="4"/>
      <c r="B59" s="29" t="s">
        <v>107</v>
      </c>
      <c r="C59" s="4"/>
      <c r="D59" s="4"/>
      <c r="E59" s="35">
        <v>12400</v>
      </c>
      <c r="F59" s="4"/>
      <c r="G59" s="4"/>
      <c r="H59" s="4"/>
      <c r="I59" s="4"/>
      <c r="J59" s="4"/>
      <c r="K59" s="4"/>
      <c r="L59" s="4"/>
      <c r="M59" s="2"/>
    </row>
    <row r="60" spans="1:13">
      <c r="A60" s="4"/>
      <c r="B60" s="29" t="s">
        <v>46</v>
      </c>
      <c r="C60" s="4"/>
      <c r="D60" s="4"/>
      <c r="E60" s="32">
        <v>7.0000000000000007E-2</v>
      </c>
      <c r="F60" s="4"/>
      <c r="G60" s="4"/>
      <c r="H60" s="4"/>
      <c r="I60" s="4"/>
      <c r="J60" s="4"/>
      <c r="K60" s="4"/>
      <c r="L60" s="4"/>
      <c r="M60" s="2"/>
    </row>
    <row r="62" spans="1:13">
      <c r="A62" s="17" t="s">
        <v>0</v>
      </c>
      <c r="B62" s="159" t="s">
        <v>103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</row>
    <row r="63" spans="1:13">
      <c r="A63" s="17"/>
      <c r="B63" s="159"/>
      <c r="C63" s="159"/>
      <c r="D63" s="159"/>
      <c r="E63" s="159"/>
      <c r="F63" s="159"/>
      <c r="G63" s="159"/>
      <c r="H63" s="159"/>
      <c r="I63" s="159"/>
      <c r="J63" s="159"/>
      <c r="K63" s="159"/>
      <c r="L63" s="159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1:12">
      <c r="A65" s="2" t="s">
        <v>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1:12">
      <c r="B66" s="2"/>
      <c r="C66" s="127"/>
      <c r="D66" s="127"/>
      <c r="E66" s="127"/>
      <c r="F66" s="127"/>
      <c r="G66" s="2"/>
      <c r="H66" s="2"/>
      <c r="I66" s="2"/>
      <c r="J66" s="2"/>
      <c r="K66" s="2"/>
      <c r="L66" s="2"/>
    </row>
    <row r="67" spans="1:12" ht="31.2">
      <c r="B67" s="74" t="s">
        <v>12</v>
      </c>
      <c r="C67" s="74" t="s">
        <v>345</v>
      </c>
      <c r="D67" s="74" t="s">
        <v>342</v>
      </c>
      <c r="E67" s="74" t="s">
        <v>14</v>
      </c>
      <c r="F67" s="74" t="s">
        <v>195</v>
      </c>
      <c r="G67" s="2"/>
      <c r="H67" s="2"/>
      <c r="I67" s="2"/>
      <c r="J67" s="2"/>
      <c r="K67" s="2"/>
      <c r="L67" s="2"/>
    </row>
    <row r="68" spans="1:12">
      <c r="B68" s="78">
        <f>$B$6</f>
        <v>2018</v>
      </c>
      <c r="C68" s="129">
        <f>C69*(1+$E$60)</f>
        <v>1.5007303518490005</v>
      </c>
      <c r="D68" s="116">
        <f>$E$59/C68</f>
        <v>8262.6435753247533</v>
      </c>
      <c r="E68" s="116">
        <f t="shared" ref="E68:E74" si="9">F44</f>
        <v>761.51875591664418</v>
      </c>
      <c r="F68" s="75">
        <f>E68*D68</f>
        <v>6292158.0560639594</v>
      </c>
      <c r="G68" s="2"/>
      <c r="H68" s="2"/>
      <c r="I68" s="2"/>
      <c r="J68" s="2"/>
      <c r="K68" s="2"/>
      <c r="L68" s="2"/>
    </row>
    <row r="69" spans="1:12">
      <c r="B69" s="78">
        <f>B68+1</f>
        <v>2019</v>
      </c>
      <c r="C69" s="129">
        <f t="shared" ref="C69:C73" si="10">C70*(1+$E$60)</f>
        <v>1.4025517307000004</v>
      </c>
      <c r="D69" s="116">
        <f t="shared" ref="D69:D74" si="11">$E$59/C69</f>
        <v>8841.0286255974861</v>
      </c>
      <c r="E69" s="116">
        <f t="shared" si="9"/>
        <v>769.59893638567542</v>
      </c>
      <c r="F69" s="75">
        <f t="shared" ref="F69:F74" si="12">E69*D69</f>
        <v>6804046.2268151352</v>
      </c>
      <c r="G69" s="2"/>
      <c r="H69" s="2"/>
      <c r="I69" s="2"/>
      <c r="J69" s="2"/>
      <c r="K69" s="2"/>
      <c r="L69" s="2"/>
    </row>
    <row r="70" spans="1:12">
      <c r="B70" s="78">
        <f t="shared" ref="B70:B74" si="13">B69+1</f>
        <v>2020</v>
      </c>
      <c r="C70" s="129">
        <f t="shared" si="10"/>
        <v>1.3107960100000002</v>
      </c>
      <c r="D70" s="116">
        <f t="shared" si="11"/>
        <v>9459.9006293893108</v>
      </c>
      <c r="E70" s="116">
        <f t="shared" si="9"/>
        <v>775.29706530519957</v>
      </c>
      <c r="F70" s="75">
        <f t="shared" si="12"/>
        <v>7334233.1960443426</v>
      </c>
      <c r="G70" s="2"/>
      <c r="H70" s="2"/>
      <c r="I70" s="2"/>
      <c r="J70" s="2"/>
      <c r="K70" s="2"/>
      <c r="L70" s="2"/>
    </row>
    <row r="71" spans="1:12">
      <c r="B71" s="78">
        <f t="shared" si="13"/>
        <v>2021</v>
      </c>
      <c r="C71" s="129">
        <f t="shared" si="10"/>
        <v>1.2250430000000001</v>
      </c>
      <c r="D71" s="116">
        <f t="shared" si="11"/>
        <v>10122.093673446563</v>
      </c>
      <c r="E71" s="116">
        <f t="shared" si="9"/>
        <v>841.85338318404922</v>
      </c>
      <c r="F71" s="75">
        <f t="shared" si="12"/>
        <v>8521318.80389685</v>
      </c>
      <c r="G71" s="2"/>
      <c r="H71" s="2"/>
      <c r="I71" s="2"/>
      <c r="J71" s="2"/>
      <c r="K71" s="2"/>
      <c r="L71" s="2"/>
    </row>
    <row r="72" spans="1:12">
      <c r="B72" s="78">
        <f t="shared" si="13"/>
        <v>2022</v>
      </c>
      <c r="C72" s="129">
        <f t="shared" si="10"/>
        <v>1.1449</v>
      </c>
      <c r="D72" s="116">
        <f t="shared" si="11"/>
        <v>10830.640230587824</v>
      </c>
      <c r="E72" s="116">
        <f t="shared" si="9"/>
        <v>845.54402957938601</v>
      </c>
      <c r="F72" s="75">
        <f t="shared" si="12"/>
        <v>9157783.1834958382</v>
      </c>
      <c r="G72" s="2"/>
      <c r="H72" s="2"/>
      <c r="I72" s="2"/>
      <c r="J72" s="2"/>
      <c r="K72" s="2"/>
      <c r="L72" s="2"/>
    </row>
    <row r="73" spans="1:12">
      <c r="B73" s="78">
        <f t="shared" si="13"/>
        <v>2023</v>
      </c>
      <c r="C73" s="129">
        <f t="shared" si="10"/>
        <v>1.07</v>
      </c>
      <c r="D73" s="116">
        <f t="shared" si="11"/>
        <v>11588.785046728972</v>
      </c>
      <c r="E73" s="116">
        <f t="shared" si="9"/>
        <v>844.58616352463184</v>
      </c>
      <c r="F73" s="75">
        <f t="shared" si="12"/>
        <v>9787727.5025284439</v>
      </c>
      <c r="G73" s="2"/>
      <c r="H73" s="2"/>
      <c r="I73" s="2"/>
      <c r="J73" s="2"/>
      <c r="K73" s="2"/>
      <c r="L73" s="2"/>
    </row>
    <row r="74" spans="1:12">
      <c r="B74" s="73">
        <f t="shared" si="13"/>
        <v>2024</v>
      </c>
      <c r="C74" s="130">
        <v>1</v>
      </c>
      <c r="D74" s="118">
        <f t="shared" si="11"/>
        <v>12400</v>
      </c>
      <c r="E74" s="118">
        <f t="shared" si="9"/>
        <v>839.58521167130459</v>
      </c>
      <c r="F74" s="80">
        <f t="shared" si="12"/>
        <v>10410856.624724178</v>
      </c>
      <c r="G74" s="2"/>
      <c r="H74" s="2"/>
      <c r="I74" s="2"/>
      <c r="J74" s="2"/>
      <c r="K74" s="2"/>
      <c r="L74" s="2"/>
    </row>
    <row r="75" spans="1:12">
      <c r="B75" s="2"/>
      <c r="C75" s="2"/>
      <c r="D75" s="2"/>
      <c r="E75" s="2"/>
      <c r="F75" s="75">
        <f>SUM(F68:F74)</f>
        <v>58308123.593568757</v>
      </c>
      <c r="G75" s="2"/>
      <c r="H75" s="2"/>
      <c r="I75" s="2"/>
      <c r="J75" s="2"/>
      <c r="K75" s="2"/>
      <c r="L75" s="2"/>
    </row>
    <row r="76" spans="1:12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2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1:12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1:12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1:12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</sheetData>
  <mergeCells count="1">
    <mergeCell ref="B62:L63"/>
  </mergeCell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9D1F6-7FD3-4DBE-8D29-A347FB2350E4}">
  <dimension ref="A1:R152"/>
  <sheetViews>
    <sheetView zoomScaleNormal="100" workbookViewId="0"/>
  </sheetViews>
  <sheetFormatPr defaultRowHeight="15.6"/>
  <cols>
    <col min="1" max="1" width="8.88671875" style="1" customWidth="1"/>
    <col min="2" max="7" width="13.33203125" style="1" customWidth="1"/>
    <col min="8" max="8" width="12.77734375" style="1" customWidth="1"/>
    <col min="9" max="16384" width="8.88671875" style="1"/>
  </cols>
  <sheetData>
    <row r="1" spans="1:12" ht="17.399999999999999">
      <c r="A1" s="13" t="s">
        <v>108</v>
      </c>
      <c r="B1" s="4"/>
      <c r="C1" s="4" t="s">
        <v>109</v>
      </c>
      <c r="D1" s="4"/>
      <c r="E1" s="4"/>
      <c r="F1" s="4"/>
      <c r="G1" s="4"/>
      <c r="H1" s="4"/>
      <c r="I1" s="4"/>
      <c r="J1" s="4"/>
      <c r="K1" s="4"/>
      <c r="L1" s="14"/>
    </row>
    <row r="2" spans="1:1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2">
      <c r="A3" s="4" t="s">
        <v>110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>
      <c r="A5" s="15"/>
      <c r="B5" s="22" t="s">
        <v>23</v>
      </c>
      <c r="C5" s="173" t="s">
        <v>24</v>
      </c>
      <c r="D5" s="161"/>
      <c r="E5" s="161"/>
      <c r="F5" s="161"/>
      <c r="G5" s="161"/>
      <c r="H5" s="161"/>
      <c r="I5" s="4"/>
      <c r="J5" s="4"/>
      <c r="K5" s="4"/>
      <c r="L5" s="4"/>
    </row>
    <row r="6" spans="1:12">
      <c r="A6" s="15"/>
      <c r="B6" s="23" t="s">
        <v>88</v>
      </c>
      <c r="C6" s="45">
        <v>12</v>
      </c>
      <c r="D6" s="26">
        <v>24</v>
      </c>
      <c r="E6" s="26">
        <v>36</v>
      </c>
      <c r="F6" s="26">
        <v>48</v>
      </c>
      <c r="G6" s="26">
        <v>60</v>
      </c>
      <c r="H6" s="26">
        <v>72</v>
      </c>
      <c r="I6" s="4"/>
      <c r="J6" s="4"/>
      <c r="K6" s="4"/>
      <c r="L6" s="4"/>
    </row>
    <row r="7" spans="1:12">
      <c r="A7" s="15"/>
      <c r="B7" s="28">
        <v>2019</v>
      </c>
      <c r="C7" s="27">
        <v>1991607</v>
      </c>
      <c r="D7" s="27">
        <v>3376861</v>
      </c>
      <c r="E7" s="27">
        <v>4771506</v>
      </c>
      <c r="F7" s="27">
        <v>5966546</v>
      </c>
      <c r="G7" s="27">
        <v>6837261</v>
      </c>
      <c r="H7" s="27">
        <v>7529454</v>
      </c>
      <c r="I7" s="4"/>
      <c r="J7" s="4"/>
      <c r="K7" s="4"/>
      <c r="L7" s="4"/>
    </row>
    <row r="8" spans="1:12">
      <c r="A8" s="15"/>
      <c r="B8" s="28">
        <v>2020</v>
      </c>
      <c r="C8" s="27">
        <v>2102873</v>
      </c>
      <c r="D8" s="27">
        <v>3852753</v>
      </c>
      <c r="E8" s="27">
        <v>5183911</v>
      </c>
      <c r="F8" s="27">
        <v>6324931</v>
      </c>
      <c r="G8" s="27">
        <v>7336173</v>
      </c>
      <c r="H8" s="28"/>
      <c r="I8" s="4"/>
      <c r="J8" s="4"/>
      <c r="K8" s="4"/>
      <c r="L8" s="4"/>
    </row>
    <row r="9" spans="1:12">
      <c r="A9" s="4"/>
      <c r="B9" s="28">
        <v>2021</v>
      </c>
      <c r="C9" s="27">
        <v>2123942</v>
      </c>
      <c r="D9" s="27">
        <v>3902072</v>
      </c>
      <c r="E9" s="27">
        <v>5496322</v>
      </c>
      <c r="F9" s="27">
        <v>6737688</v>
      </c>
      <c r="G9" s="28"/>
      <c r="H9" s="28"/>
      <c r="I9" s="4"/>
      <c r="J9" s="4"/>
      <c r="K9" s="4"/>
      <c r="L9" s="4"/>
    </row>
    <row r="10" spans="1:12">
      <c r="A10" s="4"/>
      <c r="B10" s="28">
        <v>2022</v>
      </c>
      <c r="C10" s="27">
        <v>2408832</v>
      </c>
      <c r="D10" s="27">
        <v>4397287</v>
      </c>
      <c r="E10" s="27">
        <v>6134142</v>
      </c>
      <c r="F10" s="28"/>
      <c r="G10" s="28"/>
      <c r="H10" s="28"/>
      <c r="I10" s="4"/>
      <c r="J10" s="4"/>
      <c r="K10" s="4"/>
      <c r="L10" s="4"/>
    </row>
    <row r="11" spans="1:12">
      <c r="A11" s="4"/>
      <c r="B11" s="28">
        <v>2023</v>
      </c>
      <c r="C11" s="27">
        <v>2403188</v>
      </c>
      <c r="D11" s="27">
        <v>4460568</v>
      </c>
      <c r="E11" s="28"/>
      <c r="F11" s="28"/>
      <c r="G11" s="28"/>
      <c r="H11" s="28"/>
      <c r="I11" s="4"/>
      <c r="J11" s="4"/>
      <c r="K11" s="4"/>
      <c r="L11" s="4"/>
    </row>
    <row r="12" spans="1:12">
      <c r="A12" s="4"/>
      <c r="B12" s="28">
        <v>2024</v>
      </c>
      <c r="C12" s="27">
        <v>2787327</v>
      </c>
      <c r="D12" s="28"/>
      <c r="E12" s="28"/>
      <c r="F12" s="28"/>
      <c r="G12" s="28"/>
      <c r="H12" s="28"/>
      <c r="I12" s="4"/>
      <c r="J12" s="4"/>
      <c r="K12" s="4"/>
      <c r="L12" s="4"/>
    </row>
    <row r="13" spans="1:1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>
      <c r="A14" s="4"/>
      <c r="B14" s="22" t="s">
        <v>23</v>
      </c>
      <c r="C14" s="173" t="s">
        <v>26</v>
      </c>
      <c r="D14" s="161"/>
      <c r="E14" s="161"/>
      <c r="F14" s="161"/>
      <c r="G14" s="161"/>
      <c r="H14" s="161"/>
      <c r="I14" s="4"/>
      <c r="J14" s="4"/>
      <c r="K14" s="4"/>
      <c r="L14" s="4"/>
    </row>
    <row r="15" spans="1:12">
      <c r="A15" s="4"/>
      <c r="B15" s="23" t="s">
        <v>88</v>
      </c>
      <c r="C15" s="45">
        <v>12</v>
      </c>
      <c r="D15" s="26">
        <v>24</v>
      </c>
      <c r="E15" s="26">
        <v>36</v>
      </c>
      <c r="F15" s="26">
        <v>48</v>
      </c>
      <c r="G15" s="26">
        <v>60</v>
      </c>
      <c r="H15" s="26">
        <v>72</v>
      </c>
      <c r="I15" s="4"/>
      <c r="J15" s="4"/>
      <c r="K15" s="4"/>
      <c r="L15" s="4"/>
    </row>
    <row r="16" spans="1:12">
      <c r="A16" s="4"/>
      <c r="B16" s="28">
        <v>2019</v>
      </c>
      <c r="C16" s="27">
        <v>3759658</v>
      </c>
      <c r="D16" s="27">
        <v>4829472</v>
      </c>
      <c r="E16" s="27">
        <v>5890182</v>
      </c>
      <c r="F16" s="27">
        <v>6708585</v>
      </c>
      <c r="G16" s="27">
        <v>7217625</v>
      </c>
      <c r="H16" s="27">
        <v>7560927</v>
      </c>
      <c r="I16" s="4"/>
      <c r="J16" s="4"/>
      <c r="K16" s="4"/>
      <c r="L16" s="4"/>
    </row>
    <row r="17" spans="1:12">
      <c r="A17" s="4"/>
      <c r="B17" s="28">
        <v>2020</v>
      </c>
      <c r="C17" s="27">
        <v>3984406</v>
      </c>
      <c r="D17" s="27">
        <v>5388587</v>
      </c>
      <c r="E17" s="27">
        <v>6360769</v>
      </c>
      <c r="F17" s="27">
        <v>7119570</v>
      </c>
      <c r="G17" s="27">
        <v>7787844</v>
      </c>
      <c r="H17" s="28"/>
      <c r="I17" s="4"/>
      <c r="J17" s="4"/>
      <c r="K17" s="4"/>
      <c r="L17" s="4"/>
    </row>
    <row r="18" spans="1:12">
      <c r="A18" s="4"/>
      <c r="B18" s="28">
        <v>2021</v>
      </c>
      <c r="C18" s="27">
        <v>4167634</v>
      </c>
      <c r="D18" s="27">
        <v>5508351</v>
      </c>
      <c r="E18" s="27">
        <v>6764677</v>
      </c>
      <c r="F18" s="27">
        <v>7690156</v>
      </c>
      <c r="G18" s="28"/>
      <c r="H18" s="28"/>
      <c r="I18" s="4"/>
      <c r="J18" s="4"/>
      <c r="K18" s="4"/>
      <c r="L18" s="4"/>
    </row>
    <row r="19" spans="1:12">
      <c r="A19" s="4"/>
      <c r="B19" s="28">
        <v>2022</v>
      </c>
      <c r="C19" s="27">
        <v>4896994</v>
      </c>
      <c r="D19" s="27">
        <v>7299550</v>
      </c>
      <c r="E19" s="27">
        <v>9009520</v>
      </c>
      <c r="F19" s="28"/>
      <c r="G19" s="28"/>
      <c r="H19" s="28"/>
      <c r="I19" s="4"/>
      <c r="J19" s="4"/>
      <c r="K19" s="4"/>
      <c r="L19" s="4"/>
    </row>
    <row r="20" spans="1:12">
      <c r="A20" s="4"/>
      <c r="B20" s="28">
        <v>2023</v>
      </c>
      <c r="C20" s="27">
        <v>4688943</v>
      </c>
      <c r="D20" s="27">
        <v>6527570</v>
      </c>
      <c r="E20" s="28"/>
      <c r="F20" s="28"/>
      <c r="G20" s="28"/>
      <c r="H20" s="28"/>
      <c r="I20" s="4"/>
      <c r="J20" s="4"/>
      <c r="K20" s="4"/>
      <c r="L20" s="4"/>
    </row>
    <row r="21" spans="1:12">
      <c r="A21" s="4"/>
      <c r="B21" s="28">
        <v>2024</v>
      </c>
      <c r="C21" s="27">
        <v>5514933</v>
      </c>
      <c r="D21" s="28"/>
      <c r="E21" s="28"/>
      <c r="F21" s="28"/>
      <c r="G21" s="28"/>
      <c r="H21" s="28"/>
      <c r="I21" s="4"/>
      <c r="J21" s="4"/>
      <c r="K21" s="4"/>
      <c r="L21" s="4"/>
    </row>
    <row r="22" spans="1:1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1:12">
      <c r="A23" s="4"/>
      <c r="B23" s="22" t="s">
        <v>23</v>
      </c>
      <c r="C23" s="173" t="s">
        <v>71</v>
      </c>
      <c r="D23" s="161"/>
      <c r="E23" s="161"/>
      <c r="F23" s="161"/>
      <c r="G23" s="161"/>
      <c r="H23" s="161"/>
      <c r="I23" s="4"/>
      <c r="J23" s="4"/>
      <c r="K23" s="4"/>
      <c r="L23" s="4"/>
    </row>
    <row r="24" spans="1:12">
      <c r="A24" s="4"/>
      <c r="B24" s="23" t="s">
        <v>88</v>
      </c>
      <c r="C24" s="45">
        <v>12</v>
      </c>
      <c r="D24" s="26">
        <v>24</v>
      </c>
      <c r="E24" s="26">
        <v>36</v>
      </c>
      <c r="F24" s="26">
        <v>48</v>
      </c>
      <c r="G24" s="26">
        <v>60</v>
      </c>
      <c r="H24" s="26">
        <v>72</v>
      </c>
      <c r="I24" s="4"/>
      <c r="J24" s="4"/>
      <c r="K24" s="4"/>
      <c r="L24" s="4"/>
    </row>
    <row r="25" spans="1:12">
      <c r="A25" s="4"/>
      <c r="B25" s="28">
        <v>2019</v>
      </c>
      <c r="C25" s="27">
        <v>435</v>
      </c>
      <c r="D25" s="27">
        <v>631</v>
      </c>
      <c r="E25" s="27">
        <v>791</v>
      </c>
      <c r="F25" s="27">
        <v>921</v>
      </c>
      <c r="G25" s="27">
        <v>1010</v>
      </c>
      <c r="H25" s="27">
        <v>1081</v>
      </c>
      <c r="I25" s="4"/>
      <c r="J25" s="4"/>
      <c r="K25" s="4"/>
      <c r="L25" s="4"/>
    </row>
    <row r="26" spans="1:12">
      <c r="A26" s="4"/>
      <c r="B26" s="28">
        <v>2020</v>
      </c>
      <c r="C26" s="27">
        <v>431</v>
      </c>
      <c r="D26" s="27">
        <v>645</v>
      </c>
      <c r="E26" s="27">
        <v>800</v>
      </c>
      <c r="F26" s="27">
        <v>926</v>
      </c>
      <c r="G26" s="27">
        <v>1015</v>
      </c>
      <c r="H26" s="28"/>
      <c r="I26" s="4"/>
      <c r="J26" s="4"/>
      <c r="K26" s="4"/>
      <c r="L26" s="4"/>
    </row>
    <row r="27" spans="1:12">
      <c r="A27" s="4"/>
      <c r="B27" s="28">
        <v>2021</v>
      </c>
      <c r="C27" s="27">
        <v>433</v>
      </c>
      <c r="D27" s="27">
        <v>640</v>
      </c>
      <c r="E27" s="27">
        <v>789</v>
      </c>
      <c r="F27" s="27">
        <v>921</v>
      </c>
      <c r="G27" s="28"/>
      <c r="H27" s="28"/>
      <c r="I27" s="4"/>
      <c r="J27" s="4"/>
      <c r="K27" s="4"/>
      <c r="L27" s="4"/>
    </row>
    <row r="28" spans="1:12">
      <c r="A28" s="4"/>
      <c r="B28" s="28">
        <v>2022</v>
      </c>
      <c r="C28" s="27">
        <v>444</v>
      </c>
      <c r="D28" s="27">
        <v>648</v>
      </c>
      <c r="E28" s="27">
        <v>808</v>
      </c>
      <c r="F28" s="28"/>
      <c r="G28" s="28"/>
      <c r="H28" s="28"/>
      <c r="I28" s="4"/>
      <c r="J28" s="4"/>
      <c r="K28" s="4"/>
      <c r="L28" s="4"/>
    </row>
    <row r="29" spans="1:12">
      <c r="A29" s="4"/>
      <c r="B29" s="28">
        <v>2023</v>
      </c>
      <c r="C29" s="27">
        <v>436</v>
      </c>
      <c r="D29" s="27">
        <v>648</v>
      </c>
      <c r="E29" s="28"/>
      <c r="F29" s="28"/>
      <c r="G29" s="28"/>
      <c r="H29" s="28"/>
      <c r="I29" s="4"/>
      <c r="J29" s="4"/>
      <c r="K29" s="4"/>
      <c r="L29" s="4"/>
    </row>
    <row r="30" spans="1:12">
      <c r="A30" s="4"/>
      <c r="B30" s="28">
        <v>2024</v>
      </c>
      <c r="C30" s="27">
        <v>437</v>
      </c>
      <c r="D30" s="28"/>
      <c r="E30" s="28"/>
      <c r="F30" s="28"/>
      <c r="G30" s="28"/>
      <c r="H30" s="28"/>
      <c r="I30" s="4"/>
      <c r="J30" s="4"/>
      <c r="K30" s="4"/>
      <c r="L30" s="4"/>
    </row>
    <row r="31" spans="1:1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>
      <c r="A32" s="4"/>
      <c r="B32" s="22" t="s">
        <v>23</v>
      </c>
      <c r="C32" s="173" t="s">
        <v>111</v>
      </c>
      <c r="D32" s="161"/>
      <c r="E32" s="161"/>
      <c r="F32" s="161"/>
      <c r="G32" s="161"/>
      <c r="H32" s="161"/>
      <c r="I32" s="4"/>
      <c r="J32" s="4"/>
      <c r="K32" s="4"/>
      <c r="L32" s="4"/>
    </row>
    <row r="33" spans="1:12">
      <c r="A33" s="4"/>
      <c r="B33" s="23" t="s">
        <v>88</v>
      </c>
      <c r="C33" s="45">
        <v>12</v>
      </c>
      <c r="D33" s="26">
        <v>24</v>
      </c>
      <c r="E33" s="26">
        <v>36</v>
      </c>
      <c r="F33" s="26">
        <v>48</v>
      </c>
      <c r="G33" s="26">
        <v>60</v>
      </c>
      <c r="H33" s="26">
        <v>72</v>
      </c>
      <c r="I33" s="4"/>
      <c r="J33" s="4"/>
      <c r="K33" s="4"/>
      <c r="L33" s="4"/>
    </row>
    <row r="34" spans="1:12">
      <c r="A34" s="15"/>
      <c r="B34" s="28">
        <v>2019</v>
      </c>
      <c r="C34" s="27">
        <v>735</v>
      </c>
      <c r="D34" s="27">
        <v>857</v>
      </c>
      <c r="E34" s="27">
        <v>961</v>
      </c>
      <c r="F34" s="27">
        <v>1042</v>
      </c>
      <c r="G34" s="27">
        <v>1087</v>
      </c>
      <c r="H34" s="27">
        <v>1117</v>
      </c>
      <c r="I34" s="4"/>
      <c r="J34" s="4"/>
      <c r="K34" s="4"/>
      <c r="L34" s="4"/>
    </row>
    <row r="35" spans="1:12">
      <c r="A35" s="4"/>
      <c r="B35" s="28">
        <v>2020</v>
      </c>
      <c r="C35" s="27">
        <v>732</v>
      </c>
      <c r="D35" s="27">
        <v>872</v>
      </c>
      <c r="E35" s="27">
        <v>972</v>
      </c>
      <c r="F35" s="27">
        <v>1047</v>
      </c>
      <c r="G35" s="27">
        <v>1092</v>
      </c>
      <c r="H35" s="28"/>
      <c r="I35" s="4"/>
      <c r="J35" s="4"/>
      <c r="K35" s="4"/>
      <c r="L35" s="4"/>
    </row>
    <row r="36" spans="1:12">
      <c r="A36" s="4"/>
      <c r="B36" s="28">
        <v>2021</v>
      </c>
      <c r="C36" s="27">
        <v>736</v>
      </c>
      <c r="D36" s="27">
        <v>865</v>
      </c>
      <c r="E36" s="27">
        <v>961</v>
      </c>
      <c r="F36" s="27">
        <v>1044</v>
      </c>
      <c r="G36" s="28"/>
      <c r="H36" s="28"/>
      <c r="I36" s="4"/>
      <c r="J36" s="4"/>
      <c r="K36" s="4"/>
      <c r="L36" s="4"/>
    </row>
    <row r="37" spans="1:12">
      <c r="A37" s="4"/>
      <c r="B37" s="28">
        <v>2022</v>
      </c>
      <c r="C37" s="27">
        <v>743</v>
      </c>
      <c r="D37" s="27">
        <v>880</v>
      </c>
      <c r="E37" s="27">
        <v>984</v>
      </c>
      <c r="F37" s="28"/>
      <c r="G37" s="28"/>
      <c r="H37" s="28"/>
      <c r="I37" s="4"/>
      <c r="J37" s="4"/>
      <c r="K37" s="4"/>
      <c r="L37" s="4"/>
    </row>
    <row r="38" spans="1:12">
      <c r="A38" s="4"/>
      <c r="B38" s="28">
        <v>2023</v>
      </c>
      <c r="C38" s="27">
        <v>731</v>
      </c>
      <c r="D38" s="27">
        <v>876</v>
      </c>
      <c r="E38" s="28"/>
      <c r="F38" s="28"/>
      <c r="G38" s="28"/>
      <c r="H38" s="28"/>
      <c r="I38" s="4"/>
      <c r="J38" s="4"/>
      <c r="K38" s="4"/>
      <c r="L38" s="4"/>
    </row>
    <row r="39" spans="1:12">
      <c r="A39" s="4"/>
      <c r="B39" s="28">
        <v>2024</v>
      </c>
      <c r="C39" s="27">
        <v>741</v>
      </c>
      <c r="D39" s="28"/>
      <c r="E39" s="28"/>
      <c r="F39" s="28"/>
      <c r="G39" s="28"/>
      <c r="H39" s="28"/>
      <c r="I39" s="4"/>
      <c r="J39" s="4"/>
      <c r="K39" s="4"/>
      <c r="L39" s="4"/>
    </row>
    <row r="40" spans="1:1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1" spans="1:12">
      <c r="A41" s="34" t="s">
        <v>112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2" spans="1:12">
      <c r="A42" s="4"/>
      <c r="B42" s="29" t="s">
        <v>118</v>
      </c>
      <c r="C42" s="4"/>
      <c r="D42" s="4"/>
      <c r="E42" s="4"/>
      <c r="F42" s="4"/>
      <c r="G42" s="4"/>
      <c r="H42" s="4"/>
      <c r="I42" s="4"/>
      <c r="J42" s="4"/>
      <c r="K42" s="4"/>
      <c r="L42" s="4"/>
    </row>
    <row r="43" spans="1:12">
      <c r="A43" s="4"/>
      <c r="B43" s="29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2" ht="46.8">
      <c r="A44" s="4"/>
      <c r="B44" s="4"/>
      <c r="C44" s="21" t="s">
        <v>113</v>
      </c>
      <c r="D44" s="21" t="s">
        <v>114</v>
      </c>
      <c r="E44" s="21" t="s">
        <v>115</v>
      </c>
      <c r="F44" s="4"/>
      <c r="G44" s="4"/>
      <c r="H44" s="4"/>
      <c r="I44" s="4"/>
      <c r="J44" s="4"/>
      <c r="K44" s="4"/>
      <c r="L44" s="4"/>
    </row>
    <row r="45" spans="1:12">
      <c r="A45" s="4"/>
      <c r="B45" s="4"/>
      <c r="C45" s="28">
        <v>2022</v>
      </c>
      <c r="D45" s="28">
        <v>0</v>
      </c>
      <c r="E45" s="27">
        <v>350000</v>
      </c>
      <c r="F45" s="4"/>
      <c r="G45" s="4"/>
      <c r="H45" s="4"/>
      <c r="I45" s="4"/>
      <c r="J45" s="4"/>
      <c r="K45" s="4"/>
      <c r="L45" s="4"/>
    </row>
    <row r="46" spans="1:12">
      <c r="A46" s="4"/>
      <c r="B46" s="4"/>
      <c r="C46" s="28">
        <v>2023</v>
      </c>
      <c r="D46" s="27">
        <v>150000</v>
      </c>
      <c r="E46" s="27">
        <v>550000</v>
      </c>
      <c r="F46" s="4"/>
      <c r="G46" s="4"/>
      <c r="H46" s="4"/>
      <c r="I46" s="4"/>
      <c r="J46" s="4"/>
      <c r="K46" s="4"/>
      <c r="L46" s="4"/>
    </row>
    <row r="47" spans="1:12">
      <c r="A47" s="4"/>
      <c r="B47" s="4"/>
      <c r="C47" s="28">
        <v>2024</v>
      </c>
      <c r="D47" s="27">
        <v>50000</v>
      </c>
      <c r="E47" s="27">
        <v>550000</v>
      </c>
      <c r="F47" s="4"/>
      <c r="G47" s="4"/>
      <c r="H47" s="4"/>
      <c r="I47" s="4"/>
      <c r="J47" s="4"/>
      <c r="K47" s="4"/>
      <c r="L47" s="4"/>
    </row>
    <row r="48" spans="1:12">
      <c r="A48" s="4"/>
      <c r="B48" s="4"/>
      <c r="C48" s="49"/>
      <c r="D48" s="50"/>
      <c r="E48" s="50"/>
      <c r="F48" s="4"/>
      <c r="G48" s="4"/>
      <c r="H48" s="4"/>
      <c r="I48" s="4"/>
      <c r="J48" s="4"/>
      <c r="K48" s="4"/>
      <c r="L48" s="4"/>
    </row>
    <row r="49" spans="1:18">
      <c r="A49" s="4"/>
      <c r="B49" s="29" t="s">
        <v>119</v>
      </c>
      <c r="C49" s="49"/>
      <c r="D49" s="50"/>
      <c r="E49" s="50"/>
      <c r="F49" s="4"/>
      <c r="G49" s="4"/>
      <c r="H49" s="4"/>
      <c r="I49" s="4"/>
      <c r="J49" s="4"/>
      <c r="K49" s="4"/>
      <c r="L49" s="4"/>
    </row>
    <row r="50" spans="1:18">
      <c r="A50" s="4"/>
      <c r="B50" s="29"/>
      <c r="C50" s="49"/>
      <c r="D50" s="50"/>
      <c r="E50" s="50"/>
      <c r="F50" s="4"/>
      <c r="G50" s="4"/>
      <c r="H50" s="4"/>
      <c r="I50" s="4"/>
      <c r="J50" s="4"/>
      <c r="K50" s="4"/>
      <c r="L50" s="4"/>
    </row>
    <row r="51" spans="1:18" ht="46.8">
      <c r="A51" s="4"/>
      <c r="B51" s="4"/>
      <c r="C51" s="21" t="s">
        <v>116</v>
      </c>
      <c r="D51" s="21" t="s">
        <v>114</v>
      </c>
      <c r="E51" s="21" t="s">
        <v>115</v>
      </c>
      <c r="F51" s="4"/>
      <c r="G51" s="4"/>
      <c r="H51" s="4"/>
      <c r="I51" s="4"/>
      <c r="J51" s="4"/>
      <c r="K51" s="4"/>
      <c r="L51" s="4"/>
    </row>
    <row r="52" spans="1:18">
      <c r="A52" s="4"/>
      <c r="B52" s="4"/>
      <c r="C52" s="28">
        <v>2022</v>
      </c>
      <c r="D52" s="28">
        <v>0</v>
      </c>
      <c r="E52" s="28">
        <v>0</v>
      </c>
      <c r="F52" s="4"/>
      <c r="G52" s="4"/>
      <c r="H52" s="4"/>
      <c r="I52" s="4"/>
      <c r="J52" s="4"/>
      <c r="K52" s="4"/>
      <c r="L52" s="4"/>
    </row>
    <row r="53" spans="1:18">
      <c r="A53" s="4"/>
      <c r="B53" s="4"/>
      <c r="C53" s="28">
        <v>2023</v>
      </c>
      <c r="D53" s="28">
        <v>0</v>
      </c>
      <c r="E53" s="27">
        <v>570000</v>
      </c>
      <c r="F53" s="4"/>
      <c r="G53" s="4"/>
      <c r="H53" s="4"/>
      <c r="I53" s="4"/>
      <c r="J53" s="4"/>
      <c r="K53" s="4"/>
      <c r="L53" s="4"/>
    </row>
    <row r="54" spans="1:18">
      <c r="A54" s="4"/>
      <c r="B54" s="4"/>
      <c r="C54" s="28">
        <v>2024</v>
      </c>
      <c r="D54" s="28">
        <v>0</v>
      </c>
      <c r="E54" s="27">
        <v>850000</v>
      </c>
      <c r="F54" s="4"/>
      <c r="G54" s="4"/>
      <c r="H54" s="4"/>
      <c r="I54" s="4"/>
      <c r="J54" s="4"/>
      <c r="K54" s="4"/>
      <c r="L54" s="4"/>
    </row>
    <row r="55" spans="1:18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1:18">
      <c r="A56" s="34" t="s">
        <v>117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1:18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1:18">
      <c r="A58" s="17" t="s">
        <v>4</v>
      </c>
      <c r="B58" s="4" t="s">
        <v>120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3"/>
      <c r="N58" s="3"/>
      <c r="O58" s="3"/>
      <c r="P58" s="3"/>
      <c r="Q58" s="3"/>
      <c r="R58" s="3"/>
    </row>
    <row r="59" spans="1:18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8">
      <c r="A60" s="2" t="s">
        <v>1</v>
      </c>
      <c r="B60" s="2"/>
      <c r="C60" s="2"/>
      <c r="D60" s="2"/>
      <c r="E60" s="2"/>
      <c r="F60" s="2"/>
      <c r="G60" s="2"/>
      <c r="H60" s="2"/>
      <c r="I60" s="2"/>
      <c r="J60" s="2"/>
    </row>
    <row r="61" spans="1:18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8">
      <c r="B62" s="160" t="s">
        <v>347</v>
      </c>
      <c r="C62" s="160"/>
      <c r="D62" s="160"/>
      <c r="E62" s="160"/>
      <c r="F62" s="2"/>
      <c r="G62" s="2"/>
      <c r="H62" s="2"/>
      <c r="I62" s="2"/>
      <c r="J62" s="2"/>
    </row>
    <row r="63" spans="1:18">
      <c r="B63" s="133" t="s">
        <v>348</v>
      </c>
      <c r="C63" s="69">
        <v>12</v>
      </c>
      <c r="D63" s="69">
        <v>24</v>
      </c>
      <c r="E63" s="69">
        <v>36</v>
      </c>
      <c r="F63" s="2"/>
      <c r="G63" s="2"/>
      <c r="H63" s="2"/>
      <c r="I63" s="2"/>
      <c r="J63" s="2"/>
    </row>
    <row r="64" spans="1:18">
      <c r="B64" s="1" t="s">
        <v>350</v>
      </c>
      <c r="C64" s="76">
        <f>E45</f>
        <v>350000</v>
      </c>
      <c r="D64" s="76">
        <f>E46</f>
        <v>550000</v>
      </c>
      <c r="E64" s="76">
        <f>E47</f>
        <v>550000</v>
      </c>
      <c r="F64" s="2"/>
      <c r="G64" s="2"/>
      <c r="H64" s="2"/>
      <c r="I64" s="2"/>
      <c r="J64" s="2"/>
    </row>
    <row r="65" spans="2:10">
      <c r="B65" s="133" t="s">
        <v>349</v>
      </c>
      <c r="C65" s="104">
        <f>E52</f>
        <v>0</v>
      </c>
      <c r="D65" s="104">
        <f>E53</f>
        <v>570000</v>
      </c>
      <c r="E65" s="104">
        <f>E54</f>
        <v>850000</v>
      </c>
      <c r="F65" s="2"/>
      <c r="G65" s="2"/>
      <c r="H65" s="2"/>
      <c r="I65" s="2"/>
      <c r="J65" s="2"/>
    </row>
    <row r="66" spans="2:10">
      <c r="B66" s="1" t="s">
        <v>230</v>
      </c>
      <c r="C66" s="76">
        <f>SUM(C64:C65)</f>
        <v>350000</v>
      </c>
      <c r="D66" s="76">
        <f>SUM(D64:D65)</f>
        <v>1120000</v>
      </c>
      <c r="E66" s="76">
        <f>SUM(E64:E65)</f>
        <v>1400000</v>
      </c>
      <c r="F66" s="2"/>
      <c r="G66" s="2"/>
      <c r="H66" s="2"/>
      <c r="I66" s="2"/>
      <c r="J66" s="2"/>
    </row>
    <row r="67" spans="2:10">
      <c r="F67" s="2"/>
      <c r="G67" s="2"/>
      <c r="H67" s="2"/>
      <c r="I67" s="2"/>
      <c r="J67" s="2"/>
    </row>
    <row r="68" spans="2:10">
      <c r="B68" s="160" t="s">
        <v>351</v>
      </c>
      <c r="C68" s="160"/>
      <c r="D68" s="160"/>
      <c r="E68" s="160"/>
      <c r="F68" s="2"/>
      <c r="G68" s="2"/>
      <c r="H68" s="2"/>
      <c r="I68" s="2"/>
      <c r="J68" s="2"/>
    </row>
    <row r="69" spans="2:10">
      <c r="B69" s="133" t="s">
        <v>348</v>
      </c>
      <c r="C69" s="69">
        <v>12</v>
      </c>
      <c r="D69" s="69">
        <v>24</v>
      </c>
      <c r="E69" s="69">
        <v>36</v>
      </c>
      <c r="F69" s="2"/>
      <c r="G69" s="2"/>
      <c r="H69" s="2"/>
      <c r="I69" s="2"/>
      <c r="J69" s="2"/>
    </row>
    <row r="70" spans="2:10">
      <c r="B70" s="1" t="s">
        <v>350</v>
      </c>
      <c r="C70" s="76">
        <f>D45</f>
        <v>0</v>
      </c>
      <c r="D70" s="76">
        <f>D46</f>
        <v>150000</v>
      </c>
      <c r="E70" s="76">
        <f>D70+D47</f>
        <v>200000</v>
      </c>
      <c r="F70" s="2"/>
      <c r="G70" s="2"/>
      <c r="H70" s="2"/>
      <c r="I70" s="2"/>
      <c r="J70" s="2"/>
    </row>
    <row r="71" spans="2:10">
      <c r="B71" s="133" t="s">
        <v>349</v>
      </c>
      <c r="C71" s="104">
        <v>0</v>
      </c>
      <c r="D71" s="104">
        <v>0</v>
      </c>
      <c r="E71" s="104">
        <v>0</v>
      </c>
      <c r="F71" s="2"/>
      <c r="G71" s="2"/>
      <c r="H71" s="2"/>
      <c r="I71" s="2"/>
      <c r="J71" s="2"/>
    </row>
    <row r="72" spans="2:10">
      <c r="B72" s="1" t="s">
        <v>230</v>
      </c>
      <c r="C72" s="76">
        <f>SUM(C70:C71)</f>
        <v>0</v>
      </c>
      <c r="D72" s="76">
        <f>SUM(D70:D71)</f>
        <v>150000</v>
      </c>
      <c r="E72" s="76">
        <f>SUM(E70:E71)</f>
        <v>200000</v>
      </c>
      <c r="F72" s="2"/>
      <c r="G72" s="2"/>
      <c r="H72" s="2"/>
      <c r="I72" s="2"/>
      <c r="J72" s="2"/>
    </row>
    <row r="73" spans="2:10">
      <c r="F73" s="2"/>
      <c r="G73" s="2"/>
      <c r="H73" s="2"/>
      <c r="I73" s="2"/>
      <c r="J73" s="2"/>
    </row>
    <row r="74" spans="2:10">
      <c r="B74" s="160" t="s">
        <v>352</v>
      </c>
      <c r="C74" s="160"/>
      <c r="D74" s="160"/>
      <c r="E74" s="160"/>
      <c r="F74" s="2"/>
      <c r="G74" s="2"/>
      <c r="H74" s="2"/>
      <c r="I74" s="2"/>
      <c r="J74" s="2"/>
    </row>
    <row r="75" spans="2:10">
      <c r="B75" s="69" t="s">
        <v>190</v>
      </c>
      <c r="C75" s="69">
        <v>12</v>
      </c>
      <c r="D75" s="69">
        <v>24</v>
      </c>
      <c r="E75" s="69">
        <v>36</v>
      </c>
      <c r="F75" s="2"/>
      <c r="G75" s="2"/>
      <c r="H75" s="2"/>
      <c r="I75" s="2"/>
      <c r="J75" s="2"/>
    </row>
    <row r="76" spans="2:10">
      <c r="B76" s="68">
        <v>2022</v>
      </c>
      <c r="C76" s="76">
        <f>C72+C66</f>
        <v>350000</v>
      </c>
      <c r="D76" s="76">
        <f>D72+D66</f>
        <v>1270000</v>
      </c>
      <c r="E76" s="76">
        <f>E72+E66</f>
        <v>1600000</v>
      </c>
      <c r="F76" s="2"/>
      <c r="G76" s="2"/>
      <c r="H76" s="2"/>
      <c r="I76" s="2"/>
      <c r="J76" s="2"/>
    </row>
    <row r="77" spans="2:10">
      <c r="F77" s="2"/>
      <c r="G77" s="2"/>
      <c r="H77" s="2"/>
      <c r="I77" s="2"/>
      <c r="J77" s="2"/>
    </row>
    <row r="78" spans="2:10">
      <c r="B78" s="2" t="s">
        <v>362</v>
      </c>
      <c r="F78" s="2"/>
      <c r="G78" s="2"/>
      <c r="H78" s="2"/>
      <c r="I78" s="2"/>
      <c r="J78" s="2"/>
    </row>
    <row r="79" spans="2:10">
      <c r="B79" s="2"/>
      <c r="F79" s="2"/>
      <c r="G79" s="2"/>
      <c r="H79" s="2"/>
      <c r="I79" s="2"/>
      <c r="J79" s="2"/>
    </row>
    <row r="80" spans="2:10">
      <c r="B80" s="68"/>
      <c r="C80" s="160" t="s">
        <v>26</v>
      </c>
      <c r="D80" s="160"/>
      <c r="E80" s="160"/>
      <c r="F80" s="2"/>
      <c r="G80" s="2"/>
      <c r="H80" s="2"/>
      <c r="I80" s="2"/>
      <c r="J80" s="2"/>
    </row>
    <row r="81" spans="1:13">
      <c r="B81" s="69" t="s">
        <v>190</v>
      </c>
      <c r="C81" s="69">
        <v>12</v>
      </c>
      <c r="D81" s="69">
        <v>24</v>
      </c>
      <c r="E81" s="69">
        <v>36</v>
      </c>
      <c r="F81" s="2"/>
      <c r="G81" s="2"/>
      <c r="H81" s="2"/>
      <c r="I81" s="2"/>
      <c r="J81" s="2"/>
    </row>
    <row r="82" spans="1:13">
      <c r="B82" s="68">
        <v>2022</v>
      </c>
      <c r="C82" s="76">
        <f>C19-C76</f>
        <v>4546994</v>
      </c>
      <c r="D82" s="76">
        <f>D19-D76</f>
        <v>6029550</v>
      </c>
      <c r="E82" s="76">
        <f>E19-E76</f>
        <v>7409520</v>
      </c>
      <c r="F82" s="2"/>
      <c r="G82" s="2"/>
      <c r="H82" s="2"/>
      <c r="I82" s="2"/>
      <c r="J82" s="2"/>
    </row>
    <row r="83" spans="1:13">
      <c r="F83" s="2"/>
      <c r="G83" s="2"/>
      <c r="H83" s="2"/>
      <c r="I83" s="2"/>
      <c r="J83" s="2"/>
    </row>
    <row r="84" spans="1:13">
      <c r="B84" s="68"/>
      <c r="C84" s="160" t="s">
        <v>24</v>
      </c>
      <c r="D84" s="160"/>
      <c r="E84" s="160"/>
      <c r="F84" s="2"/>
      <c r="G84" s="2"/>
      <c r="H84" s="2"/>
      <c r="I84" s="2"/>
      <c r="J84" s="2"/>
    </row>
    <row r="85" spans="1:13">
      <c r="B85" s="69" t="s">
        <v>190</v>
      </c>
      <c r="C85" s="69">
        <v>12</v>
      </c>
      <c r="D85" s="69">
        <v>24</v>
      </c>
      <c r="E85" s="69">
        <v>36</v>
      </c>
      <c r="F85" s="2"/>
      <c r="G85" s="2"/>
      <c r="H85" s="2"/>
      <c r="I85" s="2"/>
      <c r="J85" s="2"/>
      <c r="K85" s="2"/>
      <c r="L85" s="2"/>
      <c r="M85" s="2"/>
    </row>
    <row r="86" spans="1:13">
      <c r="B86" s="68">
        <v>2022</v>
      </c>
      <c r="C86" s="76">
        <f>C10-C72</f>
        <v>2408832</v>
      </c>
      <c r="D86" s="76">
        <f>D10-D72</f>
        <v>4247287</v>
      </c>
      <c r="E86" s="76">
        <f>E10-E72</f>
        <v>5934142</v>
      </c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17" t="s">
        <v>5</v>
      </c>
      <c r="B88" s="4" t="s">
        <v>121</v>
      </c>
      <c r="C88" s="4"/>
      <c r="D88" s="4"/>
      <c r="E88" s="4"/>
      <c r="F88" s="4"/>
      <c r="G88" s="4"/>
      <c r="H88" s="4"/>
      <c r="I88" s="4"/>
      <c r="J88" s="4"/>
      <c r="K88" s="4"/>
      <c r="L88" s="4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13">
      <c r="A90" s="2" t="s">
        <v>1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1:13">
      <c r="C92" s="160" t="s">
        <v>353</v>
      </c>
      <c r="D92" s="160"/>
      <c r="E92" s="160"/>
      <c r="F92" s="2"/>
      <c r="G92" s="2"/>
      <c r="H92" s="2"/>
      <c r="I92" s="2"/>
      <c r="J92" s="2"/>
      <c r="K92" s="2"/>
      <c r="L92" s="2"/>
    </row>
    <row r="93" spans="1:13">
      <c r="B93" s="69" t="s">
        <v>190</v>
      </c>
      <c r="C93" s="69">
        <v>12</v>
      </c>
      <c r="D93" s="69">
        <v>24</v>
      </c>
      <c r="E93" s="69">
        <v>36</v>
      </c>
      <c r="F93" s="2"/>
      <c r="G93" s="2"/>
      <c r="L93" s="2"/>
    </row>
    <row r="94" spans="1:13">
      <c r="B94" s="68">
        <v>2022</v>
      </c>
      <c r="C94" s="76">
        <v>1</v>
      </c>
      <c r="D94" s="76">
        <v>2</v>
      </c>
      <c r="E94" s="76">
        <v>2</v>
      </c>
      <c r="F94" s="2"/>
      <c r="G94" s="2"/>
      <c r="L94" s="2"/>
    </row>
    <row r="95" spans="1:13">
      <c r="F95" s="2"/>
      <c r="G95" s="2"/>
      <c r="L95" s="2"/>
    </row>
    <row r="96" spans="1:13">
      <c r="B96" s="68"/>
      <c r="C96" s="160" t="s">
        <v>354</v>
      </c>
      <c r="D96" s="160"/>
      <c r="E96" s="160"/>
      <c r="F96" s="2"/>
      <c r="G96" s="2"/>
      <c r="L96" s="2"/>
    </row>
    <row r="97" spans="1:13">
      <c r="B97" s="69" t="s">
        <v>190</v>
      </c>
      <c r="C97" s="69">
        <v>12</v>
      </c>
      <c r="D97" s="69">
        <v>24</v>
      </c>
      <c r="E97" s="69">
        <v>36</v>
      </c>
      <c r="F97" s="2"/>
      <c r="G97" s="2"/>
      <c r="L97" s="2"/>
    </row>
    <row r="98" spans="1:13">
      <c r="B98" s="68">
        <v>2022</v>
      </c>
      <c r="C98" s="76">
        <v>0</v>
      </c>
      <c r="D98" s="76">
        <v>0</v>
      </c>
      <c r="E98" s="76">
        <v>0</v>
      </c>
      <c r="F98" s="2"/>
      <c r="G98" s="2"/>
      <c r="L98" s="2"/>
    </row>
    <row r="99" spans="1:13">
      <c r="B99"/>
      <c r="C99"/>
      <c r="D99"/>
      <c r="E99"/>
      <c r="F99" s="2"/>
      <c r="G99" s="2"/>
      <c r="L99" s="2"/>
    </row>
    <row r="100" spans="1:13">
      <c r="B100" s="68"/>
      <c r="C100" s="160" t="s">
        <v>111</v>
      </c>
      <c r="D100" s="160"/>
      <c r="E100" s="160"/>
      <c r="F100" s="2"/>
      <c r="G100" s="2"/>
      <c r="L100" s="2"/>
    </row>
    <row r="101" spans="1:13">
      <c r="B101" s="69" t="s">
        <v>190</v>
      </c>
      <c r="C101" s="69">
        <v>12</v>
      </c>
      <c r="D101" s="69">
        <v>24</v>
      </c>
      <c r="E101" s="69">
        <v>36</v>
      </c>
      <c r="F101" s="2"/>
      <c r="G101" s="2"/>
      <c r="L101" s="2"/>
    </row>
    <row r="102" spans="1:13">
      <c r="B102" s="68">
        <v>2022</v>
      </c>
      <c r="C102" s="76">
        <f>C37-C94</f>
        <v>742</v>
      </c>
      <c r="D102" s="76">
        <f>D37-D94</f>
        <v>878</v>
      </c>
      <c r="E102" s="76">
        <f>E37-E94</f>
        <v>982</v>
      </c>
      <c r="F102" s="2"/>
      <c r="G102" s="2"/>
      <c r="L102" s="2"/>
    </row>
    <row r="103" spans="1:13">
      <c r="F103" s="2"/>
      <c r="G103" s="2"/>
      <c r="L103" s="2"/>
    </row>
    <row r="104" spans="1:13">
      <c r="B104" s="68"/>
      <c r="C104" s="160" t="s">
        <v>71</v>
      </c>
      <c r="D104" s="160"/>
      <c r="E104" s="160"/>
      <c r="F104" s="2"/>
      <c r="G104" s="2"/>
      <c r="L104" s="2"/>
    </row>
    <row r="105" spans="1:13">
      <c r="B105" s="69" t="s">
        <v>190</v>
      </c>
      <c r="C105" s="69">
        <v>12</v>
      </c>
      <c r="D105" s="69">
        <v>24</v>
      </c>
      <c r="E105" s="69">
        <v>36</v>
      </c>
      <c r="F105" s="2"/>
      <c r="G105" s="2"/>
      <c r="L105" s="2"/>
    </row>
    <row r="106" spans="1:13">
      <c r="B106" s="68">
        <v>2022</v>
      </c>
      <c r="C106" s="76">
        <f>C28-C98</f>
        <v>444</v>
      </c>
      <c r="D106" s="76">
        <f>D28-D98</f>
        <v>648</v>
      </c>
      <c r="E106" s="76">
        <f>E28-E98</f>
        <v>808</v>
      </c>
      <c r="F106" s="2"/>
      <c r="G106" s="2"/>
      <c r="L106" s="2"/>
    </row>
    <row r="107" spans="1:13">
      <c r="M107" s="2"/>
    </row>
    <row r="108" spans="1:13">
      <c r="A108" s="34" t="s">
        <v>87</v>
      </c>
      <c r="B108" s="4"/>
      <c r="C108" s="4"/>
      <c r="D108" s="4"/>
      <c r="E108" s="4"/>
      <c r="F108" s="4"/>
      <c r="G108" s="4"/>
      <c r="H108" s="4"/>
      <c r="I108" s="4"/>
      <c r="J108" s="14"/>
      <c r="K108" s="14"/>
      <c r="L108" s="14"/>
      <c r="M108" s="2"/>
    </row>
    <row r="109" spans="1:13">
      <c r="A109" s="4"/>
      <c r="B109" s="29" t="s">
        <v>123</v>
      </c>
      <c r="C109" s="4"/>
      <c r="D109" s="4"/>
      <c r="E109" s="4"/>
      <c r="F109" s="4"/>
      <c r="G109" s="4"/>
      <c r="H109" s="4"/>
      <c r="I109" s="4"/>
      <c r="J109" s="14"/>
      <c r="K109" s="14"/>
      <c r="L109" s="14"/>
      <c r="M109" s="2"/>
    </row>
    <row r="110" spans="1:13">
      <c r="A110" s="4"/>
      <c r="B110" s="29" t="s">
        <v>124</v>
      </c>
      <c r="C110" s="4"/>
      <c r="D110" s="4"/>
      <c r="E110" s="51">
        <v>6.3E-2</v>
      </c>
      <c r="F110" s="4"/>
      <c r="G110" s="4"/>
      <c r="H110" s="4"/>
      <c r="I110" s="4"/>
      <c r="J110" s="14"/>
      <c r="K110" s="14"/>
      <c r="L110" s="14"/>
      <c r="M110" s="2"/>
    </row>
    <row r="111" spans="1:13">
      <c r="A111" s="4"/>
      <c r="B111" s="29" t="s">
        <v>125</v>
      </c>
      <c r="C111" s="4"/>
      <c r="D111" s="4"/>
      <c r="E111" s="4"/>
      <c r="F111" s="4"/>
      <c r="G111" s="4"/>
      <c r="H111" s="4"/>
      <c r="I111" s="4"/>
      <c r="J111" s="14"/>
      <c r="K111" s="14"/>
      <c r="L111" s="14"/>
      <c r="M111" s="2"/>
    </row>
    <row r="112" spans="1:13">
      <c r="A112" s="4"/>
      <c r="B112" s="4"/>
      <c r="C112" s="4"/>
      <c r="D112" s="4"/>
      <c r="E112" s="4"/>
      <c r="F112" s="4"/>
      <c r="G112" s="4"/>
      <c r="H112" s="4"/>
      <c r="I112" s="4"/>
      <c r="J112" s="14"/>
      <c r="K112" s="14"/>
      <c r="L112" s="14"/>
      <c r="M112" s="2"/>
    </row>
    <row r="113" spans="1:13">
      <c r="A113" s="4"/>
      <c r="B113" s="161" t="s">
        <v>122</v>
      </c>
      <c r="C113" s="161"/>
      <c r="D113" s="161"/>
      <c r="E113" s="161"/>
      <c r="F113" s="161"/>
      <c r="G113" s="161"/>
      <c r="H113" s="4"/>
      <c r="I113" s="4"/>
      <c r="J113" s="14"/>
      <c r="K113" s="14"/>
      <c r="L113" s="14"/>
      <c r="M113" s="2"/>
    </row>
    <row r="114" spans="1:13">
      <c r="A114" s="4"/>
      <c r="B114" s="26">
        <v>12</v>
      </c>
      <c r="C114" s="26">
        <v>24</v>
      </c>
      <c r="D114" s="26">
        <v>36</v>
      </c>
      <c r="E114" s="26">
        <v>48</v>
      </c>
      <c r="F114" s="26">
        <v>60</v>
      </c>
      <c r="G114" s="26">
        <v>72</v>
      </c>
      <c r="H114" s="4"/>
      <c r="I114" s="4"/>
      <c r="J114" s="14"/>
      <c r="K114" s="14"/>
      <c r="L114" s="14"/>
      <c r="M114" s="2"/>
    </row>
    <row r="115" spans="1:13">
      <c r="A115" s="4"/>
      <c r="B115" s="28">
        <v>2.1850000000000001</v>
      </c>
      <c r="C115" s="28">
        <v>1.6359999999999999</v>
      </c>
      <c r="D115" s="28">
        <v>1.347</v>
      </c>
      <c r="E115" s="28">
        <v>1.1910000000000001</v>
      </c>
      <c r="F115" s="28">
        <v>1.097</v>
      </c>
      <c r="G115" s="28">
        <v>1.048</v>
      </c>
      <c r="H115" s="4"/>
      <c r="I115" s="4"/>
      <c r="J115" s="14"/>
      <c r="K115" s="14"/>
      <c r="L115" s="14"/>
      <c r="M115" s="2"/>
    </row>
    <row r="117" spans="1:13">
      <c r="A117" s="17" t="s">
        <v>0</v>
      </c>
      <c r="B117" s="159" t="s">
        <v>126</v>
      </c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</row>
    <row r="118" spans="1:13">
      <c r="A118" s="17"/>
      <c r="B118" s="159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</row>
    <row r="119" spans="1: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1:13">
      <c r="A120" s="2" t="s">
        <v>1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1:13">
      <c r="A121" s="132"/>
      <c r="B121"/>
      <c r="C121"/>
      <c r="D121"/>
      <c r="E121"/>
      <c r="F121"/>
      <c r="G121"/>
    </row>
    <row r="122" spans="1:13">
      <c r="B122" s="68" t="s">
        <v>23</v>
      </c>
      <c r="C122" s="160" t="s">
        <v>355</v>
      </c>
      <c r="D122" s="160"/>
      <c r="E122" s="160"/>
      <c r="F122" s="160"/>
      <c r="G122" s="160"/>
      <c r="H122" s="160"/>
    </row>
    <row r="123" spans="1:13">
      <c r="B123" s="69" t="s">
        <v>88</v>
      </c>
      <c r="C123" s="69">
        <v>12</v>
      </c>
      <c r="D123" s="69">
        <v>24</v>
      </c>
      <c r="E123" s="69">
        <v>36</v>
      </c>
      <c r="F123" s="69">
        <v>48</v>
      </c>
      <c r="G123" s="69">
        <v>60</v>
      </c>
      <c r="H123" s="69">
        <v>72</v>
      </c>
    </row>
    <row r="124" spans="1:13">
      <c r="B124" s="68">
        <v>2019</v>
      </c>
      <c r="C124" s="135">
        <f t="shared" ref="C124:C128" si="0">C125/(1+$E$110)</f>
        <v>6610.6129625563444</v>
      </c>
      <c r="D124" s="135">
        <f t="shared" ref="D124:D126" si="1">D125/(1+$E$110)</f>
        <v>7100.23939350193</v>
      </c>
      <c r="E124" s="135">
        <f t="shared" ref="E124:E126" si="2">E125/(1+$E$110)</f>
        <v>7059.1800874194751</v>
      </c>
      <c r="F124" s="135">
        <f t="shared" ref="F124:F125" si="3">F125/(1+$E$110)</f>
        <v>6852.9687773936857</v>
      </c>
      <c r="G124" s="135">
        <f>G125/(1+$E$110)</f>
        <v>5518.209918021772</v>
      </c>
      <c r="H124" s="136">
        <f>(H16-H7)/(H34-H25)</f>
        <v>874.25</v>
      </c>
    </row>
    <row r="125" spans="1:13">
      <c r="B125" s="68">
        <v>2020</v>
      </c>
      <c r="C125" s="135">
        <f t="shared" si="0"/>
        <v>7027.0815791973937</v>
      </c>
      <c r="D125" s="135">
        <f t="shared" si="1"/>
        <v>7547.5544752925516</v>
      </c>
      <c r="E125" s="135">
        <f t="shared" si="2"/>
        <v>7503.9084329269017</v>
      </c>
      <c r="F125" s="135">
        <f t="shared" si="3"/>
        <v>7284.7058103694872</v>
      </c>
      <c r="G125" s="136">
        <f>(G17-G8)/(G35-G26)</f>
        <v>5865.8571428571431</v>
      </c>
      <c r="H125" s="76"/>
    </row>
    <row r="126" spans="1:13">
      <c r="B126" s="68">
        <v>2021</v>
      </c>
      <c r="C126" s="135">
        <f t="shared" si="0"/>
        <v>7469.7877186868291</v>
      </c>
      <c r="D126" s="135">
        <f t="shared" si="1"/>
        <v>8023.0504072359818</v>
      </c>
      <c r="E126" s="135">
        <f t="shared" si="2"/>
        <v>7976.6546642012963</v>
      </c>
      <c r="F126" s="136">
        <f>(F18-F9)/(F36-F27)</f>
        <v>7743.6422764227646</v>
      </c>
      <c r="G126" s="76"/>
      <c r="H126" s="76"/>
    </row>
    <row r="127" spans="1:13" ht="16.2">
      <c r="B127" s="137">
        <v>2022</v>
      </c>
      <c r="C127" s="138">
        <f t="shared" si="0"/>
        <v>7940.384344964099</v>
      </c>
      <c r="D127" s="138">
        <f>D128/(1+$E$110)</f>
        <v>8528.5025828918479</v>
      </c>
      <c r="E127" s="138">
        <f>(E82-E86)/(E102-E106)</f>
        <v>8479.1839080459777</v>
      </c>
      <c r="F127" s="139"/>
      <c r="G127" s="139"/>
      <c r="H127" s="139"/>
    </row>
    <row r="128" spans="1:13">
      <c r="B128" s="68">
        <v>2023</v>
      </c>
      <c r="C128" s="135">
        <f t="shared" si="0"/>
        <v>8440.628558696837</v>
      </c>
      <c r="D128" s="136">
        <f>(D20-D11)/(D38-D29)</f>
        <v>9065.7982456140344</v>
      </c>
      <c r="E128" s="76"/>
      <c r="F128" s="76"/>
      <c r="G128" s="76"/>
      <c r="H128" s="76"/>
    </row>
    <row r="129" spans="1:13">
      <c r="B129" s="68">
        <v>2024</v>
      </c>
      <c r="C129" s="136">
        <f>(C21-C12)/(C39-C30)</f>
        <v>8972.3881578947367</v>
      </c>
      <c r="D129" s="76"/>
      <c r="E129" s="76"/>
      <c r="F129" s="76"/>
      <c r="G129" s="76"/>
      <c r="H129" s="76"/>
    </row>
    <row r="130" spans="1:13">
      <c r="B130"/>
      <c r="C130"/>
      <c r="D130"/>
      <c r="E130"/>
      <c r="F130"/>
      <c r="G130"/>
      <c r="H130"/>
    </row>
    <row r="131" spans="1:13">
      <c r="B131" s="68" t="s">
        <v>23</v>
      </c>
      <c r="C131" s="160" t="s">
        <v>356</v>
      </c>
      <c r="D131" s="160"/>
      <c r="E131" s="160"/>
      <c r="F131"/>
      <c r="G131"/>
      <c r="H131"/>
    </row>
    <row r="132" spans="1:13">
      <c r="B132" s="69" t="s">
        <v>88</v>
      </c>
      <c r="C132" s="69">
        <v>12</v>
      </c>
      <c r="D132" s="69">
        <v>24</v>
      </c>
      <c r="E132" s="69">
        <v>36</v>
      </c>
      <c r="F132"/>
      <c r="G132"/>
      <c r="H132"/>
    </row>
    <row r="133" spans="1:13">
      <c r="B133" s="68">
        <v>2022</v>
      </c>
      <c r="C133" s="76">
        <f>C102-C106</f>
        <v>298</v>
      </c>
      <c r="D133" s="76">
        <f>D102-D106</f>
        <v>230</v>
      </c>
      <c r="E133" s="76">
        <f>E102-E106</f>
        <v>174</v>
      </c>
      <c r="F133"/>
      <c r="G133"/>
      <c r="H133"/>
    </row>
    <row r="134" spans="1:13">
      <c r="B134"/>
      <c r="C134"/>
      <c r="D134"/>
      <c r="E134"/>
      <c r="F134"/>
      <c r="G134"/>
      <c r="H134"/>
    </row>
    <row r="135" spans="1:13">
      <c r="B135"/>
      <c r="C135"/>
      <c r="D135"/>
      <c r="E135"/>
      <c r="F135"/>
      <c r="G135"/>
      <c r="H135"/>
    </row>
    <row r="136" spans="1:13">
      <c r="B136" s="68" t="s">
        <v>23</v>
      </c>
      <c r="C136" s="160" t="s">
        <v>357</v>
      </c>
      <c r="D136" s="160"/>
      <c r="E136" s="160"/>
      <c r="F136" s="160"/>
      <c r="G136" s="160"/>
      <c r="H136" s="160"/>
    </row>
    <row r="137" spans="1:13">
      <c r="B137" s="69" t="s">
        <v>88</v>
      </c>
      <c r="C137" s="69">
        <v>12</v>
      </c>
      <c r="D137" s="69">
        <v>24</v>
      </c>
      <c r="E137" s="69">
        <v>36</v>
      </c>
      <c r="F137" s="69">
        <v>48</v>
      </c>
      <c r="G137" s="69">
        <v>60</v>
      </c>
      <c r="H137" s="69">
        <v>72</v>
      </c>
    </row>
    <row r="138" spans="1:13">
      <c r="B138" s="78">
        <v>2022</v>
      </c>
      <c r="C138" s="75">
        <f>C127*C133+C86</f>
        <v>4775066.534799302</v>
      </c>
      <c r="D138" s="75">
        <f>D127*D133+D86</f>
        <v>6208842.5940651251</v>
      </c>
      <c r="E138" s="75">
        <f>E82</f>
        <v>7409520</v>
      </c>
      <c r="F138" s="139"/>
      <c r="G138" s="139"/>
      <c r="H138" s="139"/>
    </row>
    <row r="139" spans="1:13">
      <c r="M139" s="2"/>
    </row>
    <row r="140" spans="1:13">
      <c r="A140" s="17" t="s">
        <v>2</v>
      </c>
      <c r="B140" s="4" t="s">
        <v>127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</row>
    <row r="141" spans="1: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1:13">
      <c r="A142" s="2" t="s">
        <v>1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4" spans="1:13">
      <c r="B144" s="58" t="s">
        <v>177</v>
      </c>
    </row>
    <row r="145" spans="2:6">
      <c r="B145" s="59" t="s">
        <v>363</v>
      </c>
    </row>
    <row r="146" spans="2:6">
      <c r="B146" s="59" t="s">
        <v>364</v>
      </c>
    </row>
    <row r="148" spans="2:6">
      <c r="B148" s="1" t="s">
        <v>358</v>
      </c>
      <c r="F148" s="87">
        <f>E138</f>
        <v>7409520</v>
      </c>
    </row>
    <row r="149" spans="2:6">
      <c r="B149" s="1" t="s">
        <v>365</v>
      </c>
      <c r="F149" s="1">
        <f>D115</f>
        <v>1.347</v>
      </c>
    </row>
    <row r="150" spans="2:6">
      <c r="B150" s="1" t="s">
        <v>359</v>
      </c>
      <c r="F150" s="87">
        <f>F148*F149</f>
        <v>9980623.4399999995</v>
      </c>
    </row>
    <row r="151" spans="2:6">
      <c r="B151" s="133" t="s">
        <v>360</v>
      </c>
      <c r="C151" s="133"/>
      <c r="D151" s="133"/>
      <c r="E151" s="133"/>
      <c r="F151" s="134">
        <f>E76</f>
        <v>1600000</v>
      </c>
    </row>
    <row r="152" spans="2:6">
      <c r="B152" s="1" t="s">
        <v>361</v>
      </c>
      <c r="F152" s="87">
        <f>SUM(F150:F151)</f>
        <v>11580623.439999999</v>
      </c>
    </row>
  </sheetData>
  <mergeCells count="18">
    <mergeCell ref="C5:H5"/>
    <mergeCell ref="C14:H14"/>
    <mergeCell ref="C23:H23"/>
    <mergeCell ref="C32:H32"/>
    <mergeCell ref="B113:G113"/>
    <mergeCell ref="B62:E62"/>
    <mergeCell ref="B68:E68"/>
    <mergeCell ref="B74:E74"/>
    <mergeCell ref="C80:E80"/>
    <mergeCell ref="C84:E84"/>
    <mergeCell ref="C100:E100"/>
    <mergeCell ref="C104:E104"/>
    <mergeCell ref="C92:E92"/>
    <mergeCell ref="C122:H122"/>
    <mergeCell ref="C131:E131"/>
    <mergeCell ref="C136:H136"/>
    <mergeCell ref="B117:L118"/>
    <mergeCell ref="C96:E96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D204B-7BCE-448B-BF83-93D4846C72F7}">
  <dimension ref="A1:R88"/>
  <sheetViews>
    <sheetView zoomScaleNormal="100" workbookViewId="0"/>
  </sheetViews>
  <sheetFormatPr defaultRowHeight="15.6"/>
  <cols>
    <col min="1" max="1" width="8.88671875" style="1" customWidth="1"/>
    <col min="2" max="5" width="12.77734375" style="1" customWidth="1"/>
    <col min="6" max="6" width="16.77734375" style="1" customWidth="1"/>
    <col min="7" max="7" width="12.44140625" style="1" customWidth="1"/>
    <col min="8" max="8" width="16.5546875" style="1" customWidth="1"/>
    <col min="9" max="9" width="15.88671875" style="1" customWidth="1"/>
    <col min="10" max="10" width="13.44140625" style="1" customWidth="1"/>
    <col min="11" max="11" width="16" style="1" customWidth="1"/>
    <col min="12" max="16384" width="8.88671875" style="1"/>
  </cols>
  <sheetData>
    <row r="1" spans="1:18" ht="17.399999999999999">
      <c r="A1" s="13" t="s">
        <v>128</v>
      </c>
      <c r="B1" s="4"/>
      <c r="C1" s="4" t="s">
        <v>129</v>
      </c>
      <c r="D1" s="4"/>
      <c r="E1" s="4"/>
      <c r="F1" s="4"/>
      <c r="G1" s="4"/>
      <c r="H1" s="4"/>
      <c r="I1" s="4"/>
      <c r="J1" s="4"/>
      <c r="K1" s="4"/>
      <c r="L1" s="14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14"/>
    </row>
    <row r="3" spans="1:18">
      <c r="A3" s="4" t="s">
        <v>130</v>
      </c>
      <c r="B3" s="4"/>
      <c r="C3" s="4"/>
      <c r="D3" s="4"/>
      <c r="E3" s="4"/>
      <c r="F3" s="4"/>
      <c r="G3" s="4"/>
      <c r="H3" s="4"/>
      <c r="I3" s="4"/>
      <c r="J3" s="4"/>
      <c r="K3" s="4"/>
      <c r="L3" s="14"/>
    </row>
    <row r="4" spans="1:18">
      <c r="A4" s="15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8">
      <c r="A5" s="34" t="s">
        <v>131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8">
      <c r="A6" s="4"/>
      <c r="B6" s="29" t="s">
        <v>133</v>
      </c>
      <c r="C6" s="4"/>
      <c r="D6" s="4"/>
      <c r="E6" s="4"/>
      <c r="F6" s="4"/>
      <c r="G6" s="4"/>
      <c r="H6" s="4"/>
      <c r="I6" s="4"/>
      <c r="J6" s="4"/>
      <c r="K6" s="4"/>
      <c r="L6" s="4"/>
    </row>
    <row r="7" spans="1:18">
      <c r="A7" s="3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8">
      <c r="A8" s="34" t="s">
        <v>132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8">
      <c r="A9" s="4"/>
      <c r="B9" s="29" t="s">
        <v>144</v>
      </c>
      <c r="C9" s="4"/>
      <c r="D9" s="4"/>
      <c r="E9" s="4"/>
      <c r="F9" s="4"/>
      <c r="G9" s="4"/>
      <c r="H9" s="4"/>
      <c r="I9" s="4"/>
      <c r="J9" s="4"/>
      <c r="K9" s="4"/>
      <c r="L9" s="4"/>
    </row>
    <row r="10" spans="1:18">
      <c r="A10" s="4"/>
      <c r="B10" s="34" t="s">
        <v>145</v>
      </c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8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8">
      <c r="A12" s="17" t="s">
        <v>4</v>
      </c>
      <c r="B12" s="4" t="s">
        <v>134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3"/>
      <c r="N12" s="3"/>
      <c r="O12" s="3"/>
      <c r="P12" s="3"/>
      <c r="Q12" s="3"/>
      <c r="R12" s="3"/>
    </row>
    <row r="13" spans="1:18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8">
      <c r="A14" s="2" t="s">
        <v>1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8">
      <c r="B15" s="112" t="s">
        <v>177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8">
      <c r="B16" s="59" t="s">
        <v>300</v>
      </c>
      <c r="C16" s="119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B17" s="113" t="s">
        <v>301</v>
      </c>
      <c r="C17" s="119"/>
      <c r="M17" s="3"/>
    </row>
    <row r="18" spans="1:13">
      <c r="B18" s="120"/>
      <c r="C18" s="119"/>
      <c r="M18" s="3"/>
    </row>
    <row r="19" spans="1:13">
      <c r="B19" s="120" t="s">
        <v>302</v>
      </c>
      <c r="C19" s="119"/>
      <c r="M19" s="3"/>
    </row>
    <row r="20" spans="1:13">
      <c r="C20" s="121" t="s">
        <v>303</v>
      </c>
      <c r="M20" s="3"/>
    </row>
    <row r="21" spans="1:13">
      <c r="C21" s="121" t="s">
        <v>304</v>
      </c>
      <c r="M21" s="3"/>
    </row>
    <row r="22" spans="1:13">
      <c r="C22" s="121" t="s">
        <v>305</v>
      </c>
      <c r="M22" s="3"/>
    </row>
    <row r="23" spans="1:13">
      <c r="B23" s="120" t="s">
        <v>306</v>
      </c>
      <c r="C23" s="119"/>
      <c r="M23" s="3"/>
    </row>
    <row r="24" spans="1:13">
      <c r="C24" s="121" t="s">
        <v>307</v>
      </c>
      <c r="M24" s="3"/>
    </row>
    <row r="25" spans="1:13">
      <c r="C25" s="121" t="s">
        <v>308</v>
      </c>
      <c r="M25" s="3"/>
    </row>
    <row r="26" spans="1:13">
      <c r="C26" s="121" t="s">
        <v>309</v>
      </c>
      <c r="M26" s="3"/>
    </row>
    <row r="27" spans="1:13">
      <c r="M27" s="3"/>
    </row>
    <row r="28" spans="1:13">
      <c r="A28" s="17" t="s">
        <v>5</v>
      </c>
      <c r="B28" s="4" t="s">
        <v>135</v>
      </c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>
      <c r="A30" s="2" t="s">
        <v>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>
      <c r="B31" s="112" t="s">
        <v>177</v>
      </c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>
      <c r="B32" s="59" t="s">
        <v>300</v>
      </c>
      <c r="C32" s="119"/>
      <c r="D32" s="2"/>
      <c r="E32" s="2"/>
      <c r="F32" s="2"/>
      <c r="G32" s="2"/>
      <c r="H32" s="2"/>
      <c r="I32" s="2"/>
      <c r="J32" s="2"/>
      <c r="K32" s="2"/>
      <c r="L32" s="2"/>
    </row>
    <row r="33" spans="1:13">
      <c r="B33" s="113" t="s">
        <v>301</v>
      </c>
      <c r="D33" s="2"/>
      <c r="E33" s="2"/>
      <c r="F33" s="2"/>
      <c r="G33" s="2"/>
      <c r="H33" s="2"/>
      <c r="I33" s="2"/>
      <c r="J33" s="2"/>
      <c r="K33" s="2"/>
      <c r="L33" s="2"/>
    </row>
    <row r="34" spans="1:13">
      <c r="D34" s="2"/>
      <c r="E34" s="2"/>
      <c r="F34" s="2"/>
      <c r="G34" s="2"/>
      <c r="H34" s="2"/>
      <c r="I34" s="2"/>
      <c r="J34" s="2"/>
      <c r="K34" s="2"/>
      <c r="L34" s="2"/>
    </row>
    <row r="35" spans="1:13">
      <c r="B35" s="122" t="s">
        <v>310</v>
      </c>
      <c r="D35" s="2"/>
      <c r="E35" s="2"/>
      <c r="F35" s="2"/>
      <c r="G35" s="2"/>
      <c r="H35" s="2"/>
      <c r="I35" s="2"/>
      <c r="J35" s="2"/>
      <c r="K35" s="2"/>
      <c r="L35" s="2"/>
    </row>
    <row r="36" spans="1:13">
      <c r="C36" s="123" t="s">
        <v>311</v>
      </c>
      <c r="D36" s="2"/>
      <c r="E36" s="2"/>
      <c r="F36" s="2"/>
      <c r="G36" s="2"/>
      <c r="H36" s="2"/>
      <c r="I36" s="2"/>
      <c r="J36" s="2"/>
      <c r="K36" s="2"/>
      <c r="L36" s="2"/>
    </row>
    <row r="37" spans="1:13">
      <c r="C37" s="123" t="s">
        <v>312</v>
      </c>
      <c r="D37" s="2"/>
      <c r="E37" s="2"/>
      <c r="F37" s="2"/>
      <c r="G37" s="2"/>
      <c r="H37" s="2"/>
      <c r="I37" s="2"/>
      <c r="J37" s="2"/>
      <c r="K37" s="2"/>
      <c r="L37" s="2"/>
    </row>
    <row r="38" spans="1:13">
      <c r="C38" s="123" t="s">
        <v>313</v>
      </c>
      <c r="D38" s="2"/>
      <c r="E38" s="2"/>
      <c r="F38" s="2"/>
      <c r="G38" s="2"/>
      <c r="H38" s="2"/>
      <c r="I38" s="2"/>
      <c r="J38" s="2"/>
      <c r="K38" s="2"/>
      <c r="L38" s="2"/>
    </row>
    <row r="39" spans="1:13">
      <c r="B39" s="122" t="s">
        <v>314</v>
      </c>
      <c r="D39" s="2"/>
      <c r="E39" s="2"/>
      <c r="F39" s="2"/>
      <c r="G39" s="2"/>
      <c r="H39" s="2"/>
      <c r="I39" s="2"/>
      <c r="J39" s="2"/>
      <c r="K39" s="2"/>
      <c r="L39" s="2"/>
    </row>
    <row r="40" spans="1:13">
      <c r="C40" s="123" t="s">
        <v>315</v>
      </c>
      <c r="D40" s="2"/>
      <c r="E40" s="2"/>
      <c r="F40" s="2"/>
      <c r="G40" s="2"/>
      <c r="H40" s="2"/>
      <c r="I40" s="2"/>
      <c r="J40" s="2"/>
      <c r="K40" s="2"/>
      <c r="L40" s="2"/>
    </row>
    <row r="41" spans="1:13">
      <c r="C41" s="123" t="s">
        <v>316</v>
      </c>
      <c r="D41" s="2"/>
      <c r="E41" s="2"/>
      <c r="F41" s="2"/>
      <c r="G41" s="2"/>
      <c r="H41" s="2"/>
      <c r="I41" s="2"/>
      <c r="J41" s="2"/>
      <c r="K41" s="2"/>
      <c r="L41" s="2"/>
    </row>
    <row r="42" spans="1:13">
      <c r="C42" s="123" t="s">
        <v>317</v>
      </c>
      <c r="M42" s="2"/>
    </row>
    <row r="43" spans="1:13">
      <c r="M43" s="2"/>
    </row>
    <row r="44" spans="1:13">
      <c r="A44" s="159" t="s">
        <v>136</v>
      </c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2"/>
    </row>
    <row r="45" spans="1:13">
      <c r="A45" s="159"/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2"/>
    </row>
    <row r="47" spans="1:13">
      <c r="A47" s="17" t="s">
        <v>0</v>
      </c>
      <c r="B47" s="4" t="s">
        <v>137</v>
      </c>
      <c r="C47" s="4"/>
      <c r="D47" s="4"/>
      <c r="E47" s="4"/>
      <c r="F47" s="4"/>
      <c r="G47" s="4"/>
      <c r="H47" s="4"/>
      <c r="I47" s="4"/>
      <c r="J47" s="4"/>
      <c r="K47" s="4"/>
      <c r="L47" s="4"/>
    </row>
    <row r="48" spans="1:1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3">
      <c r="A49" s="2" t="s">
        <v>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3">
      <c r="B51" s="2" t="s">
        <v>318</v>
      </c>
      <c r="C51" s="2"/>
      <c r="D51" s="2"/>
      <c r="E51" s="2"/>
      <c r="F51" s="2"/>
      <c r="G51" s="2"/>
      <c r="H51" s="2"/>
      <c r="I51" s="2"/>
      <c r="J51" s="2"/>
      <c r="K51" s="2"/>
      <c r="L51" s="2"/>
    </row>
    <row r="53" spans="1:13">
      <c r="A53" s="34" t="s">
        <v>138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2"/>
    </row>
    <row r="54" spans="1:1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2"/>
    </row>
    <row r="55" spans="1:13" ht="46.8">
      <c r="A55" s="4"/>
      <c r="B55" s="21" t="s">
        <v>139</v>
      </c>
      <c r="C55" s="21" t="s">
        <v>89</v>
      </c>
      <c r="D55" s="21" t="s">
        <v>140</v>
      </c>
      <c r="E55" s="21" t="s">
        <v>26</v>
      </c>
      <c r="F55" s="21" t="s">
        <v>141</v>
      </c>
      <c r="G55" s="4"/>
      <c r="H55" s="4"/>
      <c r="I55" s="4"/>
      <c r="J55" s="4"/>
      <c r="K55" s="4"/>
      <c r="L55" s="4"/>
      <c r="M55" s="2"/>
    </row>
    <row r="56" spans="1:13">
      <c r="A56" s="4"/>
      <c r="B56" s="28">
        <v>2019</v>
      </c>
      <c r="C56" s="27">
        <v>12473287</v>
      </c>
      <c r="D56" s="52">
        <v>1.0620000000000001</v>
      </c>
      <c r="E56" s="27">
        <v>7560927</v>
      </c>
      <c r="F56" s="28">
        <v>1.048</v>
      </c>
      <c r="G56" s="4"/>
      <c r="H56" s="4"/>
      <c r="I56" s="4"/>
      <c r="J56" s="4"/>
      <c r="K56" s="4"/>
      <c r="L56" s="4"/>
      <c r="M56" s="2"/>
    </row>
    <row r="57" spans="1:13">
      <c r="A57" s="4"/>
      <c r="B57" s="28">
        <v>2020</v>
      </c>
      <c r="C57" s="27">
        <v>12786083</v>
      </c>
      <c r="D57" s="52">
        <v>1.0589999999999999</v>
      </c>
      <c r="E57" s="27">
        <v>7787844</v>
      </c>
      <c r="F57" s="28">
        <v>1.097</v>
      </c>
      <c r="G57" s="4"/>
      <c r="H57" s="4"/>
      <c r="I57" s="4"/>
      <c r="J57" s="4"/>
      <c r="K57" s="4"/>
      <c r="L57" s="4"/>
      <c r="M57" s="2"/>
    </row>
    <row r="58" spans="1:13">
      <c r="A58" s="4"/>
      <c r="B58" s="28">
        <v>2021</v>
      </c>
      <c r="C58" s="27">
        <v>13207605</v>
      </c>
      <c r="D58" s="52">
        <v>1.04</v>
      </c>
      <c r="E58" s="27">
        <v>7690156</v>
      </c>
      <c r="F58" s="28">
        <v>1.1910000000000001</v>
      </c>
      <c r="G58" s="4"/>
      <c r="H58" s="4"/>
      <c r="I58" s="4"/>
      <c r="J58" s="4"/>
      <c r="K58" s="4"/>
      <c r="L58" s="4"/>
      <c r="M58" s="2"/>
    </row>
    <row r="59" spans="1:13">
      <c r="A59" s="4"/>
      <c r="B59" s="28">
        <v>2022</v>
      </c>
      <c r="C59" s="27">
        <v>13313925</v>
      </c>
      <c r="D59" s="52">
        <v>1.0289999999999999</v>
      </c>
      <c r="E59" s="27">
        <v>7409520</v>
      </c>
      <c r="F59" s="28">
        <v>1.347</v>
      </c>
      <c r="G59" s="4"/>
      <c r="H59" s="4"/>
      <c r="I59" s="4"/>
      <c r="J59" s="4"/>
      <c r="K59" s="4"/>
      <c r="L59" s="4"/>
      <c r="M59" s="2"/>
    </row>
    <row r="60" spans="1:13">
      <c r="A60" s="4"/>
      <c r="B60" s="28">
        <v>2023</v>
      </c>
      <c r="C60" s="27">
        <v>13723913</v>
      </c>
      <c r="D60" s="52">
        <v>1.0229999999999999</v>
      </c>
      <c r="E60" s="27">
        <v>6527570</v>
      </c>
      <c r="F60" s="28">
        <v>1.6359999999999999</v>
      </c>
      <c r="G60" s="4"/>
      <c r="H60" s="4"/>
      <c r="I60" s="4"/>
      <c r="J60" s="4"/>
      <c r="K60" s="4"/>
      <c r="L60" s="4"/>
      <c r="M60" s="2"/>
    </row>
    <row r="61" spans="1:13">
      <c r="A61" s="4"/>
      <c r="B61" s="28">
        <v>2024</v>
      </c>
      <c r="C61" s="27">
        <v>14293872</v>
      </c>
      <c r="D61" s="52">
        <v>1</v>
      </c>
      <c r="E61" s="27">
        <v>5514933</v>
      </c>
      <c r="F61" s="28">
        <v>2.1850000000000001</v>
      </c>
      <c r="G61" s="4"/>
      <c r="H61" s="4"/>
      <c r="I61" s="4"/>
      <c r="J61" s="4"/>
      <c r="K61" s="4"/>
      <c r="L61" s="4"/>
      <c r="M61" s="2"/>
    </row>
    <row r="62" spans="1:1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2"/>
    </row>
    <row r="63" spans="1:13">
      <c r="A63" s="4"/>
      <c r="B63" s="29" t="s">
        <v>146</v>
      </c>
      <c r="C63" s="4"/>
      <c r="D63" s="4"/>
      <c r="E63" s="51">
        <v>5.5E-2</v>
      </c>
      <c r="F63" s="4"/>
      <c r="G63" s="4"/>
      <c r="H63" s="4"/>
      <c r="I63" s="4"/>
      <c r="J63" s="4"/>
      <c r="K63" s="4"/>
      <c r="L63" s="4"/>
      <c r="M63" s="2"/>
    </row>
    <row r="64" spans="1:13">
      <c r="A64" s="4"/>
      <c r="B64" s="29" t="s">
        <v>147</v>
      </c>
      <c r="C64" s="4"/>
      <c r="D64" s="4"/>
      <c r="E64" s="32">
        <v>0.5</v>
      </c>
      <c r="F64" s="4"/>
      <c r="G64" s="4"/>
      <c r="H64" s="4"/>
      <c r="I64" s="4"/>
      <c r="J64" s="4"/>
      <c r="K64" s="4"/>
      <c r="L64" s="4"/>
      <c r="M64" s="2"/>
    </row>
    <row r="65" spans="1:13">
      <c r="M65" s="2"/>
    </row>
    <row r="66" spans="1:13" ht="16.2">
      <c r="A66" s="17" t="s">
        <v>2</v>
      </c>
      <c r="B66" s="4" t="s">
        <v>142</v>
      </c>
      <c r="C66" s="4"/>
      <c r="D66" s="4"/>
      <c r="E66" s="4"/>
      <c r="F66" s="4"/>
      <c r="G66" s="4"/>
      <c r="H66" s="4"/>
      <c r="I66" s="4"/>
      <c r="J66" s="4"/>
      <c r="K66" s="4"/>
      <c r="L66" s="4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1:13">
      <c r="A68" s="2" t="s">
        <v>1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1:13" ht="46.8">
      <c r="A70" s="2"/>
      <c r="B70" s="74" t="s">
        <v>12</v>
      </c>
      <c r="C70" s="74" t="s">
        <v>89</v>
      </c>
      <c r="D70" s="74" t="s">
        <v>140</v>
      </c>
      <c r="E70" s="74" t="s">
        <v>26</v>
      </c>
      <c r="F70" s="74" t="s">
        <v>141</v>
      </c>
      <c r="G70" s="74" t="s">
        <v>319</v>
      </c>
      <c r="H70" s="74" t="s">
        <v>320</v>
      </c>
      <c r="I70" s="74" t="s">
        <v>321</v>
      </c>
      <c r="J70" s="74" t="s">
        <v>322</v>
      </c>
      <c r="K70" s="74" t="s">
        <v>323</v>
      </c>
      <c r="L70" s="2"/>
    </row>
    <row r="71" spans="1:13">
      <c r="A71" s="2"/>
      <c r="B71" s="78">
        <v>2019</v>
      </c>
      <c r="C71" s="75">
        <f t="shared" ref="C71:F76" si="0">C56</f>
        <v>12473287</v>
      </c>
      <c r="D71" s="72">
        <f t="shared" si="0"/>
        <v>1.0620000000000001</v>
      </c>
      <c r="E71" s="75">
        <f t="shared" si="0"/>
        <v>7560927</v>
      </c>
      <c r="F71" s="78">
        <f t="shared" si="0"/>
        <v>1.048</v>
      </c>
      <c r="G71" s="129">
        <f>G72*(1+$E$63)</f>
        <v>1.3069600064093747</v>
      </c>
      <c r="H71" s="75">
        <f>C71*D71/F71</f>
        <v>12639914.879770992</v>
      </c>
      <c r="I71" s="75">
        <f t="shared" ref="I71:I76" si="1">E71*G71</f>
        <v>9881829.2003808152</v>
      </c>
      <c r="J71" s="124">
        <f>I71/H71</f>
        <v>0.78179554960419573</v>
      </c>
      <c r="K71" s="158">
        <f>K72*E64</f>
        <v>0.5</v>
      </c>
      <c r="L71" s="2"/>
    </row>
    <row r="72" spans="1:13">
      <c r="A72" s="2"/>
      <c r="B72" s="78">
        <v>2020</v>
      </c>
      <c r="C72" s="75">
        <f t="shared" si="0"/>
        <v>12786083</v>
      </c>
      <c r="D72" s="72">
        <f t="shared" si="0"/>
        <v>1.0589999999999999</v>
      </c>
      <c r="E72" s="75">
        <f t="shared" si="0"/>
        <v>7787844</v>
      </c>
      <c r="F72" s="78">
        <f t="shared" si="0"/>
        <v>1.097</v>
      </c>
      <c r="G72" s="129">
        <f t="shared" ref="G72:G75" si="2">G73*(1+$E$63)</f>
        <v>1.2388246506249998</v>
      </c>
      <c r="H72" s="75">
        <f t="shared" ref="H72:H76" si="3">C72*D72/F72</f>
        <v>12343174.017319964</v>
      </c>
      <c r="I72" s="75">
        <f t="shared" si="1"/>
        <v>9647773.1224220004</v>
      </c>
      <c r="J72" s="124">
        <f t="shared" ref="J72:J76" si="4">I72/H72</f>
        <v>0.78162821887500145</v>
      </c>
      <c r="K72" s="158">
        <v>1</v>
      </c>
      <c r="L72" s="2"/>
    </row>
    <row r="73" spans="1:13">
      <c r="A73" s="2"/>
      <c r="B73" s="78">
        <v>2021</v>
      </c>
      <c r="C73" s="75">
        <f t="shared" si="0"/>
        <v>13207605</v>
      </c>
      <c r="D73" s="72">
        <f t="shared" si="0"/>
        <v>1.04</v>
      </c>
      <c r="E73" s="75">
        <f t="shared" si="0"/>
        <v>7690156</v>
      </c>
      <c r="F73" s="78">
        <f t="shared" si="0"/>
        <v>1.1910000000000001</v>
      </c>
      <c r="G73" s="129">
        <f t="shared" si="2"/>
        <v>1.1742413749999998</v>
      </c>
      <c r="H73" s="75">
        <f t="shared" si="3"/>
        <v>11533089.168765744</v>
      </c>
      <c r="I73" s="75">
        <f t="shared" si="1"/>
        <v>9030099.3554044981</v>
      </c>
      <c r="J73" s="124">
        <f t="shared" si="4"/>
        <v>0.78297316731583788</v>
      </c>
      <c r="K73" s="158">
        <f>K72*$E$64</f>
        <v>0.5</v>
      </c>
      <c r="L73" s="2"/>
    </row>
    <row r="74" spans="1:13">
      <c r="A74" s="2"/>
      <c r="B74" s="78">
        <v>2022</v>
      </c>
      <c r="C74" s="75">
        <f t="shared" si="0"/>
        <v>13313925</v>
      </c>
      <c r="D74" s="72">
        <f t="shared" si="0"/>
        <v>1.0289999999999999</v>
      </c>
      <c r="E74" s="75">
        <f t="shared" si="0"/>
        <v>7409520</v>
      </c>
      <c r="F74" s="78">
        <f t="shared" si="0"/>
        <v>1.347</v>
      </c>
      <c r="G74" s="129">
        <f t="shared" si="2"/>
        <v>1.1130249999999999</v>
      </c>
      <c r="H74" s="75">
        <f t="shared" si="3"/>
        <v>10170771.213808462</v>
      </c>
      <c r="I74" s="75">
        <f t="shared" si="1"/>
        <v>8246980.9979999997</v>
      </c>
      <c r="J74" s="124">
        <f t="shared" si="4"/>
        <v>0.81085109719146897</v>
      </c>
      <c r="K74" s="158">
        <f t="shared" ref="K74:K76" si="5">K73*$E$64</f>
        <v>0.25</v>
      </c>
      <c r="L74" s="2"/>
    </row>
    <row r="75" spans="1:13">
      <c r="A75" s="2"/>
      <c r="B75" s="78">
        <v>2023</v>
      </c>
      <c r="C75" s="75">
        <f t="shared" si="0"/>
        <v>13723913</v>
      </c>
      <c r="D75" s="72">
        <f t="shared" si="0"/>
        <v>1.0229999999999999</v>
      </c>
      <c r="E75" s="75">
        <f t="shared" si="0"/>
        <v>6527570</v>
      </c>
      <c r="F75" s="78">
        <f t="shared" si="0"/>
        <v>1.6359999999999999</v>
      </c>
      <c r="G75" s="129">
        <f t="shared" si="2"/>
        <v>1.0549999999999999</v>
      </c>
      <c r="H75" s="75">
        <f t="shared" si="3"/>
        <v>8581639.9749388751</v>
      </c>
      <c r="I75" s="75">
        <f t="shared" si="1"/>
        <v>6886586.3499999996</v>
      </c>
      <c r="J75" s="124">
        <f t="shared" si="4"/>
        <v>0.80247905646368611</v>
      </c>
      <c r="K75" s="158">
        <f t="shared" si="5"/>
        <v>0.125</v>
      </c>
      <c r="L75" s="2"/>
    </row>
    <row r="76" spans="1:13">
      <c r="A76" s="2"/>
      <c r="B76" s="78">
        <v>2024</v>
      </c>
      <c r="C76" s="75">
        <f t="shared" si="0"/>
        <v>14293872</v>
      </c>
      <c r="D76" s="72">
        <f t="shared" si="0"/>
        <v>1</v>
      </c>
      <c r="E76" s="75">
        <f t="shared" si="0"/>
        <v>5514933</v>
      </c>
      <c r="F76" s="78">
        <f t="shared" si="0"/>
        <v>2.1850000000000001</v>
      </c>
      <c r="G76" s="129">
        <v>1</v>
      </c>
      <c r="H76" s="75">
        <f t="shared" si="3"/>
        <v>6541817.8489702512</v>
      </c>
      <c r="I76" s="75">
        <f t="shared" si="1"/>
        <v>5514933</v>
      </c>
      <c r="J76" s="124">
        <f t="shared" si="4"/>
        <v>0.8430275998693707</v>
      </c>
      <c r="K76" s="158">
        <f t="shared" si="5"/>
        <v>6.25E-2</v>
      </c>
      <c r="L76" s="2"/>
    </row>
    <row r="77" spans="1: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1:13">
      <c r="A78" s="2"/>
      <c r="B78"/>
      <c r="H78" s="1" t="s">
        <v>324</v>
      </c>
      <c r="K78" s="124">
        <f>SUMPRODUCT(H71:H76,J71:J76,K71:K76)/SUMPRODUCT(H71:H76,K71:K76)</f>
        <v>0.78621769972973732</v>
      </c>
      <c r="L78" s="2"/>
    </row>
    <row r="80" spans="1:13" ht="16.2">
      <c r="A80" s="4" t="s">
        <v>148</v>
      </c>
      <c r="B80" s="14"/>
      <c r="C80" s="14"/>
      <c r="D80" s="14"/>
      <c r="E80" s="14"/>
      <c r="F80" s="14"/>
      <c r="G80" s="14"/>
      <c r="H80" s="14"/>
      <c r="I80" s="51">
        <v>0.80600000000000005</v>
      </c>
      <c r="J80" s="14"/>
      <c r="K80" s="14"/>
      <c r="L80" s="14"/>
      <c r="M80" s="2"/>
    </row>
    <row r="82" spans="1:12" ht="16.2">
      <c r="A82" s="17" t="s">
        <v>3</v>
      </c>
      <c r="B82" s="4" t="s">
        <v>143</v>
      </c>
      <c r="C82" s="4"/>
      <c r="D82" s="4"/>
      <c r="E82" s="4"/>
      <c r="F82" s="4"/>
      <c r="G82" s="4"/>
      <c r="H82" s="4"/>
      <c r="I82" s="4"/>
      <c r="J82" s="4"/>
      <c r="K82" s="4"/>
      <c r="L82" s="4"/>
    </row>
    <row r="83" spans="1:1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1:12">
      <c r="A84" s="2" t="s">
        <v>1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1:1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1:12">
      <c r="A86" s="2"/>
      <c r="B86" s="1" t="s">
        <v>325</v>
      </c>
      <c r="E86"/>
      <c r="F86" s="93">
        <f>I80*D75/G75</f>
        <v>0.78155260663507109</v>
      </c>
      <c r="G86" s="2"/>
      <c r="H86" s="2"/>
      <c r="I86" s="2"/>
      <c r="J86" s="2"/>
      <c r="K86" s="2"/>
      <c r="L86" s="2"/>
    </row>
    <row r="87" spans="1:12">
      <c r="B87" s="1" t="s">
        <v>326</v>
      </c>
      <c r="E87"/>
      <c r="F87" s="75">
        <f>F86*C75</f>
        <v>10725959.978382938</v>
      </c>
    </row>
    <row r="88" spans="1:12">
      <c r="B88" s="1" t="s">
        <v>327</v>
      </c>
      <c r="E88"/>
      <c r="F88" s="75">
        <f>E75+F87*(1-1/F75)</f>
        <v>10697319.722647645</v>
      </c>
    </row>
  </sheetData>
  <mergeCells count="1">
    <mergeCell ref="A44:L45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D16CE4023BB4BB4110DFC2802C897" ma:contentTypeVersion="12" ma:contentTypeDescription="Create a new document." ma:contentTypeScope="" ma:versionID="7dc3d3663935be6bf10a75b4167b61c7">
  <xsd:schema xmlns:xsd="http://www.w3.org/2001/XMLSchema" xmlns:xs="http://www.w3.org/2001/XMLSchema" xmlns:p="http://schemas.microsoft.com/office/2006/metadata/properties" xmlns:ns2="16a415e0-cbd2-494f-bd0b-9ec9526163e9" targetNamespace="http://schemas.microsoft.com/office/2006/metadata/properties" ma:root="true" ma:fieldsID="a1fda67aa6625a839560a09cea5ca94f" ns2:_="">
    <xsd:import namespace="16a415e0-cbd2-494f-bd0b-9ec9526163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415e0-cbd2-494f-bd0b-9ec952616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7e5f2-3cc9-4b2c-97a9-20aec386c2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a415e0-cbd2-494f-bd0b-9ec9526163e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2837DE-1D88-4FFC-AE24-36052A264A75}"/>
</file>

<file path=customXml/itemProps2.xml><?xml version="1.0" encoding="utf-8"?>
<ds:datastoreItem xmlns:ds="http://schemas.openxmlformats.org/officeDocument/2006/customXml" ds:itemID="{ABF89D80-3213-439B-85C3-8FA5A0B878A5}"/>
</file>

<file path=customXml/itemProps3.xml><?xml version="1.0" encoding="utf-8"?>
<ds:datastoreItem xmlns:ds="http://schemas.openxmlformats.org/officeDocument/2006/customXml" ds:itemID="{A1EFA832-B6A2-4F55-A428-C6BB9DE0688A}"/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Question 1</vt:lpstr>
      <vt:lpstr>Question 2</vt:lpstr>
      <vt:lpstr>Question 3</vt:lpstr>
      <vt:lpstr>Question 4</vt:lpstr>
      <vt:lpstr>Question 5</vt:lpstr>
      <vt:lpstr>Question 6</vt:lpstr>
      <vt:lpstr>Question 7</vt:lpstr>
      <vt:lpstr>Question 8</vt:lpstr>
      <vt:lpstr>Question 9</vt:lpstr>
      <vt:lpstr>Question 10</vt:lpstr>
      <vt:lpstr>Question 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Mark Dulceak</cp:lastModifiedBy>
  <cp:lastPrinted>2018-12-31T14:01:19Z</cp:lastPrinted>
  <dcterms:created xsi:type="dcterms:W3CDTF">2016-11-07T18:30:57Z</dcterms:created>
  <dcterms:modified xsi:type="dcterms:W3CDTF">2026-01-07T20:16:32Z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0x010100A13D16CE4023BB4BB4110DFC2802C897</vt:lpwstr>
  </property>
</Properties>
</file>