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November 2025 Solutions/CP 351/"/>
    </mc:Choice>
  </mc:AlternateContent>
  <xr:revisionPtr revIDLastSave="6" documentId="8_{758BFF36-9461-4C1F-BAAD-FC49EB7CA117}" xr6:coauthVersionLast="47" xr6:coauthVersionMax="47" xr10:uidLastSave="{B9C7CEB6-2C13-494F-9D74-08E59C43A94B}"/>
  <bookViews>
    <workbookView xWindow="-96" yWindow="0" windowWidth="11712" windowHeight="12336" firstSheet="4" activeTab="6" xr2:uid="{00000000-000D-0000-FFFF-FFFF00000000}"/>
  </bookViews>
  <sheets>
    <sheet name="1125-Q1" sheetId="3" r:id="rId1"/>
    <sheet name="1125-Q4" sheetId="4" r:id="rId2"/>
    <sheet name="1125-Q4 - Answer Template" sheetId="5" r:id="rId3"/>
    <sheet name="1125-Q5" sheetId="6" r:id="rId4"/>
    <sheet name="1125-Q6 Solution" sheetId="7" r:id="rId5"/>
    <sheet name="Q7" sheetId="8" r:id="rId6"/>
    <sheet name="1125-Q9" sheetId="9" r:id="rId7"/>
  </sheets>
  <externalReferences>
    <externalReference r:id="rId8"/>
    <externalReference r:id="rId9"/>
    <externalReference r:id="rId10"/>
    <externalReference r:id="rId11"/>
  </externalReferences>
  <definedNames>
    <definedName name="Bond_Allocation" localSheetId="4">'[1]Question 2 Solution'!$B$18</definedName>
    <definedName name="Bond_Allocation">'[1]Question 2 Solution'!$B$18</definedName>
    <definedName name="Bond_Ret" localSheetId="4">'[1]Question 2 Solution'!$D$23</definedName>
    <definedName name="Bond_Ret">'[1]Question 2 Solution'!$D$23</definedName>
    <definedName name="Dividends" localSheetId="4">'[1]Question 2 Solution'!$D$22</definedName>
    <definedName name="Dividends">'[1]Question 2 Solution'!$D$22</definedName>
    <definedName name="Eq_Ret" localSheetId="4">'[1]Question 2 Solution'!$D$21</definedName>
    <definedName name="Eq_Ret">'[1]Question 2 Solution'!$D$21</definedName>
    <definedName name="Eq_Turn_over" localSheetId="4">'[1]Question 2 Solution'!$D$24</definedName>
    <definedName name="Eq_Turn_over">'[1]Question 2 Solution'!$D$24</definedName>
    <definedName name="Equity_Allocation" localSheetId="4">'[1]Question 2 Solution'!$B$17</definedName>
    <definedName name="Equity_Allocation">'[1]Question 2 Solution'!$B$17</definedName>
    <definedName name="matrix1" localSheetId="1">'[3] part d(4 points)'!#REF!</definedName>
    <definedName name="matrix1" localSheetId="2">'[3] part d(4 points)'!#REF!</definedName>
    <definedName name="matrix1" localSheetId="3">'[3] part d(4 points)'!#REF!</definedName>
    <definedName name="matrix1" localSheetId="4">'[4] part d(4 points)'!#REF!</definedName>
    <definedName name="matrix1">'[2] part d(4 points)'!#REF!</definedName>
    <definedName name="matrix2" localSheetId="1">'[3] part d(4 points)'!#REF!</definedName>
    <definedName name="matrix2" localSheetId="2">'[3] part d(4 points)'!#REF!</definedName>
    <definedName name="matrix2" localSheetId="3">'[3] part d(4 points)'!#REF!</definedName>
    <definedName name="matrix2" localSheetId="4">'[4] part d(4 points)'!#REF!</definedName>
    <definedName name="matrix2">'[2] part d(4 points)'!#REF!</definedName>
    <definedName name="solver_adj" localSheetId="1" hidden="1">'1125-Q4'!#REF!</definedName>
    <definedName name="solver_adj" localSheetId="2" hidden="1">'1125-Q4 - Answer Template'!#REF!</definedName>
    <definedName name="solver_cvg" localSheetId="1" hidden="1">0.0001</definedName>
    <definedName name="solver_cvg" localSheetId="2" hidden="1">0.0001</definedName>
    <definedName name="solver_drv" localSheetId="1" hidden="1">2</definedName>
    <definedName name="solver_drv" localSheetId="2" hidden="1">2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lhs1" localSheetId="1" hidden="1">'1125-Q4'!#REF!</definedName>
    <definedName name="solver_lhs1" localSheetId="2" hidden="1">'1125-Q4 - Answer Template'!#REF!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1" hidden="1">1</definedName>
    <definedName name="solver_num" localSheetId="2" hidden="1">1</definedName>
    <definedName name="solver_nwt" localSheetId="1" hidden="1">1</definedName>
    <definedName name="solver_nwt" localSheetId="2" hidden="1">1</definedName>
    <definedName name="solver_opt" localSheetId="1" hidden="1">'1125-Q4'!#REF!</definedName>
    <definedName name="solver_opt" localSheetId="2" hidden="1">'1125-Q4 - Answer Template'!#REF!</definedName>
    <definedName name="solver_pre" localSheetId="1" hidden="1">0.000001</definedName>
    <definedName name="solver_pre" localSheetId="2" hidden="1">0.000001</definedName>
    <definedName name="solver_rbv" localSheetId="1" hidden="1">2</definedName>
    <definedName name="solver_rbv" localSheetId="2" hidden="1">2</definedName>
    <definedName name="solver_rel1" localSheetId="1" hidden="1">1</definedName>
    <definedName name="solver_rel1" localSheetId="2" hidden="1">1</definedName>
    <definedName name="solver_rhs1" localSheetId="1" hidden="1">175</definedName>
    <definedName name="solver_rhs1" localSheetId="2" hidden="1">175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2</definedName>
    <definedName name="solver_scl" localSheetId="2" hidden="1">2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0.01</definedName>
    <definedName name="solver_tol" localSheetId="2" hidden="1">0.01</definedName>
    <definedName name="solver_typ" localSheetId="1" hidden="1">1</definedName>
    <definedName name="solver_typ" localSheetId="2" hidden="1">1</definedName>
    <definedName name="solver_val" localSheetId="1" hidden="1">175</definedName>
    <definedName name="solver_val" localSheetId="2" hidden="1">175</definedName>
    <definedName name="solver_ver" localSheetId="1" hidden="1">3</definedName>
    <definedName name="solver_ver" localSheetId="2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C20" i="9"/>
  <c r="C24" i="9"/>
  <c r="C25" i="9"/>
  <c r="C64" i="9" s="1"/>
  <c r="B80" i="9"/>
  <c r="B81" i="9"/>
  <c r="B39" i="9" l="1"/>
  <c r="C39" i="9"/>
  <c r="B40" i="9"/>
  <c r="C40" i="9" s="1"/>
  <c r="C41" i="9" s="1"/>
  <c r="C34" i="9" s="1"/>
  <c r="C63" i="9"/>
  <c r="C65" i="9" s="1"/>
  <c r="C15" i="8"/>
  <c r="C22" i="8"/>
  <c r="C21" i="8" s="1"/>
  <c r="B61" i="8" s="1"/>
  <c r="B63" i="8" s="1"/>
  <c r="C55" i="8" s="1"/>
  <c r="C23" i="8"/>
  <c r="C30" i="8"/>
  <c r="C34" i="8"/>
  <c r="B60" i="8"/>
  <c r="B62" i="8"/>
  <c r="C57" i="9" l="1"/>
  <c r="A80" i="9"/>
  <c r="C23" i="7"/>
  <c r="D17" i="7" s="1"/>
  <c r="D23" i="7"/>
  <c r="C24" i="7"/>
  <c r="D24" i="7"/>
  <c r="C46" i="7"/>
  <c r="C47" i="7" s="1"/>
  <c r="C65" i="7"/>
  <c r="C66" i="7" s="1"/>
  <c r="D48" i="6"/>
  <c r="D49" i="6"/>
  <c r="D52" i="6"/>
  <c r="F72" i="6" s="1"/>
  <c r="F77" i="6" s="1"/>
  <c r="H72" i="6"/>
  <c r="D90" i="6"/>
  <c r="C80" i="9" l="1"/>
  <c r="A81" i="9"/>
  <c r="C81" i="9" s="1"/>
  <c r="C83" i="9" s="1"/>
  <c r="C73" i="9" s="1"/>
  <c r="E83" i="6"/>
  <c r="B60" i="6" s="1"/>
  <c r="F92" i="6"/>
  <c r="E97" i="6" s="1"/>
  <c r="B61" i="6" s="1"/>
  <c r="C26" i="6"/>
  <c r="F21" i="5"/>
  <c r="F22" i="5"/>
  <c r="F23" i="5"/>
  <c r="F24" i="5"/>
  <c r="F25" i="5"/>
  <c r="F77" i="5" s="1"/>
  <c r="F26" i="5"/>
  <c r="F78" i="5" s="1"/>
  <c r="F27" i="5"/>
  <c r="F28" i="5"/>
  <c r="B42" i="5"/>
  <c r="B37" i="5" s="1"/>
  <c r="B44" i="5"/>
  <c r="C44" i="5"/>
  <c r="D44" i="5"/>
  <c r="E44" i="5"/>
  <c r="B46" i="5"/>
  <c r="F60" i="5"/>
  <c r="G60" i="5"/>
  <c r="F61" i="5"/>
  <c r="G61" i="5"/>
  <c r="F62" i="5"/>
  <c r="G62" i="5"/>
  <c r="G64" i="5"/>
  <c r="F64" i="5" s="1"/>
  <c r="B51" i="5" s="1"/>
  <c r="F76" i="5"/>
  <c r="G76" i="5"/>
  <c r="G81" i="5" s="1"/>
  <c r="G77" i="5"/>
  <c r="G78" i="5"/>
  <c r="F21" i="4"/>
  <c r="F22" i="4"/>
  <c r="F23" i="4"/>
  <c r="F24" i="4"/>
  <c r="F25" i="4"/>
  <c r="F26" i="4"/>
  <c r="F27" i="4"/>
  <c r="F28" i="4"/>
  <c r="F57" i="5" l="1"/>
  <c r="F73" i="5"/>
  <c r="F81" i="5"/>
  <c r="B69" i="5" s="1"/>
  <c r="C14" i="3"/>
  <c r="C13" i="3"/>
  <c r="C12" i="3"/>
  <c r="B22" i="3"/>
  <c r="B21" i="3"/>
</calcChain>
</file>

<file path=xl/sharedStrings.xml><?xml version="1.0" encoding="utf-8"?>
<sst xmlns="http://schemas.openxmlformats.org/spreadsheetml/2006/main" count="321" uniqueCount="219">
  <si>
    <t>Show your work here:</t>
  </si>
  <si>
    <t>Mismatch</t>
  </si>
  <si>
    <t>Liability</t>
  </si>
  <si>
    <t>Asset</t>
  </si>
  <si>
    <t>Dollar duration</t>
  </si>
  <si>
    <t>Fill in your final answers here:</t>
  </si>
  <si>
    <t xml:space="preserve">(b) (i) (0.5 points) Calculate the dollar duration mismatch. </t>
  </si>
  <si>
    <t>Value (million)</t>
  </si>
  <si>
    <t>Duration</t>
  </si>
  <si>
    <t>The details of ABC Life’s asset and liability portfolio are as follows:</t>
  </si>
  <si>
    <t>Question 1</t>
  </si>
  <si>
    <t>Dollar duration (DD) = Duration x value</t>
  </si>
  <si>
    <t>DD of Asset</t>
  </si>
  <si>
    <t>DD of Liability</t>
  </si>
  <si>
    <t>Convexity</t>
  </si>
  <si>
    <t>(iii) (1 point) Convexity of OPQ’s liabilities</t>
  </si>
  <si>
    <t>(ii) (0.5 points) Duration of OPQ’s liabilities</t>
  </si>
  <si>
    <t>Discount rate</t>
  </si>
  <si>
    <t>(i) (0.5 points) The liability discount rate</t>
  </si>
  <si>
    <t>(a) (2 points) Calculate the following:</t>
  </si>
  <si>
    <t>Assuming a risk-free rate of 5% plus the weighted average illiquidity spread in the market</t>
  </si>
  <si>
    <t>Total</t>
  </si>
  <si>
    <t>CF from years 31+</t>
  </si>
  <si>
    <t>CF from years 16-30</t>
  </si>
  <si>
    <t>CF from years 11-15</t>
  </si>
  <si>
    <t>CF from years 1-10</t>
  </si>
  <si>
    <t>Discount Rate</t>
  </si>
  <si>
    <t>Annuity blocks have  the following present values of projected cash flows (CF) based on various discount rates:</t>
  </si>
  <si>
    <t>Risk Free Rate</t>
  </si>
  <si>
    <t>Expected Loss</t>
  </si>
  <si>
    <t>Spread</t>
  </si>
  <si>
    <t>Total size</t>
  </si>
  <si>
    <t>16-30</t>
  </si>
  <si>
    <t>11-15</t>
  </si>
  <si>
    <t>6-10</t>
  </si>
  <si>
    <t>1-5</t>
  </si>
  <si>
    <t>Maturity (Years)</t>
  </si>
  <si>
    <t>You are given the following corporate bond market data:</t>
  </si>
  <si>
    <t>The annuities have significant cash flows that extend more than 25 years.</t>
  </si>
  <si>
    <t xml:space="preserve">The annuities pay a fixed amount until the policyholders die and contain no policyholder options. </t>
  </si>
  <si>
    <t xml:space="preserve">OPQ Insurance company sells long-term annuities backing pension obligations. </t>
  </si>
  <si>
    <t>Question 4</t>
  </si>
  <si>
    <t>Up</t>
  </si>
  <si>
    <t>Formula</t>
  </si>
  <si>
    <t>Current</t>
  </si>
  <si>
    <t>Down</t>
  </si>
  <si>
    <t>Rate</t>
  </si>
  <si>
    <t>Value</t>
  </si>
  <si>
    <t>average of illiquitidy premium</t>
  </si>
  <si>
    <t>total spread minus credit spread is implied illiquidity spread</t>
  </si>
  <si>
    <t>&lt;&lt;&lt;</t>
  </si>
  <si>
    <t>illiquidity spread</t>
  </si>
  <si>
    <t>risk free rate</t>
  </si>
  <si>
    <t>=Risk Free Rate + illiquidity premium</t>
  </si>
  <si>
    <t>DV01 of liabilities</t>
  </si>
  <si>
    <t>DV01 = Duration * Price * 0.0001</t>
  </si>
  <si>
    <t>Use the formula for DV01 to calculate DV01 of the liabilities</t>
  </si>
  <si>
    <t>Duration of liabilities before interest rate drop</t>
  </si>
  <si>
    <t xml:space="preserve">L = A - E = </t>
  </si>
  <si>
    <t>Thus,</t>
  </si>
  <si>
    <t>E = A - L</t>
  </si>
  <si>
    <t>Let E, A, L denote the value of Equity, Assets, and Liabiilities</t>
  </si>
  <si>
    <t>DV01 of assets</t>
  </si>
  <si>
    <t>Use the formula for DV01 to calculate DV01 of the assets</t>
  </si>
  <si>
    <t>Duration of assets</t>
  </si>
  <si>
    <t>−D_x0002_y ≈ 0.5*C*y^2 - ∆P/P</t>
  </si>
  <si>
    <t xml:space="preserve">∆P/P ≈ −D_x0002_y +0.5*C*y^2 </t>
  </si>
  <si>
    <t>Change in Assets</t>
  </si>
  <si>
    <t>Calculate the change in asset value</t>
  </si>
  <si>
    <t>bps</t>
  </si>
  <si>
    <t>Change in interest rates</t>
  </si>
  <si>
    <t>Equity</t>
  </si>
  <si>
    <t>Assets</t>
  </si>
  <si>
    <t>Extract relevant information from the question (before interest rate drop)</t>
  </si>
  <si>
    <t xml:space="preserve"> ii. (1 point) 	DV01 of Company AAA’s liabilities</t>
  </si>
  <si>
    <t>i. (1.5 points) DV01 of Company AAA’s assets</t>
  </si>
  <si>
    <t>(b) (2.5 points) Estimate the following as of yesterday morning before the drop in interest rates</t>
  </si>
  <si>
    <t xml:space="preserve">Thus, L_0 = </t>
  </si>
  <si>
    <t>L_-</t>
  </si>
  <si>
    <t>L_+</t>
  </si>
  <si>
    <t>Extract the relevant information from the question</t>
  </si>
  <si>
    <t>L_0 = (L_+ L_-)/(C*0.001^2 + 2)</t>
  </si>
  <si>
    <t>L_0*(C*0.001^2 + 2) = L_+ + L_-</t>
  </si>
  <si>
    <t>C*0.001^2*L_0 + 2L_0 = L_+  + L_-</t>
  </si>
  <si>
    <t>C = (L_+ -2L_0 + L_-)/(0.001^2*L_0)</t>
  </si>
  <si>
    <t>Rearrange the formula to solve for L_0, which represents the value of Company A's assets as of 12:01 PM yesterday</t>
  </si>
  <si>
    <r>
      <rPr>
        <sz val="11"/>
        <color theme="1"/>
        <rFont val="Aptos Narrow"/>
        <family val="2"/>
      </rPr>
      <t>δ</t>
    </r>
    <r>
      <rPr>
        <sz val="11"/>
        <color theme="1"/>
        <rFont val="Calibri"/>
        <family val="2"/>
      </rPr>
      <t xml:space="preserve"> is 0.001, since the interest rate shock is 10 basis points up and down</t>
    </r>
  </si>
  <si>
    <t>L_- corresponds to Model C</t>
  </si>
  <si>
    <t>L_0 corresponds to Model A</t>
  </si>
  <si>
    <t>L_+ corresponds to Model B</t>
  </si>
  <si>
    <t>Recall the formula for effective convexity</t>
  </si>
  <si>
    <t>Value of assets</t>
  </si>
  <si>
    <t>(a) (0.5 points) Estimate the value of assets at 12:01 PM yesterday using the results from the simulations</t>
  </si>
  <si>
    <t>The effective convexity of the asset portfolio is estimated to be 25 based on the Monte Carlo simulations.</t>
  </si>
  <si>
    <t>C</t>
  </si>
  <si>
    <t>B</t>
  </si>
  <si>
    <t>Estimated Value of Assets</t>
  </si>
  <si>
    <t>Model</t>
  </si>
  <si>
    <t>The estimates for the total value of Company A's assets produced by Model B and Model C are shown below: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</si>
  <si>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Model C uses a spot curve where all rates are 10 basis points lower than Model 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</si>
  <si>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Model B uses a spot curve where all rates are 10 basis points higher than Model A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</si>
  <si>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Model A uses the spot curve from 12:01 PM yesterday</t>
    </r>
  </si>
  <si>
    <t>Three Monte Carlo models are created, each using a different spot curve to calibrate the interest rate scenario generator.</t>
  </si>
  <si>
    <t>Your assistant uses Monte Carlo simulation to estimate the value of Company A’s assets under 3 separate interest rate regimes.</t>
  </si>
  <si>
    <t>You ask your assistant to estimate the effective convexity of Company A's assets, as 12:01 PM yesterday, directly after the drop in interest rates.</t>
  </si>
  <si>
    <t>Yesterday at noon, there was a sudden, instantaneous drop in market interest rates of 150 basis points.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</si>
  <si>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duration of Company A’s assets was exactly equal to the duration of Company A’s liabilities.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</si>
  <si>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equity of Company A was 450,000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</si>
  <si>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The assets owned by Company A were worth 2,500</t>
    </r>
    <r>
      <rPr>
        <sz val="11"/>
        <color theme="1"/>
        <rFont val="Symbol"/>
        <family val="1"/>
        <charset val="2"/>
      </rPr>
      <t>,000</t>
    </r>
  </si>
  <si>
    <t>As of yesterday morning, the following were true:</t>
  </si>
  <si>
    <t>Data</t>
  </si>
  <si>
    <t>With 2% profit sharing carried forward from last year, the company has 1%+2%=3% available for distribution. This is 1% lower than the target crediting rate of 4%. In this case, the company should give the full 3% to the policyholder and allocate nothing to profit sharing.</t>
  </si>
  <si>
    <t>See formula in the answers above.</t>
  </si>
  <si>
    <t>Profit sharing rate</t>
  </si>
  <si>
    <t>Crediting rate</t>
  </si>
  <si>
    <t>Financial return of the asset in year 2025</t>
  </si>
  <si>
    <t>(ii) (1 point)  The expected financial return of the asset in year 2025 is 1%.</t>
  </si>
  <si>
    <t>With 2% profit sharing carried forward from last year, the company has 6%+2%=8% available for distribution. This is 4% higher than the target crediting rate of 4%. Of this excess 4%, at most 3% can be allocated to profit sharing (since this is the upper bound). The remaining 1% must go to the policyholder.</t>
  </si>
  <si>
    <t>(i) (1 point)  The expected financial return of the asset in year 2025 is 6%.</t>
  </si>
  <si>
    <t>(c) (2 points) Calculate the crediting rate and profit sharing rate for the following two scenarios:</t>
  </si>
  <si>
    <t>Profit sharing rate for year 2024</t>
  </si>
  <si>
    <t>Profit sharing limit, upper bound</t>
  </si>
  <si>
    <t>Profit sharing limit, lower bound</t>
  </si>
  <si>
    <t>Target crediting rate</t>
  </si>
  <si>
    <t>to policyholders for year 2025 and sends you the following information:</t>
  </si>
  <si>
    <t xml:space="preserve">Your manager asks you to calculate the crediting rate and profit sharing rate that will be paid by UVW </t>
  </si>
  <si>
    <t>Bond</t>
  </si>
  <si>
    <t>Allocation</t>
  </si>
  <si>
    <t>Financial Return</t>
  </si>
  <si>
    <t>Financial return of the asset</t>
  </si>
  <si>
    <t>based on the information above.</t>
  </si>
  <si>
    <t xml:space="preserve">(a) (1 point) Calculate the financial return of the asset portfolio for the product in year 2024 </t>
  </si>
  <si>
    <t>Equity dividend rate</t>
  </si>
  <si>
    <t>Equity turnover ratio</t>
  </si>
  <si>
    <t>Realized average return of the equity</t>
  </si>
  <si>
    <t>Average coupon rate of the bond</t>
  </si>
  <si>
    <t>Strategic asset allocation, equity</t>
  </si>
  <si>
    <t>Strategic asset allocation, bonds</t>
  </si>
  <si>
    <t>on this product and collected the following information on the asset portfolio for year 2024:</t>
  </si>
  <si>
    <t xml:space="preserve">Company UVW is launching a new general fund product. Your team is conducting an ALM study </t>
  </si>
  <si>
    <t>Question 6</t>
  </si>
  <si>
    <r>
      <t>0:</t>
    </r>
    <r>
      <rPr>
        <sz val="14"/>
        <color theme="1"/>
        <rFont val="Calibri"/>
        <family val="2"/>
      </rPr>
      <t xml:space="preserve"> No relevant answers provided.</t>
    </r>
  </si>
  <si>
    <r>
      <t>1:</t>
    </r>
    <r>
      <rPr>
        <sz val="14"/>
        <color theme="1"/>
        <rFont val="Calibri"/>
        <family val="2"/>
      </rPr>
      <t xml:space="preserve"> Attempts to calculate the P&amp;L but has major errors or missing two out of the three components.</t>
    </r>
  </si>
  <si>
    <r>
      <t>2:</t>
    </r>
    <r>
      <rPr>
        <sz val="14"/>
        <color theme="1"/>
        <rFont val="Calibri"/>
        <family val="2"/>
      </rPr>
      <t xml:space="preserve"> Produces largely correct partial result (e.g. include only two out of three major components)</t>
    </r>
  </si>
  <si>
    <r>
      <t>3:</t>
    </r>
    <r>
      <rPr>
        <sz val="14"/>
        <color theme="1"/>
        <rFont val="Calibri"/>
        <family val="2"/>
      </rPr>
      <t xml:space="preserve"> Calculates P&amp;L with all three components but has an arithmetic or sign error.</t>
    </r>
  </si>
  <si>
    <r>
      <t>4:</t>
    </r>
    <r>
      <rPr>
        <sz val="14"/>
        <color theme="1"/>
        <rFont val="Calibri"/>
        <family val="2"/>
      </rPr>
      <t xml:space="preserve"> Correctly calculates total P&amp;L (setup cost being double-counted will not be penalized in this question).</t>
    </r>
  </si>
  <si>
    <t>Grading rubric for Part (d)(i):</t>
    <phoneticPr fontId="5" type="noConversion"/>
  </si>
  <si>
    <t>P/L with hedges</t>
    <phoneticPr fontId="5" type="noConversion"/>
  </si>
  <si>
    <t>Change in liability</t>
    <phoneticPr fontId="5" type="noConversion"/>
  </si>
  <si>
    <t>P/L from futures</t>
    <phoneticPr fontId="5" type="noConversion"/>
  </si>
  <si>
    <t>P/L from put options</t>
    <phoneticPr fontId="5" type="noConversion"/>
  </si>
  <si>
    <t>Profit and loss</t>
  </si>
  <si>
    <t>(d) (i) (1 point)  Calculate the profit and loss after two months for the hedged portfolio in Part (c), including the initial setup cost.</t>
  </si>
  <si>
    <t>Liability Amount</t>
  </si>
  <si>
    <t>Price of the Put Option</t>
  </si>
  <si>
    <t>Index Level</t>
  </si>
  <si>
    <t>After two months:</t>
  </si>
  <si>
    <t>7(d0(i)</t>
    <phoneticPr fontId="5" type="noConversion"/>
  </si>
  <si>
    <r>
      <t>0:</t>
    </r>
    <r>
      <rPr>
        <sz val="14"/>
        <color theme="1"/>
        <rFont val="Calibri"/>
        <family val="2"/>
      </rPr>
      <t xml:space="preserve"> No relevant answer.</t>
    </r>
  </si>
  <si>
    <r>
      <t>1:</t>
    </r>
    <r>
      <rPr>
        <sz val="14"/>
        <color theme="1"/>
        <rFont val="Calibri"/>
        <family val="2"/>
      </rPr>
      <t xml:space="preserve"> Shows an attempt at setting up the hedging equations but misapplies them (e.g., incorrect sign conventions, missing terms), with no correct values obtained.</t>
    </r>
  </si>
  <si>
    <r>
      <t>2:</t>
    </r>
    <r>
      <rPr>
        <sz val="14"/>
        <color theme="1"/>
        <rFont val="Calibri"/>
        <family val="2"/>
      </rPr>
      <t xml:space="preserve"> Correctly sets up only one of the two equations (gamma or delta) and solves it correctly, OR sets up both with the right components but makes arithmetic t errors.</t>
    </r>
  </si>
  <si>
    <r>
      <t>3:</t>
    </r>
    <r>
      <rPr>
        <sz val="14"/>
        <color theme="1"/>
        <rFont val="Calibri"/>
        <family val="2"/>
      </rPr>
      <t xml:space="preserve"> Correctly sets up one equation but makes an arithmetic mistake (e.g. put in a wrong sign in the equation) in the other which has the correct components.</t>
    </r>
  </si>
  <si>
    <r>
      <t>4: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Calibri"/>
        <family val="2"/>
      </rPr>
      <t>Correctly sets up both gamma and delta equations, solves for the correct number of puts and futures, and calculates the total hedging cost accurately.</t>
    </r>
  </si>
  <si>
    <t>Grading rubric for part (c)</t>
    <phoneticPr fontId="5" type="noConversion"/>
  </si>
  <si>
    <t>sell</t>
    <phoneticPr fontId="5" type="noConversion"/>
  </si>
  <si>
    <t xml:space="preserve">A = </t>
    <phoneticPr fontId="5" type="noConversion"/>
  </si>
  <si>
    <t>A = -57,750 - (- .093)*B</t>
    <phoneticPr fontId="5" type="noConversion"/>
  </si>
  <si>
    <t>units of futures = dollar delta -units of p * delta P</t>
    <phoneticPr fontId="5" type="noConversion"/>
  </si>
  <si>
    <t>buy</t>
    <phoneticPr fontId="5" type="noConversion"/>
  </si>
  <si>
    <t>B=</t>
    <phoneticPr fontId="5" type="noConversion"/>
  </si>
  <si>
    <t>0.0027B = 1060</t>
  </si>
  <si>
    <t>Units of P * put gamma = dollar gamma</t>
    <phoneticPr fontId="5" type="noConversion"/>
  </si>
  <si>
    <t>Unit of future = A and unit of put = B</t>
  </si>
  <si>
    <t>Total initial set up cost</t>
  </si>
  <si>
    <t>Units of put option</t>
  </si>
  <si>
    <t>Units of futures</t>
  </si>
  <si>
    <t>7(c)</t>
    <phoneticPr fontId="5" type="noConversion"/>
  </si>
  <si>
    <t>(c) (2 points)  Calculate the number of units for each instrument and the total initial cost of setup.</t>
  </si>
  <si>
    <t>Put Option on the Index</t>
  </si>
  <si>
    <t>Futures on the Index</t>
  </si>
  <si>
    <t>Unit Gamma</t>
  </si>
  <si>
    <t>Unit Delta</t>
  </si>
  <si>
    <t>Unit Price</t>
  </si>
  <si>
    <t>Instrument</t>
  </si>
  <si>
    <t>neutral hedging strategy at time 0:</t>
  </si>
  <si>
    <t xml:space="preserve">The ALM team plans to use the following two instruments to set up a static delta-gamma </t>
  </si>
  <si>
    <t>Dollar Gamma</t>
  </si>
  <si>
    <t>Dollar Delta</t>
  </si>
  <si>
    <t>Through simulation, the team has obtained the following statistics of the liability:</t>
  </si>
  <si>
    <t xml:space="preserve">The equity risk of the product is linked to a stock index currently at $300. </t>
  </si>
  <si>
    <t xml:space="preserve">The ALM team now plans to hedge the equity market risk associated with Product B. </t>
  </si>
  <si>
    <t>ES(99)</t>
  </si>
  <si>
    <t>Expected shortfall</t>
  </si>
  <si>
    <r>
      <t>between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follows the Frank Copula with α=2.</t>
    </r>
  </si>
  <si>
    <t>(d) (1 point)  Calculate the 99% Expected Shortfall of the loss given default, assuming the dependency</t>
  </si>
  <si>
    <r>
      <t>C</t>
    </r>
    <r>
      <rPr>
        <vertAlign val="subscript"/>
        <sz val="11"/>
        <color theme="1"/>
        <rFont val="Calibri"/>
        <family val="2"/>
        <scheme val="minor"/>
      </rPr>
      <t>Frank</t>
    </r>
  </si>
  <si>
    <t>Probability (both default)</t>
  </si>
  <si>
    <t>follows the Frank Copula with α=2.</t>
  </si>
  <si>
    <r>
      <t>(c) (1 point)  Calculate the probability of both firms defaulting, assuming the dependency between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</si>
  <si>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t>where α is a parameter.</t>
  </si>
  <si>
    <t>The Frank copula is defined by</t>
  </si>
  <si>
    <t xml:space="preserve">Your manager asks you to incorporate Frank copula into the model. </t>
  </si>
  <si>
    <r>
      <t>(b) (1 point)  Calculate 99% Expected Shortfall of the loss given default, assuming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are independent.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</si>
  <si>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</si>
  <si>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</si>
  <si>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t>Probability (Firm 2 defaults)</t>
  </si>
  <si>
    <t>Probability (Firm 1 defaults)</t>
  </si>
  <si>
    <t xml:space="preserve">(a) (0.5 points)  Calculate the marginal probability of default for each firm. </t>
  </si>
  <si>
    <t xml:space="preserve"> if both firms default</t>
  </si>
  <si>
    <t xml:space="preserve"> if only Firm 2 defaults</t>
  </si>
  <si>
    <t xml:space="preserve"> if only Firm 1 defaults</t>
  </si>
  <si>
    <t xml:space="preserve"> · RST will lose:</t>
  </si>
  <si>
    <r>
      <t xml:space="preserve"> · 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∼Exp(0.1)</t>
    </r>
  </si>
  <si>
    <r>
      <t xml:space="preserve"> · 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∼Exp(0.05)</t>
    </r>
  </si>
  <si>
    <t xml:space="preserve"> · X∼Exp(λ) means that X is a random variable following the exponential distribution, where</t>
  </si>
  <si>
    <r>
      <t xml:space="preserve"> · Firm i defaults if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≤ 1.</t>
    </r>
  </si>
  <si>
    <r>
      <t xml:space="preserve"> · The default of Firm i is modeled by a latent risk random variable X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, i=1,2. </t>
    </r>
  </si>
  <si>
    <t>RST’s portfolio holds significant assets from Firm 1 and Firm 2. You are given the following information:</t>
  </si>
  <si>
    <t>Question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</si>
</sst>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  <numFmt numFmtId="168" formatCode="0.000%"/>
    <numFmt numFmtId="169" formatCode="0.0000%"/>
    <numFmt numFmtId="170" formatCode="_(* #,##0.000_);_(* \(#,##0.000\);_(* &quot;-&quot;??_);_(@_)"/>
    <numFmt numFmtId="171" formatCode="_(* #,##0.0000000_);_(* \(#,##0.0000000\);_(* &quot;-&quot;??_);_(@_)"/>
    <numFmt numFmtId="172" formatCode="#,##0.0"/>
    <numFmt numFmtId="173" formatCode="_(&quot;HK$&quot;* #,##0.00_);_(&quot;HK$&quot;* \(#,##0.00\);_(&quot;HK$&quot;* &quot;-&quot;??_);_(@_)"/>
    <numFmt numFmtId="174" formatCode="&quot;$&quot;#,##0;[Red]\-&quot;$&quot;#,##0"/>
    <numFmt numFmtId="175" formatCode="&quot;$&quot;#,##0.00;[Red]\-&quot;$&quot;#,##0.00"/>
    <numFmt numFmtId="176" formatCode="0.000"/>
  </numFmts>
  <fonts count="3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0070C0"/>
      <name val="SwissReSans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SwissReSans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SwissReSans"/>
    </font>
    <font>
      <sz val="11"/>
      <name val="SwissReSans"/>
    </font>
    <font>
      <b/>
      <sz val="11"/>
      <color theme="1"/>
      <name val="SwissReSans"/>
    </font>
    <font>
      <sz val="11"/>
      <color theme="1"/>
      <name val="Aptos Narrow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  <charset val="136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charset val="136"/>
      <scheme val="minor"/>
    </font>
    <font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3" fillId="0" borderId="0" xfId="2" applyFont="1"/>
    <xf numFmtId="0" fontId="4" fillId="0" borderId="0" xfId="2"/>
    <xf numFmtId="164" fontId="3" fillId="2" borderId="0" xfId="2" applyNumberFormat="1" applyFont="1" applyFill="1" applyAlignment="1">
      <alignment horizontal="right"/>
    </xf>
    <xf numFmtId="0" fontId="3" fillId="0" borderId="3" xfId="2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/>
    <xf numFmtId="0" fontId="2" fillId="0" borderId="0" xfId="2" applyFont="1"/>
    <xf numFmtId="0" fontId="5" fillId="3" borderId="2" xfId="2" applyFont="1" applyFill="1" applyBorder="1" applyAlignment="1">
      <alignment horizontal="left" wrapText="1"/>
    </xf>
    <xf numFmtId="0" fontId="5" fillId="3" borderId="1" xfId="2" applyFont="1" applyFill="1" applyBorder="1" applyAlignment="1">
      <alignment horizontal="left" wrapText="1"/>
    </xf>
    <xf numFmtId="0" fontId="5" fillId="3" borderId="2" xfId="2" applyFont="1" applyFill="1" applyBorder="1" applyAlignment="1">
      <alignment horizontal="left" wrapText="1"/>
    </xf>
    <xf numFmtId="0" fontId="5" fillId="3" borderId="1" xfId="2" applyFont="1" applyFill="1" applyBorder="1" applyAlignment="1">
      <alignment horizontal="left" wrapText="1"/>
    </xf>
    <xf numFmtId="0" fontId="7" fillId="0" borderId="0" xfId="2" applyFont="1"/>
    <xf numFmtId="0" fontId="1" fillId="0" borderId="0" xfId="2" applyFont="1"/>
    <xf numFmtId="166" fontId="1" fillId="0" borderId="0" xfId="3" applyNumberFormat="1" applyFont="1" applyFill="1" applyBorder="1" applyAlignment="1"/>
    <xf numFmtId="0" fontId="8" fillId="3" borderId="1" xfId="2" applyFont="1" applyFill="1" applyBorder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3" fontId="1" fillId="0" borderId="0" xfId="2" applyNumberFormat="1" applyFont="1"/>
    <xf numFmtId="0" fontId="9" fillId="0" borderId="0" xfId="2" applyFont="1"/>
    <xf numFmtId="2" fontId="9" fillId="0" borderId="0" xfId="2" applyNumberFormat="1" applyFont="1" applyAlignment="1">
      <alignment horizontal="right"/>
    </xf>
    <xf numFmtId="2" fontId="1" fillId="2" borderId="0" xfId="2" applyNumberFormat="1" applyFont="1" applyFill="1" applyAlignment="1">
      <alignment horizontal="right"/>
    </xf>
    <xf numFmtId="10" fontId="1" fillId="0" borderId="0" xfId="8" applyNumberFormat="1" applyFont="1" applyFill="1" applyBorder="1" applyAlignment="1"/>
    <xf numFmtId="10" fontId="0" fillId="0" borderId="0" xfId="4" applyNumberFormat="1" applyFont="1" applyFill="1" applyBorder="1"/>
    <xf numFmtId="6" fontId="4" fillId="0" borderId="0" xfId="2" applyNumberFormat="1"/>
    <xf numFmtId="167" fontId="0" fillId="0" borderId="0" xfId="3" applyNumberFormat="1" applyFont="1" applyFill="1" applyBorder="1"/>
    <xf numFmtId="0" fontId="10" fillId="0" borderId="0" xfId="2" applyFont="1"/>
    <xf numFmtId="0" fontId="5" fillId="4" borderId="1" xfId="2" applyFont="1" applyFill="1" applyBorder="1" applyAlignment="1">
      <alignment horizontal="left" wrapText="1"/>
    </xf>
    <xf numFmtId="0" fontId="5" fillId="4" borderId="2" xfId="2" applyFont="1" applyFill="1" applyBorder="1" applyAlignment="1">
      <alignment horizontal="left" wrapText="1"/>
    </xf>
    <xf numFmtId="166" fontId="4" fillId="2" borderId="0" xfId="2" applyNumberFormat="1" applyFill="1"/>
    <xf numFmtId="0" fontId="11" fillId="0" borderId="0" xfId="2" applyFont="1"/>
    <xf numFmtId="3" fontId="12" fillId="0" borderId="0" xfId="2" applyNumberFormat="1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/>
    </xf>
    <xf numFmtId="10" fontId="1" fillId="2" borderId="0" xfId="9" applyNumberFormat="1" applyFont="1" applyFill="1" applyAlignment="1">
      <alignment horizontal="right"/>
    </xf>
    <xf numFmtId="0" fontId="13" fillId="0" borderId="0" xfId="2" applyFont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10" fontId="11" fillId="0" borderId="0" xfId="2" applyNumberFormat="1" applyFont="1" applyAlignment="1">
      <alignment horizontal="center" vertical="center" wrapText="1"/>
    </xf>
    <xf numFmtId="3" fontId="12" fillId="0" borderId="11" xfId="2" applyNumberFormat="1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3" fontId="12" fillId="0" borderId="12" xfId="2" applyNumberFormat="1" applyFont="1" applyBorder="1" applyAlignment="1">
      <alignment horizontal="center" vertical="center" wrapText="1"/>
    </xf>
    <xf numFmtId="10" fontId="11" fillId="0" borderId="13" xfId="2" applyNumberFormat="1" applyFont="1" applyBorder="1" applyAlignment="1">
      <alignment horizontal="center" vertical="center" wrapText="1"/>
    </xf>
    <xf numFmtId="3" fontId="12" fillId="0" borderId="14" xfId="2" applyNumberFormat="1" applyFont="1" applyBorder="1" applyAlignment="1">
      <alignment horizontal="center" vertical="center" wrapText="1"/>
    </xf>
    <xf numFmtId="10" fontId="11" fillId="0" borderId="15" xfId="2" applyNumberFormat="1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5" fillId="0" borderId="0" xfId="2" applyFont="1"/>
    <xf numFmtId="9" fontId="4" fillId="0" borderId="0" xfId="2" applyNumberFormat="1"/>
    <xf numFmtId="0" fontId="14" fillId="0" borderId="0" xfId="2" applyFont="1" applyAlignment="1">
      <alignment horizontal="left" vertical="center" wrapText="1" indent="2"/>
    </xf>
    <xf numFmtId="10" fontId="11" fillId="0" borderId="11" xfId="2" applyNumberFormat="1" applyFont="1" applyBorder="1" applyAlignment="1">
      <alignment horizontal="center" vertical="center" wrapText="1"/>
    </xf>
    <xf numFmtId="10" fontId="11" fillId="0" borderId="12" xfId="2" applyNumberFormat="1" applyFont="1" applyBorder="1" applyAlignment="1">
      <alignment horizontal="center" vertical="center" wrapText="1"/>
    </xf>
    <xf numFmtId="168" fontId="11" fillId="0" borderId="12" xfId="2" applyNumberFormat="1" applyFont="1" applyBorder="1" applyAlignment="1">
      <alignment horizontal="center" vertical="center" wrapText="1"/>
    </xf>
    <xf numFmtId="0" fontId="14" fillId="0" borderId="13" xfId="2" applyFont="1" applyBorder="1" applyAlignment="1">
      <alignment horizontal="left" vertical="center" wrapText="1" indent="2"/>
    </xf>
    <xf numFmtId="10" fontId="11" fillId="0" borderId="14" xfId="2" applyNumberFormat="1" applyFont="1" applyBorder="1" applyAlignment="1">
      <alignment horizontal="center" vertical="center" wrapText="1"/>
    </xf>
    <xf numFmtId="0" fontId="14" fillId="0" borderId="15" xfId="2" applyFont="1" applyBorder="1" applyAlignment="1">
      <alignment horizontal="left" vertical="center" wrapText="1" indent="2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6" fontId="11" fillId="0" borderId="14" xfId="2" applyNumberFormat="1" applyFont="1" applyBorder="1" applyAlignment="1">
      <alignment horizontal="center" vertical="center" wrapText="1"/>
    </xf>
    <xf numFmtId="6" fontId="11" fillId="0" borderId="0" xfId="2" applyNumberFormat="1" applyFont="1" applyAlignment="1">
      <alignment horizontal="center" vertical="center" wrapText="1"/>
    </xf>
    <xf numFmtId="49" fontId="14" fillId="0" borderId="16" xfId="2" quotePrefix="1" applyNumberFormat="1" applyFont="1" applyBorder="1" applyAlignment="1">
      <alignment horizontal="center" vertical="center" wrapText="1"/>
    </xf>
    <xf numFmtId="49" fontId="14" fillId="0" borderId="17" xfId="2" quotePrefix="1" applyNumberFormat="1" applyFont="1" applyBorder="1" applyAlignment="1">
      <alignment horizontal="center" vertical="center" wrapText="1"/>
    </xf>
    <xf numFmtId="10" fontId="4" fillId="0" borderId="0" xfId="2" applyNumberFormat="1"/>
    <xf numFmtId="164" fontId="4" fillId="5" borderId="19" xfId="2" applyNumberFormat="1" applyFill="1" applyBorder="1"/>
    <xf numFmtId="0" fontId="16" fillId="0" borderId="0" xfId="2" applyFont="1"/>
    <xf numFmtId="3" fontId="4" fillId="0" borderId="0" xfId="2" applyNumberFormat="1"/>
    <xf numFmtId="169" fontId="0" fillId="0" borderId="0" xfId="4" applyNumberFormat="1" applyFont="1" applyFill="1" applyBorder="1"/>
    <xf numFmtId="170" fontId="4" fillId="2" borderId="0" xfId="2" applyNumberFormat="1" applyFill="1"/>
    <xf numFmtId="166" fontId="0" fillId="5" borderId="20" xfId="3" applyNumberFormat="1" applyFont="1" applyFill="1" applyBorder="1"/>
    <xf numFmtId="166" fontId="4" fillId="0" borderId="0" xfId="2" applyNumberFormat="1"/>
    <xf numFmtId="10" fontId="1" fillId="0" borderId="0" xfId="9" applyNumberFormat="1" applyFont="1"/>
    <xf numFmtId="9" fontId="1" fillId="0" borderId="0" xfId="2" applyNumberFormat="1" applyFont="1"/>
    <xf numFmtId="49" fontId="5" fillId="0" borderId="9" xfId="2" quotePrefix="1" applyNumberFormat="1" applyFont="1" applyBorder="1" applyAlignment="1">
      <alignment horizontal="center" vertical="center"/>
    </xf>
    <xf numFmtId="49" fontId="5" fillId="0" borderId="21" xfId="2" quotePrefix="1" applyNumberFormat="1" applyFont="1" applyBorder="1" applyAlignment="1">
      <alignment horizontal="center" vertical="center"/>
    </xf>
    <xf numFmtId="49" fontId="5" fillId="0" borderId="22" xfId="2" quotePrefix="1" applyNumberFormat="1" applyFont="1" applyBorder="1" applyAlignment="1">
      <alignment horizontal="center" vertical="center"/>
    </xf>
    <xf numFmtId="10" fontId="1" fillId="2" borderId="0" xfId="2" applyNumberFormat="1" applyFont="1" applyFill="1" applyAlignment="1">
      <alignment horizontal="right"/>
    </xf>
    <xf numFmtId="0" fontId="1" fillId="0" borderId="0" xfId="2" quotePrefix="1" applyFont="1"/>
    <xf numFmtId="167" fontId="17" fillId="0" borderId="0" xfId="2" applyNumberFormat="1" applyFont="1"/>
    <xf numFmtId="171" fontId="0" fillId="0" borderId="0" xfId="3" applyNumberFormat="1" applyFont="1"/>
    <xf numFmtId="170" fontId="4" fillId="0" borderId="0" xfId="2" applyNumberFormat="1"/>
    <xf numFmtId="167" fontId="0" fillId="0" borderId="0" xfId="3" applyNumberFormat="1" applyFont="1"/>
    <xf numFmtId="43" fontId="4" fillId="0" borderId="0" xfId="2" applyNumberFormat="1"/>
    <xf numFmtId="167" fontId="4" fillId="2" borderId="0" xfId="2" applyNumberFormat="1" applyFill="1"/>
    <xf numFmtId="0" fontId="6" fillId="0" borderId="0" xfId="2" applyFont="1"/>
    <xf numFmtId="3" fontId="4" fillId="2" borderId="0" xfId="2" applyNumberFormat="1" applyFill="1"/>
    <xf numFmtId="3" fontId="19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72" fontId="19" fillId="0" borderId="0" xfId="2" applyNumberFormat="1" applyFont="1" applyAlignment="1">
      <alignment horizontal="center" vertical="center"/>
    </xf>
    <xf numFmtId="3" fontId="19" fillId="0" borderId="11" xfId="2" applyNumberFormat="1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3" fontId="19" fillId="0" borderId="14" xfId="2" applyNumberFormat="1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 indent="4"/>
    </xf>
    <xf numFmtId="0" fontId="1" fillId="0" borderId="0" xfId="10"/>
    <xf numFmtId="0" fontId="1" fillId="0" borderId="0" xfId="10" applyAlignment="1">
      <alignment horizontal="left" wrapText="1"/>
    </xf>
    <xf numFmtId="9" fontId="1" fillId="0" borderId="0" xfId="10" applyNumberFormat="1"/>
    <xf numFmtId="0" fontId="1" fillId="0" borderId="0" xfId="6" applyFont="1"/>
    <xf numFmtId="9" fontId="1" fillId="2" borderId="0" xfId="10" applyNumberFormat="1" applyFill="1"/>
    <xf numFmtId="9" fontId="1" fillId="0" borderId="25" xfId="10" applyNumberFormat="1" applyBorder="1"/>
    <xf numFmtId="0" fontId="1" fillId="0" borderId="26" xfId="10" applyBorder="1"/>
    <xf numFmtId="0" fontId="1" fillId="0" borderId="27" xfId="2" applyFont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9" fontId="1" fillId="0" borderId="24" xfId="10" applyNumberFormat="1" applyBorder="1"/>
    <xf numFmtId="0" fontId="1" fillId="0" borderId="24" xfId="10" applyBorder="1"/>
    <xf numFmtId="9" fontId="1" fillId="0" borderId="11" xfId="10" applyNumberFormat="1" applyBorder="1"/>
    <xf numFmtId="0" fontId="1" fillId="0" borderId="11" xfId="10" applyBorder="1"/>
    <xf numFmtId="0" fontId="1" fillId="0" borderId="12" xfId="10" applyBorder="1"/>
    <xf numFmtId="0" fontId="1" fillId="0" borderId="13" xfId="2" applyFont="1" applyBorder="1" applyAlignment="1">
      <alignment horizontal="left" vertical="center"/>
    </xf>
    <xf numFmtId="9" fontId="1" fillId="0" borderId="16" xfId="10" applyNumberFormat="1" applyBorder="1"/>
    <xf numFmtId="0" fontId="1" fillId="0" borderId="16" xfId="10" applyBorder="1"/>
    <xf numFmtId="0" fontId="1" fillId="0" borderId="17" xfId="10" applyBorder="1"/>
    <xf numFmtId="0" fontId="1" fillId="0" borderId="18" xfId="2" applyFont="1" applyBorder="1" applyAlignment="1">
      <alignment horizontal="left" vertical="center"/>
    </xf>
    <xf numFmtId="10" fontId="1" fillId="0" borderId="0" xfId="10" applyNumberFormat="1"/>
    <xf numFmtId="0" fontId="1" fillId="0" borderId="0" xfId="10" applyAlignment="1">
      <alignment horizontal="center"/>
    </xf>
    <xf numFmtId="10" fontId="1" fillId="2" borderId="0" xfId="10" applyNumberFormat="1" applyFill="1"/>
    <xf numFmtId="0" fontId="1" fillId="0" borderId="0" xfId="10" applyAlignment="1">
      <alignment horizontal="left" vertical="center" indent="3"/>
    </xf>
    <xf numFmtId="0" fontId="1" fillId="0" borderId="0" xfId="10" applyAlignment="1">
      <alignment horizontal="left" vertical="center"/>
    </xf>
    <xf numFmtId="0" fontId="1" fillId="0" borderId="0" xfId="10" applyAlignment="1">
      <alignment horizontal="left" vertical="center" indent="6"/>
    </xf>
    <xf numFmtId="9" fontId="1" fillId="0" borderId="19" xfId="10" applyNumberFormat="1" applyBorder="1"/>
    <xf numFmtId="9" fontId="1" fillId="0" borderId="20" xfId="10" applyNumberFormat="1" applyBorder="1"/>
    <xf numFmtId="0" fontId="1" fillId="0" borderId="28" xfId="10" applyBorder="1"/>
    <xf numFmtId="0" fontId="1" fillId="0" borderId="29" xfId="2" applyFont="1" applyBorder="1" applyAlignment="1">
      <alignment horizontal="left" vertical="center"/>
    </xf>
    <xf numFmtId="0" fontId="5" fillId="0" borderId="0" xfId="10" applyFont="1"/>
    <xf numFmtId="0" fontId="23" fillId="0" borderId="0" xfId="11">
      <alignment vertical="center"/>
    </xf>
    <xf numFmtId="0" fontId="24" fillId="0" borderId="30" xfId="11" applyFont="1" applyBorder="1" applyAlignment="1">
      <alignment horizontal="left" vertical="center"/>
    </xf>
    <xf numFmtId="0" fontId="24" fillId="0" borderId="31" xfId="11" applyFont="1" applyBorder="1" applyAlignment="1">
      <alignment horizontal="left" vertical="center"/>
    </xf>
    <xf numFmtId="0" fontId="24" fillId="0" borderId="32" xfId="11" applyFont="1" applyBorder="1" applyAlignment="1">
      <alignment horizontal="left" vertical="center"/>
    </xf>
    <xf numFmtId="0" fontId="24" fillId="0" borderId="33" xfId="11" applyFont="1" applyBorder="1" applyAlignment="1">
      <alignment horizontal="left" vertical="center" wrapText="1"/>
    </xf>
    <xf numFmtId="0" fontId="24" fillId="0" borderId="0" xfId="11" applyFont="1" applyAlignment="1">
      <alignment horizontal="left" vertical="center" wrapText="1"/>
    </xf>
    <xf numFmtId="0" fontId="24" fillId="0" borderId="34" xfId="11" applyFont="1" applyBorder="1" applyAlignment="1">
      <alignment horizontal="left" vertical="center" wrapText="1"/>
    </xf>
    <xf numFmtId="0" fontId="26" fillId="0" borderId="35" xfId="11" applyFont="1" applyBorder="1">
      <alignment vertical="center"/>
    </xf>
    <xf numFmtId="0" fontId="26" fillId="0" borderId="36" xfId="11" applyFont="1" applyBorder="1">
      <alignment vertical="center"/>
    </xf>
    <xf numFmtId="0" fontId="24" fillId="0" borderId="37" xfId="11" applyFont="1" applyBorder="1">
      <alignment vertical="center"/>
    </xf>
    <xf numFmtId="167" fontId="1" fillId="0" borderId="0" xfId="12" applyNumberFormat="1" applyFont="1"/>
    <xf numFmtId="0" fontId="1" fillId="0" borderId="31" xfId="2" applyFont="1" applyBorder="1"/>
    <xf numFmtId="167" fontId="1" fillId="0" borderId="31" xfId="12" applyNumberFormat="1" applyFont="1" applyBorder="1"/>
    <xf numFmtId="165" fontId="1" fillId="0" borderId="0" xfId="2" applyNumberFormat="1" applyFont="1"/>
    <xf numFmtId="0" fontId="8" fillId="3" borderId="1" xfId="2" applyFont="1" applyFill="1" applyBorder="1" applyAlignment="1">
      <alignment horizontal="left" wrapText="1"/>
    </xf>
    <xf numFmtId="0" fontId="8" fillId="3" borderId="2" xfId="2" applyFont="1" applyFill="1" applyBorder="1" applyAlignment="1">
      <alignment horizontal="left" wrapText="1"/>
    </xf>
    <xf numFmtId="173" fontId="23" fillId="0" borderId="0" xfId="11" applyNumberFormat="1">
      <alignment vertical="center"/>
    </xf>
    <xf numFmtId="164" fontId="1" fillId="0" borderId="0" xfId="2" applyNumberFormat="1" applyFont="1"/>
    <xf numFmtId="165" fontId="1" fillId="0" borderId="0" xfId="7" applyFont="1"/>
    <xf numFmtId="167" fontId="1" fillId="2" borderId="0" xfId="2" applyNumberFormat="1" applyFont="1" applyFill="1"/>
    <xf numFmtId="174" fontId="1" fillId="0" borderId="19" xfId="2" applyNumberFormat="1" applyFont="1" applyBorder="1"/>
    <xf numFmtId="0" fontId="5" fillId="0" borderId="19" xfId="2" applyFont="1" applyBorder="1" applyAlignment="1">
      <alignment horizontal="left" vertical="center"/>
    </xf>
    <xf numFmtId="175" fontId="1" fillId="0" borderId="23" xfId="2" applyNumberFormat="1" applyFont="1" applyBorder="1"/>
    <xf numFmtId="0" fontId="5" fillId="0" borderId="23" xfId="2" applyFont="1" applyBorder="1" applyAlignment="1">
      <alignment horizontal="left" vertical="center"/>
    </xf>
    <xf numFmtId="174" fontId="1" fillId="0" borderId="20" xfId="2" applyNumberFormat="1" applyFont="1" applyBorder="1"/>
    <xf numFmtId="0" fontId="5" fillId="0" borderId="20" xfId="2" applyFont="1" applyBorder="1" applyAlignment="1">
      <alignment horizontal="left" vertical="center"/>
    </xf>
    <xf numFmtId="167" fontId="1" fillId="0" borderId="0" xfId="13" applyNumberFormat="1" applyFont="1" applyAlignment="1"/>
    <xf numFmtId="0" fontId="1" fillId="0" borderId="0" xfId="2" applyFont="1" applyAlignment="1">
      <alignment horizontal="left" vertical="center" indent="2"/>
    </xf>
    <xf numFmtId="176" fontId="1" fillId="0" borderId="0" xfId="2" applyNumberFormat="1" applyFont="1"/>
    <xf numFmtId="6" fontId="1" fillId="2" borderId="0" xfId="2" applyNumberFormat="1" applyFont="1" applyFill="1"/>
    <xf numFmtId="167" fontId="1" fillId="2" borderId="0" xfId="13" applyNumberFormat="1" applyFont="1" applyFill="1" applyAlignment="1"/>
    <xf numFmtId="0" fontId="13" fillId="0" borderId="3" xfId="2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8" fontId="13" fillId="0" borderId="38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6" fontId="13" fillId="0" borderId="40" xfId="2" applyNumberFormat="1" applyFont="1" applyBorder="1" applyAlignment="1">
      <alignment horizontal="center" vertical="center" wrapText="1"/>
    </xf>
    <xf numFmtId="0" fontId="13" fillId="0" borderId="41" xfId="2" applyFont="1" applyBorder="1" applyAlignment="1">
      <alignment vertical="center" wrapText="1"/>
    </xf>
    <xf numFmtId="0" fontId="28" fillId="0" borderId="9" xfId="2" applyFont="1" applyBorder="1" applyAlignment="1">
      <alignment horizontal="center" vertical="center" wrapText="1"/>
    </xf>
    <xf numFmtId="0" fontId="28" fillId="0" borderId="21" xfId="2" applyFont="1" applyBorder="1" applyAlignment="1">
      <alignment horizontal="center" vertical="center" wrapText="1"/>
    </xf>
    <xf numFmtId="0" fontId="28" fillId="0" borderId="10" xfId="2" applyFont="1" applyBorder="1" applyAlignment="1">
      <alignment vertical="center" wrapText="1"/>
    </xf>
    <xf numFmtId="0" fontId="1" fillId="0" borderId="0" xfId="2" applyFont="1" applyAlignment="1">
      <alignment vertical="center" wrapText="1"/>
    </xf>
    <xf numFmtId="6" fontId="13" fillId="0" borderId="0" xfId="2" applyNumberFormat="1" applyFont="1" applyAlignment="1">
      <alignment vertical="center" wrapText="1"/>
    </xf>
    <xf numFmtId="6" fontId="13" fillId="0" borderId="42" xfId="2" applyNumberFormat="1" applyFont="1" applyBorder="1" applyAlignment="1">
      <alignment horizontal="center" vertical="center" wrapText="1"/>
    </xf>
    <xf numFmtId="5" fontId="13" fillId="0" borderId="43" xfId="2" applyNumberFormat="1" applyFont="1" applyBorder="1" applyAlignment="1">
      <alignment horizontal="center" vertical="center" wrapText="1"/>
    </xf>
    <xf numFmtId="6" fontId="13" fillId="0" borderId="44" xfId="2" applyNumberFormat="1" applyFont="1" applyBorder="1" applyAlignment="1">
      <alignment horizontal="center" vertical="center" wrapText="1"/>
    </xf>
    <xf numFmtId="0" fontId="28" fillId="0" borderId="10" xfId="2" applyFont="1" applyBorder="1" applyAlignment="1">
      <alignment horizontal="center" vertical="center" wrapText="1"/>
    </xf>
    <xf numFmtId="6" fontId="13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/>
    </xf>
    <xf numFmtId="6" fontId="13" fillId="0" borderId="9" xfId="2" applyNumberFormat="1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/>
    </xf>
    <xf numFmtId="8" fontId="1" fillId="0" borderId="0" xfId="2" applyNumberFormat="1" applyFont="1"/>
    <xf numFmtId="6" fontId="1" fillId="0" borderId="0" xfId="2" applyNumberFormat="1" applyFont="1"/>
    <xf numFmtId="168" fontId="1" fillId="0" borderId="0" xfId="4" applyNumberFormat="1" applyFont="1"/>
    <xf numFmtId="168" fontId="1" fillId="2" borderId="0" xfId="4" applyNumberFormat="1" applyFont="1" applyFill="1"/>
    <xf numFmtId="0" fontId="5" fillId="0" borderId="0" xfId="2" applyFont="1" applyAlignment="1">
      <alignment horizontal="left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/>
    </xf>
    <xf numFmtId="10" fontId="1" fillId="2" borderId="0" xfId="4" applyNumberFormat="1" applyFont="1" applyFill="1"/>
    <xf numFmtId="0" fontId="1" fillId="0" borderId="0" xfId="2" applyFont="1" applyAlignment="1">
      <alignment horizontal="left" vertical="center" indent="4"/>
    </xf>
    <xf numFmtId="0" fontId="1" fillId="0" borderId="3" xfId="2" applyFont="1" applyBorder="1"/>
    <xf numFmtId="0" fontId="1" fillId="0" borderId="38" xfId="2" applyFont="1" applyBorder="1"/>
    <xf numFmtId="6" fontId="1" fillId="0" borderId="4" xfId="2" applyNumberFormat="1" applyFont="1" applyBorder="1"/>
    <xf numFmtId="0" fontId="1" fillId="0" borderId="45" xfId="2" applyFont="1" applyBorder="1"/>
    <xf numFmtId="0" fontId="1" fillId="0" borderId="46" xfId="2" applyFont="1" applyBorder="1"/>
    <xf numFmtId="6" fontId="1" fillId="0" borderId="47" xfId="2" applyNumberFormat="1" applyFont="1" applyBorder="1"/>
    <xf numFmtId="0" fontId="1" fillId="0" borderId="6" xfId="2" applyFont="1" applyBorder="1"/>
    <xf numFmtId="0" fontId="1" fillId="0" borderId="48" xfId="2" applyFont="1" applyBorder="1"/>
    <xf numFmtId="6" fontId="1" fillId="0" borderId="7" xfId="2" applyNumberFormat="1" applyFont="1" applyBorder="1"/>
    <xf numFmtId="0" fontId="1" fillId="0" borderId="0" xfId="2" applyFont="1" applyAlignment="1">
      <alignment horizontal="left" indent="1"/>
    </xf>
    <xf numFmtId="0" fontId="1" fillId="0" borderId="0" xfId="2" applyFont="1" applyAlignment="1">
      <alignment horizontal="left" vertical="center" indent="1"/>
    </xf>
  </cellXfs>
  <cellStyles count="14">
    <cellStyle name="Comma 2" xfId="3" xr:uid="{00000000-0005-0000-0000-000001000000}"/>
    <cellStyle name="Comma 2 2" xfId="12" xr:uid="{351E874B-85E4-4296-A7E4-CD0FC2A5AD0F}"/>
    <cellStyle name="Comma 3" xfId="7" xr:uid="{00000000-0005-0000-0000-000002000000}"/>
    <cellStyle name="Comma 4" xfId="13" xr:uid="{0385EFF5-180A-4CE6-AD15-D78E661DE62E}"/>
    <cellStyle name="Normal" xfId="0" builtinId="0"/>
    <cellStyle name="Normal 2" xfId="1" xr:uid="{00000000-0005-0000-0000-000004000000}"/>
    <cellStyle name="Normal 3" xfId="2" xr:uid="{00000000-0005-0000-0000-000005000000}"/>
    <cellStyle name="Normal 3 2" xfId="6" xr:uid="{00000000-0005-0000-0000-000006000000}"/>
    <cellStyle name="Normal 4" xfId="5" xr:uid="{00000000-0005-0000-0000-000007000000}"/>
    <cellStyle name="Normal 4 2" xfId="10" xr:uid="{0F25173C-E7FB-4497-8E60-C566F4A9B0D2}"/>
    <cellStyle name="Normal 5" xfId="11" xr:uid="{26346BBE-03B5-4EAB-8D94-F0C8A56B1841}"/>
    <cellStyle name="Percent 2" xfId="4" xr:uid="{00000000-0005-0000-0000-000009000000}"/>
    <cellStyle name="Percent 2 2" xfId="8" xr:uid="{BDDC7103-BA33-4DD9-85C0-5BE9C413E5D1}"/>
    <cellStyle name="Percent 2 3" xfId="9" xr:uid="{3E82CB37-23D9-4217-83DA-0CAFC7A35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58</xdr:row>
      <xdr:rowOff>0</xdr:rowOff>
    </xdr:from>
    <xdr:to>
      <xdr:col>3</xdr:col>
      <xdr:colOff>101600</xdr:colOff>
      <xdr:row>60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0875B-DC16-448B-B88F-16238C5F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0165080"/>
          <a:ext cx="77978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3</xdr:col>
      <xdr:colOff>228600</xdr:colOff>
      <xdr:row>79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B8CFF-112B-4EDB-B041-B9C36309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" y="13495020"/>
          <a:ext cx="90678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30</xdr:row>
      <xdr:rowOff>76200</xdr:rowOff>
    </xdr:from>
    <xdr:ext cx="2074516" cy="655857"/>
    <xdr:pic>
      <xdr:nvPicPr>
        <xdr:cNvPr id="2" name="Picture 1">
          <a:extLst>
            <a:ext uri="{FF2B5EF4-FFF2-40B4-BE49-F238E27FC236}">
              <a16:creationId xmlns:a16="http://schemas.microsoft.com/office/drawing/2014/main" id="{17B837D9-2CB7-4D50-8891-9ACBCD1C7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8745" y="5334000"/>
          <a:ext cx="2074516" cy="65585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110067</xdr:rowOff>
    </xdr:from>
    <xdr:ext cx="2328333" cy="237695"/>
    <xdr:pic>
      <xdr:nvPicPr>
        <xdr:cNvPr id="2" name="Picture 1">
          <a:extLst>
            <a:ext uri="{FF2B5EF4-FFF2-40B4-BE49-F238E27FC236}">
              <a16:creationId xmlns:a16="http://schemas.microsoft.com/office/drawing/2014/main" id="{9C962E0E-69E6-4901-8F75-1D7EB858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161627"/>
          <a:ext cx="2328333" cy="2376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2979413" cy="584199"/>
    <xdr:pic>
      <xdr:nvPicPr>
        <xdr:cNvPr id="3" name="Picture 2">
          <a:extLst>
            <a:ext uri="{FF2B5EF4-FFF2-40B4-BE49-F238E27FC236}">
              <a16:creationId xmlns:a16="http://schemas.microsoft.com/office/drawing/2014/main" id="{9893196B-0A75-4849-969D-F5F824AF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" y="8237220"/>
          <a:ext cx="2979413" cy="5841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cialsecuritygov-my.sharepoint.com/personal/gene_cherng_ssa_gov/Documents/Documents/Personal/soa%20exam/ALM/topic3/CP351_1125_Q6.xlsx" TargetMode="External"/><Relationship Id="rId1" Type="http://schemas.openxmlformats.org/officeDocument/2006/relationships/externalLinkPath" Target="https://socialsecuritygov-my.sharepoint.com/personal/gene_cherng_ssa_gov/Documents/Documents/Personal/soa%20exam/ALM/topic3/CP351_1125_Q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520\OneDrive%20-%20Social%20Security%20Administration\Documents\Personal\soa%20exam\QFI\2022\QWS\Topic%202\QFIQF%202022%20Kim%20T2Q1.CB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cialsecuritygov-my.sharepoint.com/Users/183520/OneDrive%20-%20Social%20Security%20Administration/Documents/Personal/soa%20exam/QFI/2022/QWS/Topic%202/QFIQF%202022%20Kim%20T2Q1.CB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83520/OneDrive%20-%20Social%20Security%20Administration/Documents/Personal/soa%20exam/QFI/2022/QWS/Topic%202/QFIQF%202022%20Kim%20T2Q1.CB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2 Solution"/>
      <sheetName val="Question 2 Rubic"/>
    </sheetNames>
    <sheetDataSet>
      <sheetData sheetId="0">
        <row r="17">
          <cell r="B17">
            <v>0.4</v>
          </cell>
        </row>
        <row r="18">
          <cell r="B18">
            <v>0.6</v>
          </cell>
        </row>
        <row r="21">
          <cell r="D21">
            <v>0.08</v>
          </cell>
        </row>
        <row r="22">
          <cell r="D22">
            <v>0.02</v>
          </cell>
        </row>
        <row r="23">
          <cell r="D23">
            <v>0.05</v>
          </cell>
        </row>
        <row r="24">
          <cell r="D24">
            <v>0.2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zoomScaleNormal="100" workbookViewId="0">
      <selection activeCell="A22" sqref="A22"/>
    </sheetView>
  </sheetViews>
  <sheetFormatPr defaultColWidth="8.88671875" defaultRowHeight="14.4"/>
  <cols>
    <col min="1" max="5" width="12.6640625" style="1" customWidth="1"/>
    <col min="6" max="16384" width="8.88671875" style="1"/>
  </cols>
  <sheetData>
    <row r="1" spans="1:19">
      <c r="A1" s="13" t="s">
        <v>10</v>
      </c>
    </row>
    <row r="3" spans="1:19">
      <c r="A3" s="12" t="s">
        <v>9</v>
      </c>
      <c r="N3" s="2"/>
      <c r="O3" s="2"/>
      <c r="P3" s="2"/>
      <c r="Q3" s="2"/>
      <c r="R3" s="2"/>
      <c r="S3" s="2"/>
    </row>
    <row r="4" spans="1:19" ht="15" thickBot="1">
      <c r="A4" s="12"/>
      <c r="N4" s="2"/>
      <c r="O4" s="2"/>
      <c r="P4" s="2"/>
      <c r="Q4" s="2"/>
      <c r="R4" s="2"/>
      <c r="S4" s="2"/>
    </row>
    <row r="5" spans="1:19" ht="15" thickBot="1">
      <c r="C5" s="11" t="s">
        <v>8</v>
      </c>
      <c r="D5" s="10" t="s">
        <v>7</v>
      </c>
      <c r="N5" s="2"/>
      <c r="O5" s="2"/>
      <c r="P5" s="2"/>
      <c r="Q5" s="2"/>
      <c r="R5" s="2"/>
      <c r="S5" s="2"/>
    </row>
    <row r="6" spans="1:19">
      <c r="B6" s="9" t="s">
        <v>3</v>
      </c>
      <c r="C6" s="8">
        <v>8.5</v>
      </c>
      <c r="D6" s="7">
        <v>500</v>
      </c>
      <c r="N6" s="2"/>
      <c r="O6" s="2"/>
      <c r="P6" s="2"/>
      <c r="Q6" s="2"/>
      <c r="R6" s="2"/>
      <c r="S6" s="2"/>
    </row>
    <row r="7" spans="1:19" ht="15" thickBot="1">
      <c r="B7" s="6" t="s">
        <v>2</v>
      </c>
      <c r="C7" s="5">
        <v>12</v>
      </c>
      <c r="D7" s="4">
        <v>480</v>
      </c>
      <c r="N7" s="2"/>
      <c r="O7" s="2"/>
      <c r="P7" s="2"/>
      <c r="Q7" s="2"/>
      <c r="R7" s="2"/>
      <c r="S7" s="2"/>
    </row>
    <row r="8" spans="1:19">
      <c r="N8" s="2"/>
      <c r="O8" s="2"/>
      <c r="P8" s="2"/>
      <c r="Q8" s="2"/>
      <c r="R8" s="2"/>
      <c r="S8" s="2"/>
    </row>
    <row r="9" spans="1:19">
      <c r="A9" s="1" t="s">
        <v>6</v>
      </c>
      <c r="N9" s="2"/>
      <c r="O9" s="2"/>
      <c r="P9" s="2"/>
      <c r="Q9" s="2"/>
      <c r="R9" s="2"/>
      <c r="S9" s="2"/>
    </row>
    <row r="10" spans="1:19">
      <c r="N10" s="2"/>
      <c r="O10" s="2"/>
      <c r="P10" s="2"/>
      <c r="Q10" s="2"/>
      <c r="R10" s="2"/>
      <c r="S10" s="2"/>
    </row>
    <row r="11" spans="1:19">
      <c r="A11" s="17" t="s">
        <v>5</v>
      </c>
      <c r="B11" s="18"/>
      <c r="C11" s="18"/>
      <c r="D11" s="18"/>
      <c r="E11" s="18"/>
      <c r="N11" s="2"/>
      <c r="O11" s="2"/>
      <c r="P11" s="2"/>
      <c r="Q11" s="2"/>
      <c r="R11" s="2"/>
      <c r="S11" s="2"/>
    </row>
    <row r="12" spans="1:19">
      <c r="A12" s="1" t="s">
        <v>4</v>
      </c>
      <c r="B12" s="1" t="s">
        <v>3</v>
      </c>
      <c r="C12" s="3">
        <f>B21</f>
        <v>4250</v>
      </c>
      <c r="N12" s="2"/>
      <c r="O12" s="2"/>
      <c r="P12" s="2"/>
      <c r="Q12" s="2"/>
      <c r="R12" s="2"/>
      <c r="S12" s="2"/>
    </row>
    <row r="13" spans="1:19">
      <c r="B13" s="1" t="s">
        <v>2</v>
      </c>
      <c r="C13" s="3">
        <f>B22</f>
        <v>5760</v>
      </c>
      <c r="N13" s="2"/>
      <c r="O13" s="2"/>
      <c r="P13" s="2"/>
      <c r="Q13" s="2"/>
      <c r="R13" s="2"/>
      <c r="S13" s="2"/>
    </row>
    <row r="14" spans="1:19">
      <c r="B14" s="1" t="s">
        <v>1</v>
      </c>
      <c r="C14" s="3">
        <f>C13-C12</f>
        <v>1510</v>
      </c>
      <c r="N14" s="2"/>
      <c r="O14" s="2"/>
      <c r="P14" s="2"/>
      <c r="Q14" s="2"/>
      <c r="R14" s="2"/>
      <c r="S14" s="2"/>
    </row>
    <row r="15" spans="1:19">
      <c r="N15" s="2"/>
      <c r="O15" s="2"/>
      <c r="P15" s="2"/>
      <c r="Q15" s="2"/>
      <c r="R15" s="2"/>
      <c r="S15" s="2"/>
    </row>
    <row r="16" spans="1:19">
      <c r="N16" s="2"/>
      <c r="O16" s="2"/>
      <c r="P16" s="2"/>
      <c r="Q16" s="2"/>
      <c r="R16" s="2"/>
      <c r="S16" s="2"/>
    </row>
    <row r="17" spans="1:19">
      <c r="A17" s="17" t="s">
        <v>0</v>
      </c>
      <c r="B17" s="18"/>
      <c r="C17" s="18"/>
      <c r="D17" s="18"/>
      <c r="E17" s="18"/>
      <c r="N17" s="2"/>
      <c r="O17" s="2"/>
      <c r="P17" s="2"/>
      <c r="Q17" s="2"/>
      <c r="R17" s="2"/>
      <c r="S17" s="2"/>
    </row>
    <row r="18" spans="1:19">
      <c r="N18" s="2"/>
      <c r="O18" s="2"/>
      <c r="P18" s="2"/>
      <c r="Q18" s="2"/>
      <c r="R18" s="2"/>
      <c r="S18" s="2"/>
    </row>
    <row r="19" spans="1:19">
      <c r="A19" s="14" t="s">
        <v>11</v>
      </c>
      <c r="N19" s="2"/>
      <c r="O19" s="2"/>
      <c r="P19" s="2"/>
      <c r="Q19" s="2"/>
      <c r="R19" s="2"/>
      <c r="S19" s="2"/>
    </row>
    <row r="20" spans="1:19">
      <c r="N20" s="2"/>
      <c r="O20" s="2"/>
      <c r="P20" s="2"/>
      <c r="Q20" s="2"/>
      <c r="R20" s="2"/>
      <c r="S20" s="2"/>
    </row>
    <row r="21" spans="1:19">
      <c r="A21" s="14" t="s">
        <v>12</v>
      </c>
      <c r="B21" s="1">
        <f>C6*D6</f>
        <v>4250</v>
      </c>
      <c r="N21" s="2"/>
      <c r="O21" s="2"/>
      <c r="P21" s="2"/>
      <c r="Q21" s="2"/>
      <c r="R21" s="2"/>
      <c r="S21" s="2"/>
    </row>
    <row r="22" spans="1:19">
      <c r="A22" s="14" t="s">
        <v>13</v>
      </c>
      <c r="B22" s="1">
        <f>C7*D7</f>
        <v>5760</v>
      </c>
      <c r="N22" s="2"/>
      <c r="O22" s="2"/>
      <c r="P22" s="2"/>
      <c r="Q22" s="2"/>
      <c r="R22" s="2"/>
      <c r="S22" s="2"/>
    </row>
    <row r="23" spans="1:19">
      <c r="N23" s="2"/>
      <c r="O23" s="2"/>
      <c r="P23" s="2"/>
      <c r="Q23" s="2"/>
      <c r="R23" s="2"/>
      <c r="S23" s="2"/>
    </row>
    <row r="24" spans="1:19">
      <c r="N24" s="2"/>
      <c r="O24" s="2"/>
      <c r="P24" s="2"/>
      <c r="Q24" s="2"/>
      <c r="R24" s="2"/>
      <c r="S24" s="2"/>
    </row>
  </sheetData>
  <mergeCells count="2">
    <mergeCell ref="A11:E11"/>
    <mergeCell ref="A17:E17"/>
  </mergeCells>
  <pageMargins left="0.7" right="0.7" top="0.75" bottom="0.75" header="0.3" footer="0.3"/>
  <pageSetup orientation="portrait" horizontalDpi="240" verticalDpi="24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37FF2-B6ED-4DE8-B2C2-22A6C1B0C2FB}">
  <dimension ref="A1:G68"/>
  <sheetViews>
    <sheetView showGridLines="0" topLeftCell="A22" workbookViewId="0">
      <selection activeCell="A57" sqref="A57:XFD57"/>
    </sheetView>
  </sheetViews>
  <sheetFormatPr defaultColWidth="9.88671875" defaultRowHeight="13.8"/>
  <cols>
    <col min="1" max="1" width="25.6640625" style="2" customWidth="1"/>
    <col min="2" max="2" width="15.6640625" style="2" customWidth="1"/>
    <col min="3" max="4" width="13.44140625" style="2" customWidth="1"/>
    <col min="5" max="5" width="12.33203125" style="2" customWidth="1"/>
    <col min="6" max="6" width="11.21875" style="2" customWidth="1"/>
    <col min="7" max="7" width="9.88671875" style="2"/>
    <col min="8" max="8" width="26.5546875" style="2" customWidth="1"/>
    <col min="9" max="9" width="22.6640625" style="2" customWidth="1"/>
    <col min="10" max="10" width="19.5546875" style="2" customWidth="1"/>
    <col min="11" max="11" width="12.33203125" style="2" bestFit="1" customWidth="1"/>
    <col min="12" max="12" width="14.5546875" style="2" bestFit="1" customWidth="1"/>
    <col min="13" max="16384" width="9.88671875" style="2"/>
  </cols>
  <sheetData>
    <row r="1" spans="1:5" ht="14.4">
      <c r="A1" s="13" t="s">
        <v>41</v>
      </c>
    </row>
    <row r="3" spans="1:5" ht="14.4">
      <c r="A3" s="43" t="s">
        <v>40</v>
      </c>
    </row>
    <row r="4" spans="1:5" ht="14.4">
      <c r="A4" s="20" t="s">
        <v>39</v>
      </c>
    </row>
    <row r="5" spans="1:5" ht="14.4">
      <c r="A5" s="20" t="s">
        <v>38</v>
      </c>
    </row>
    <row r="6" spans="1:5" ht="14.4">
      <c r="A6" s="20"/>
    </row>
    <row r="7" spans="1:5" ht="14.4">
      <c r="A7" s="43" t="s">
        <v>37</v>
      </c>
    </row>
    <row r="8" spans="1:5" ht="14.4" thickBot="1"/>
    <row r="9" spans="1:5">
      <c r="A9" s="53" t="s">
        <v>36</v>
      </c>
      <c r="B9" s="68" t="s">
        <v>35</v>
      </c>
      <c r="C9" s="68" t="s">
        <v>34</v>
      </c>
      <c r="D9" s="68" t="s">
        <v>33</v>
      </c>
      <c r="E9" s="67" t="s">
        <v>32</v>
      </c>
    </row>
    <row r="10" spans="1:5">
      <c r="A10" s="62" t="s">
        <v>31</v>
      </c>
      <c r="B10" s="66">
        <v>100000</v>
      </c>
      <c r="C10" s="66">
        <v>50000</v>
      </c>
      <c r="D10" s="66">
        <v>26000</v>
      </c>
      <c r="E10" s="65">
        <v>5000</v>
      </c>
    </row>
    <row r="11" spans="1:5">
      <c r="A11" s="62" t="s">
        <v>8</v>
      </c>
      <c r="B11" s="64">
        <v>2</v>
      </c>
      <c r="C11" s="64">
        <v>7</v>
      </c>
      <c r="D11" s="64">
        <v>10</v>
      </c>
      <c r="E11" s="63">
        <v>14</v>
      </c>
    </row>
    <row r="12" spans="1:5">
      <c r="A12" s="62" t="s">
        <v>14</v>
      </c>
      <c r="B12" s="64">
        <v>10</v>
      </c>
      <c r="C12" s="64">
        <v>50</v>
      </c>
      <c r="D12" s="64">
        <v>110</v>
      </c>
      <c r="E12" s="63">
        <v>250</v>
      </c>
    </row>
    <row r="13" spans="1:5">
      <c r="A13" s="62" t="s">
        <v>30</v>
      </c>
      <c r="B13" s="44">
        <v>1.2500000000000001E-2</v>
      </c>
      <c r="C13" s="44">
        <v>0.02</v>
      </c>
      <c r="D13" s="44">
        <v>0.03</v>
      </c>
      <c r="E13" s="61">
        <v>4.4999999999999998E-2</v>
      </c>
    </row>
    <row r="14" spans="1:5" ht="14.4" thickBot="1">
      <c r="A14" s="60" t="s">
        <v>29</v>
      </c>
      <c r="B14" s="59">
        <v>1.25E-3</v>
      </c>
      <c r="C14" s="58">
        <v>3.0000000000000001E-3</v>
      </c>
      <c r="D14" s="58">
        <v>5.0000000000000001E-3</v>
      </c>
      <c r="E14" s="57">
        <v>0.01</v>
      </c>
    </row>
    <row r="16" spans="1:5">
      <c r="A16" s="56" t="s">
        <v>28</v>
      </c>
      <c r="B16" s="55">
        <v>0.05</v>
      </c>
    </row>
    <row r="17" spans="1:6">
      <c r="A17" s="56"/>
      <c r="B17" s="55"/>
    </row>
    <row r="18" spans="1:6">
      <c r="A18" s="54" t="s">
        <v>27</v>
      </c>
    </row>
    <row r="19" spans="1:6" ht="14.4" thickBot="1"/>
    <row r="20" spans="1:6" ht="27.6">
      <c r="A20" s="53" t="s">
        <v>26</v>
      </c>
      <c r="B20" s="52" t="s">
        <v>25</v>
      </c>
      <c r="C20" s="52" t="s">
        <v>24</v>
      </c>
      <c r="D20" s="52" t="s">
        <v>23</v>
      </c>
      <c r="E20" s="52" t="s">
        <v>22</v>
      </c>
      <c r="F20" s="51" t="s">
        <v>21</v>
      </c>
    </row>
    <row r="21" spans="1:6">
      <c r="A21" s="50">
        <v>0.05</v>
      </c>
      <c r="B21" s="37">
        <v>27249</v>
      </c>
      <c r="C21" s="37">
        <v>4234</v>
      </c>
      <c r="D21" s="37">
        <v>3487</v>
      </c>
      <c r="E21" s="38">
        <v>199</v>
      </c>
      <c r="F21" s="49">
        <f>SUM(B21:E21)</f>
        <v>35169</v>
      </c>
    </row>
    <row r="22" spans="1:6">
      <c r="A22" s="50">
        <v>5.2499999999999998E-2</v>
      </c>
      <c r="B22" s="37">
        <v>26978</v>
      </c>
      <c r="C22" s="37">
        <v>4108</v>
      </c>
      <c r="D22" s="37">
        <v>3323</v>
      </c>
      <c r="E22" s="38">
        <v>183</v>
      </c>
      <c r="F22" s="49">
        <f>SUM(B22:E22)</f>
        <v>34592</v>
      </c>
    </row>
    <row r="23" spans="1:6">
      <c r="A23" s="50">
        <v>5.5E-2</v>
      </c>
      <c r="B23" s="37">
        <v>26712</v>
      </c>
      <c r="C23" s="37">
        <v>3986</v>
      </c>
      <c r="D23" s="37">
        <v>3167</v>
      </c>
      <c r="E23" s="38">
        <v>169</v>
      </c>
      <c r="F23" s="49">
        <f>SUM(B23:E23)</f>
        <v>34034</v>
      </c>
    </row>
    <row r="24" spans="1:6">
      <c r="A24" s="50">
        <v>6.5000000000000002E-2</v>
      </c>
      <c r="B24" s="37">
        <v>25689</v>
      </c>
      <c r="C24" s="37">
        <v>3535</v>
      </c>
      <c r="D24" s="37">
        <v>2620</v>
      </c>
      <c r="E24" s="38">
        <v>122</v>
      </c>
      <c r="F24" s="49">
        <f>SUM(B24:E24)</f>
        <v>31966</v>
      </c>
    </row>
    <row r="25" spans="1:6">
      <c r="A25" s="50">
        <v>6.5500000000000003E-2</v>
      </c>
      <c r="B25" s="37">
        <v>25639</v>
      </c>
      <c r="C25" s="37">
        <v>3514</v>
      </c>
      <c r="D25" s="37">
        <v>2595</v>
      </c>
      <c r="E25" s="38">
        <v>120</v>
      </c>
      <c r="F25" s="49">
        <f>SUM(B25:E25)</f>
        <v>31868</v>
      </c>
    </row>
    <row r="26" spans="1:6">
      <c r="A26" s="50">
        <v>6.6000000000000003E-2</v>
      </c>
      <c r="B26" s="37">
        <v>25590</v>
      </c>
      <c r="C26" s="37">
        <v>3493</v>
      </c>
      <c r="D26" s="37">
        <v>2571</v>
      </c>
      <c r="E26" s="38">
        <v>118</v>
      </c>
      <c r="F26" s="49">
        <f>SUM(B26:E26)</f>
        <v>31772</v>
      </c>
    </row>
    <row r="27" spans="1:6">
      <c r="A27" s="50">
        <v>6.8000000000000005E-2</v>
      </c>
      <c r="B27" s="37">
        <v>25395</v>
      </c>
      <c r="C27" s="37">
        <v>3411</v>
      </c>
      <c r="D27" s="37">
        <v>2476</v>
      </c>
      <c r="E27" s="38">
        <v>111</v>
      </c>
      <c r="F27" s="49">
        <f>SUM(B27:E27)</f>
        <v>31393</v>
      </c>
    </row>
    <row r="28" spans="1:6" ht="14.4" thickBot="1">
      <c r="A28" s="48">
        <v>7.0000000000000007E-2</v>
      </c>
      <c r="B28" s="47">
        <v>25202</v>
      </c>
      <c r="C28" s="47">
        <v>3331</v>
      </c>
      <c r="D28" s="47">
        <v>2385</v>
      </c>
      <c r="E28" s="46">
        <v>104</v>
      </c>
      <c r="F28" s="45">
        <f>SUM(B28:E28)</f>
        <v>31022</v>
      </c>
    </row>
    <row r="29" spans="1:6">
      <c r="A29" s="44"/>
      <c r="B29" s="37"/>
      <c r="C29" s="37"/>
      <c r="D29" s="37"/>
      <c r="E29" s="38"/>
      <c r="F29" s="37"/>
    </row>
    <row r="30" spans="1:6">
      <c r="A30" s="36" t="s">
        <v>20</v>
      </c>
      <c r="B30" s="37"/>
      <c r="C30" s="37"/>
      <c r="D30" s="37"/>
      <c r="E30" s="38"/>
      <c r="F30" s="37"/>
    </row>
    <row r="31" spans="1:6">
      <c r="A31" s="44"/>
      <c r="B31" s="37"/>
      <c r="C31" s="37"/>
      <c r="D31" s="37"/>
      <c r="E31" s="38"/>
      <c r="F31" s="37"/>
    </row>
    <row r="32" spans="1:6" s="20" customFormat="1" ht="14.4">
      <c r="A32" s="43" t="s">
        <v>19</v>
      </c>
      <c r="B32" s="42"/>
      <c r="C32" s="42"/>
      <c r="D32" s="42"/>
      <c r="E32" s="41"/>
    </row>
    <row r="33" spans="1:6" s="20" customFormat="1" ht="14.4">
      <c r="A33" s="43"/>
      <c r="B33" s="42"/>
      <c r="C33" s="42"/>
      <c r="D33" s="42"/>
      <c r="E33" s="41"/>
    </row>
    <row r="34" spans="1:6" s="20" customFormat="1" ht="14.4">
      <c r="A34" s="20" t="s">
        <v>18</v>
      </c>
    </row>
    <row r="35" spans="1:6" s="20" customFormat="1" ht="14.4"/>
    <row r="36" spans="1:6" s="20" customFormat="1" ht="14.4">
      <c r="A36" s="17" t="s">
        <v>5</v>
      </c>
      <c r="B36" s="18"/>
      <c r="C36" s="18"/>
      <c r="D36" s="18"/>
      <c r="E36" s="18"/>
    </row>
    <row r="37" spans="1:6" s="20" customFormat="1" ht="14.4">
      <c r="A37" s="20" t="s">
        <v>17</v>
      </c>
      <c r="B37" s="40"/>
    </row>
    <row r="38" spans="1:6" s="20" customFormat="1" ht="14.4"/>
    <row r="39" spans="1:6" s="20" customFormat="1" ht="14.4"/>
    <row r="40" spans="1:6" s="20" customFormat="1" ht="14.4">
      <c r="A40" s="23" t="s">
        <v>0</v>
      </c>
      <c r="B40" s="22"/>
      <c r="C40" s="22"/>
      <c r="D40" s="22"/>
      <c r="E40" s="22"/>
    </row>
    <row r="41" spans="1:6" s="20" customFormat="1" ht="14.4"/>
    <row r="42" spans="1:6">
      <c r="A42" s="39"/>
      <c r="B42" s="37"/>
      <c r="C42" s="37"/>
      <c r="D42" s="37"/>
      <c r="E42" s="38"/>
      <c r="F42" s="37"/>
    </row>
    <row r="43" spans="1:6" s="20" customFormat="1" ht="14.4">
      <c r="A43" s="20" t="s">
        <v>16</v>
      </c>
    </row>
    <row r="44" spans="1:6">
      <c r="A44" s="36"/>
    </row>
    <row r="47" spans="1:6" ht="14.4">
      <c r="A47" s="34" t="s">
        <v>5</v>
      </c>
      <c r="B47" s="33"/>
      <c r="C47" s="33"/>
      <c r="D47" s="33"/>
      <c r="E47" s="33"/>
    </row>
    <row r="48" spans="1:6">
      <c r="A48" s="2" t="s">
        <v>8</v>
      </c>
      <c r="B48" s="35"/>
    </row>
    <row r="52" spans="1:7" ht="14.4">
      <c r="A52" s="34" t="s">
        <v>0</v>
      </c>
      <c r="B52" s="33"/>
      <c r="C52" s="33"/>
      <c r="D52" s="33"/>
      <c r="E52" s="33"/>
    </row>
    <row r="54" spans="1:7">
      <c r="A54" s="32"/>
    </row>
    <row r="56" spans="1:7" ht="14.4">
      <c r="D56" s="31"/>
      <c r="E56" s="30"/>
      <c r="F56" s="29"/>
      <c r="G56" s="19"/>
    </row>
    <row r="57" spans="1:7" s="20" customFormat="1" ht="14.4">
      <c r="A57" s="20" t="s">
        <v>15</v>
      </c>
      <c r="F57" s="28"/>
    </row>
    <row r="58" spans="1:7" s="20" customFormat="1" ht="14.4"/>
    <row r="59" spans="1:7" s="20" customFormat="1" ht="14.4">
      <c r="A59" s="17" t="s">
        <v>5</v>
      </c>
      <c r="B59" s="18"/>
      <c r="C59" s="18"/>
      <c r="D59" s="18"/>
      <c r="E59" s="18"/>
    </row>
    <row r="60" spans="1:7" s="20" customFormat="1" ht="14.4">
      <c r="A60" s="20" t="s">
        <v>14</v>
      </c>
      <c r="B60" s="27"/>
      <c r="F60" s="24"/>
    </row>
    <row r="61" spans="1:7" s="20" customFormat="1" ht="14.4">
      <c r="B61" s="26"/>
      <c r="F61" s="24"/>
    </row>
    <row r="62" spans="1:7" s="20" customFormat="1" ht="14.4">
      <c r="B62" s="26"/>
      <c r="F62" s="24"/>
    </row>
    <row r="63" spans="1:7" s="20" customFormat="1" ht="14.4">
      <c r="B63" s="25"/>
      <c r="F63" s="24"/>
    </row>
    <row r="64" spans="1:7" s="20" customFormat="1" ht="14.4">
      <c r="F64" s="24"/>
    </row>
    <row r="65" spans="1:6" s="20" customFormat="1" ht="14.4">
      <c r="A65" s="23" t="s">
        <v>0</v>
      </c>
      <c r="B65" s="22"/>
      <c r="C65" s="22"/>
      <c r="D65" s="22"/>
      <c r="E65" s="22"/>
    </row>
    <row r="66" spans="1:6" s="20" customFormat="1" ht="14.4">
      <c r="F66" s="21"/>
    </row>
    <row r="68" spans="1:6" ht="14.4">
      <c r="A68" s="19"/>
    </row>
  </sheetData>
  <mergeCells count="6">
    <mergeCell ref="A65:E65"/>
    <mergeCell ref="A47:E47"/>
    <mergeCell ref="A52:E52"/>
    <mergeCell ref="A36:E36"/>
    <mergeCell ref="A40:E40"/>
    <mergeCell ref="A59:E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42A3-CE4F-4C8D-BE89-4DB4A54E4B83}">
  <dimension ref="A1:G81"/>
  <sheetViews>
    <sheetView showGridLines="0" topLeftCell="A50" workbookViewId="0">
      <selection activeCell="H28" sqref="H28"/>
    </sheetView>
  </sheetViews>
  <sheetFormatPr defaultColWidth="9.88671875" defaultRowHeight="13.8"/>
  <cols>
    <col min="1" max="1" width="47.33203125" style="2" customWidth="1"/>
    <col min="2" max="2" width="17.33203125" style="2" customWidth="1"/>
    <col min="3" max="4" width="13.44140625" style="2" customWidth="1"/>
    <col min="5" max="5" width="14.88671875" style="2" customWidth="1"/>
    <col min="6" max="6" width="12.109375" style="2" customWidth="1"/>
    <col min="7" max="7" width="9.88671875" style="2"/>
    <col min="8" max="8" width="26.5546875" style="2" customWidth="1"/>
    <col min="9" max="9" width="22.6640625" style="2" customWidth="1"/>
    <col min="10" max="10" width="19.5546875" style="2" customWidth="1"/>
    <col min="11" max="11" width="12.33203125" style="2" bestFit="1" customWidth="1"/>
    <col min="12" max="12" width="14.5546875" style="2" bestFit="1" customWidth="1"/>
    <col min="13" max="16384" width="9.88671875" style="2"/>
  </cols>
  <sheetData>
    <row r="1" spans="1:5" ht="14.4">
      <c r="A1" s="13" t="s">
        <v>41</v>
      </c>
    </row>
    <row r="2" spans="1:5" ht="14.4">
      <c r="A2" s="13"/>
    </row>
    <row r="3" spans="1:5" ht="14.4">
      <c r="A3" s="43" t="s">
        <v>40</v>
      </c>
    </row>
    <row r="4" spans="1:5" ht="14.4">
      <c r="A4" s="20" t="s">
        <v>39</v>
      </c>
    </row>
    <row r="5" spans="1:5" ht="14.4">
      <c r="A5" s="20" t="s">
        <v>38</v>
      </c>
    </row>
    <row r="6" spans="1:5" ht="14.4">
      <c r="A6" s="20"/>
    </row>
    <row r="7" spans="1:5" ht="14.4">
      <c r="A7" s="43" t="s">
        <v>37</v>
      </c>
    </row>
    <row r="8" spans="1:5" ht="14.4" thickBot="1"/>
    <row r="9" spans="1:5">
      <c r="A9" s="53" t="s">
        <v>36</v>
      </c>
      <c r="B9" s="68" t="s">
        <v>35</v>
      </c>
      <c r="C9" s="68" t="s">
        <v>34</v>
      </c>
      <c r="D9" s="68" t="s">
        <v>33</v>
      </c>
      <c r="E9" s="67" t="s">
        <v>32</v>
      </c>
    </row>
    <row r="10" spans="1:5">
      <c r="A10" s="62" t="s">
        <v>31</v>
      </c>
      <c r="B10" s="66">
        <v>100000</v>
      </c>
      <c r="C10" s="66">
        <v>50000</v>
      </c>
      <c r="D10" s="66">
        <v>26000</v>
      </c>
      <c r="E10" s="65">
        <v>5000</v>
      </c>
    </row>
    <row r="11" spans="1:5">
      <c r="A11" s="62" t="s">
        <v>8</v>
      </c>
      <c r="B11" s="64">
        <v>2</v>
      </c>
      <c r="C11" s="64">
        <v>7</v>
      </c>
      <c r="D11" s="64">
        <v>10</v>
      </c>
      <c r="E11" s="63">
        <v>14</v>
      </c>
    </row>
    <row r="12" spans="1:5">
      <c r="A12" s="62" t="s">
        <v>14</v>
      </c>
      <c r="B12" s="64">
        <v>10</v>
      </c>
      <c r="C12" s="64">
        <v>50</v>
      </c>
      <c r="D12" s="64">
        <v>110</v>
      </c>
      <c r="E12" s="63">
        <v>250</v>
      </c>
    </row>
    <row r="13" spans="1:5">
      <c r="A13" s="62" t="s">
        <v>30</v>
      </c>
      <c r="B13" s="44">
        <v>1.2500000000000001E-2</v>
      </c>
      <c r="C13" s="44">
        <v>0.02</v>
      </c>
      <c r="D13" s="44">
        <v>0.03</v>
      </c>
      <c r="E13" s="61">
        <v>4.4999999999999998E-2</v>
      </c>
    </row>
    <row r="14" spans="1:5" ht="14.4" thickBot="1">
      <c r="A14" s="60" t="s">
        <v>29</v>
      </c>
      <c r="B14" s="59">
        <v>1.25E-3</v>
      </c>
      <c r="C14" s="58">
        <v>3.0000000000000001E-3</v>
      </c>
      <c r="D14" s="58">
        <v>5.0000000000000001E-3</v>
      </c>
      <c r="E14" s="57">
        <v>0.01</v>
      </c>
    </row>
    <row r="16" spans="1:5">
      <c r="A16" s="56" t="s">
        <v>28</v>
      </c>
      <c r="B16" s="55">
        <v>0.05</v>
      </c>
    </row>
    <row r="17" spans="1:6">
      <c r="A17" s="56"/>
      <c r="B17" s="55"/>
    </row>
    <row r="18" spans="1:6">
      <c r="A18" s="54" t="s">
        <v>27</v>
      </c>
    </row>
    <row r="19" spans="1:6" ht="14.4" thickBot="1"/>
    <row r="20" spans="1:6" ht="27.6">
      <c r="A20" s="53" t="s">
        <v>26</v>
      </c>
      <c r="B20" s="52" t="s">
        <v>25</v>
      </c>
      <c r="C20" s="52" t="s">
        <v>24</v>
      </c>
      <c r="D20" s="52" t="s">
        <v>23</v>
      </c>
      <c r="E20" s="52" t="s">
        <v>22</v>
      </c>
      <c r="F20" s="51" t="s">
        <v>21</v>
      </c>
    </row>
    <row r="21" spans="1:6">
      <c r="A21" s="50">
        <v>0.05</v>
      </c>
      <c r="B21" s="37">
        <v>27249</v>
      </c>
      <c r="C21" s="37">
        <v>4234</v>
      </c>
      <c r="D21" s="37">
        <v>3487</v>
      </c>
      <c r="E21" s="38">
        <v>199</v>
      </c>
      <c r="F21" s="49">
        <f>SUM(B21:E21)</f>
        <v>35169</v>
      </c>
    </row>
    <row r="22" spans="1:6">
      <c r="A22" s="50">
        <v>5.2499999999999998E-2</v>
      </c>
      <c r="B22" s="37">
        <v>26978</v>
      </c>
      <c r="C22" s="37">
        <v>4108</v>
      </c>
      <c r="D22" s="37">
        <v>3323</v>
      </c>
      <c r="E22" s="38">
        <v>183</v>
      </c>
      <c r="F22" s="49">
        <f>SUM(B22:E22)</f>
        <v>34592</v>
      </c>
    </row>
    <row r="23" spans="1:6">
      <c r="A23" s="50">
        <v>5.5E-2</v>
      </c>
      <c r="B23" s="37">
        <v>26712</v>
      </c>
      <c r="C23" s="37">
        <v>3986</v>
      </c>
      <c r="D23" s="37">
        <v>3167</v>
      </c>
      <c r="E23" s="38">
        <v>169</v>
      </c>
      <c r="F23" s="49">
        <f>SUM(B23:E23)</f>
        <v>34034</v>
      </c>
    </row>
    <row r="24" spans="1:6">
      <c r="A24" s="50">
        <v>6.5000000000000002E-2</v>
      </c>
      <c r="B24" s="37">
        <v>25689</v>
      </c>
      <c r="C24" s="37">
        <v>3535</v>
      </c>
      <c r="D24" s="37">
        <v>2620</v>
      </c>
      <c r="E24" s="38">
        <v>122</v>
      </c>
      <c r="F24" s="49">
        <f>SUM(B24:E24)</f>
        <v>31966</v>
      </c>
    </row>
    <row r="25" spans="1:6">
      <c r="A25" s="50">
        <v>6.5500000000000003E-2</v>
      </c>
      <c r="B25" s="37">
        <v>25639</v>
      </c>
      <c r="C25" s="37">
        <v>3514</v>
      </c>
      <c r="D25" s="37">
        <v>2595</v>
      </c>
      <c r="E25" s="38">
        <v>120</v>
      </c>
      <c r="F25" s="49">
        <f>SUM(B25:E25)</f>
        <v>31868</v>
      </c>
    </row>
    <row r="26" spans="1:6">
      <c r="A26" s="50">
        <v>6.6000000000000003E-2</v>
      </c>
      <c r="B26" s="37">
        <v>25590</v>
      </c>
      <c r="C26" s="37">
        <v>3493</v>
      </c>
      <c r="D26" s="37">
        <v>2571</v>
      </c>
      <c r="E26" s="38">
        <v>118</v>
      </c>
      <c r="F26" s="49">
        <f>SUM(B26:E26)</f>
        <v>31772</v>
      </c>
    </row>
    <row r="27" spans="1:6">
      <c r="A27" s="50">
        <v>6.8000000000000005E-2</v>
      </c>
      <c r="B27" s="37">
        <v>25395</v>
      </c>
      <c r="C27" s="37">
        <v>3411</v>
      </c>
      <c r="D27" s="37">
        <v>2476</v>
      </c>
      <c r="E27" s="38">
        <v>111</v>
      </c>
      <c r="F27" s="49">
        <f>SUM(B27:E27)</f>
        <v>31393</v>
      </c>
    </row>
    <row r="28" spans="1:6" ht="14.4" thickBot="1">
      <c r="A28" s="48">
        <v>7.0000000000000007E-2</v>
      </c>
      <c r="B28" s="47">
        <v>25202</v>
      </c>
      <c r="C28" s="47">
        <v>3331</v>
      </c>
      <c r="D28" s="47">
        <v>2385</v>
      </c>
      <c r="E28" s="46">
        <v>104</v>
      </c>
      <c r="F28" s="45">
        <f>SUM(B28:E28)</f>
        <v>31022</v>
      </c>
    </row>
    <row r="29" spans="1:6">
      <c r="A29" s="44"/>
      <c r="B29" s="37"/>
      <c r="C29" s="37"/>
      <c r="D29" s="37"/>
      <c r="E29" s="38"/>
      <c r="F29" s="37"/>
    </row>
    <row r="30" spans="1:6">
      <c r="A30" s="36" t="s">
        <v>20</v>
      </c>
      <c r="B30" s="37"/>
      <c r="C30" s="37"/>
      <c r="D30" s="37"/>
      <c r="E30" s="38"/>
      <c r="F30" s="37"/>
    </row>
    <row r="31" spans="1:6">
      <c r="A31" s="44"/>
      <c r="B31" s="37"/>
      <c r="C31" s="37"/>
      <c r="D31" s="37"/>
      <c r="E31" s="38"/>
      <c r="F31" s="37"/>
    </row>
    <row r="32" spans="1:6" s="20" customFormat="1" ht="14.4">
      <c r="A32" s="43" t="s">
        <v>19</v>
      </c>
      <c r="B32" s="42"/>
      <c r="C32" s="42"/>
      <c r="D32" s="42"/>
      <c r="E32" s="41"/>
    </row>
    <row r="33" spans="1:7" s="20" customFormat="1" ht="14.4">
      <c r="A33" s="43"/>
      <c r="B33" s="42"/>
      <c r="C33" s="42"/>
      <c r="D33" s="42"/>
      <c r="E33" s="41"/>
    </row>
    <row r="34" spans="1:7" s="20" customFormat="1" ht="14.4">
      <c r="A34" s="20" t="s">
        <v>18</v>
      </c>
    </row>
    <row r="35" spans="1:7" s="20" customFormat="1" ht="14.4"/>
    <row r="36" spans="1:7" s="20" customFormat="1" ht="14.4">
      <c r="A36" s="17" t="s">
        <v>5</v>
      </c>
      <c r="B36" s="18"/>
      <c r="C36" s="18"/>
      <c r="D36" s="18"/>
      <c r="E36" s="18"/>
    </row>
    <row r="37" spans="1:7" s="20" customFormat="1" ht="14.4">
      <c r="A37" s="20" t="s">
        <v>17</v>
      </c>
      <c r="B37" s="40">
        <f>B42+B46</f>
        <v>6.5469613259668519E-2</v>
      </c>
      <c r="C37" s="83" t="s">
        <v>53</v>
      </c>
    </row>
    <row r="38" spans="1:7" s="20" customFormat="1" ht="14.4">
      <c r="B38" s="82"/>
    </row>
    <row r="39" spans="1:7" s="20" customFormat="1" ht="14.4">
      <c r="B39" s="82"/>
    </row>
    <row r="40" spans="1:7" s="20" customFormat="1" ht="14.4">
      <c r="A40" s="23" t="s">
        <v>0</v>
      </c>
      <c r="B40" s="22"/>
      <c r="C40" s="22"/>
      <c r="D40" s="22"/>
      <c r="E40" s="22"/>
    </row>
    <row r="41" spans="1:7" s="20" customFormat="1" ht="14.4"/>
    <row r="42" spans="1:7" s="20" customFormat="1" ht="15" thickBot="1">
      <c r="A42" s="20" t="s">
        <v>52</v>
      </c>
      <c r="B42" s="78">
        <f>B16</f>
        <v>0.05</v>
      </c>
    </row>
    <row r="43" spans="1:7" s="20" customFormat="1" ht="15" thickBot="1">
      <c r="B43" s="81" t="s">
        <v>35</v>
      </c>
      <c r="C43" s="80" t="s">
        <v>34</v>
      </c>
      <c r="D43" s="80" t="s">
        <v>33</v>
      </c>
      <c r="E43" s="79" t="s">
        <v>32</v>
      </c>
    </row>
    <row r="44" spans="1:7" s="20" customFormat="1" ht="14.4">
      <c r="A44" s="20" t="s">
        <v>51</v>
      </c>
      <c r="B44" s="78">
        <f>B13-B14</f>
        <v>1.1250000000000001E-2</v>
      </c>
      <c r="C44" s="78">
        <f>C13-C14</f>
        <v>1.7000000000000001E-2</v>
      </c>
      <c r="D44" s="78">
        <f>D13-D14</f>
        <v>2.4999999999999998E-2</v>
      </c>
      <c r="E44" s="78">
        <f>E13-E14</f>
        <v>3.4999999999999996E-2</v>
      </c>
      <c r="F44" s="78" t="s">
        <v>50</v>
      </c>
      <c r="G44" s="20" t="s">
        <v>49</v>
      </c>
    </row>
    <row r="45" spans="1:7" ht="14.4">
      <c r="A45" s="20"/>
      <c r="B45" s="78"/>
      <c r="C45" s="20"/>
      <c r="D45" s="20"/>
      <c r="E45" s="20"/>
      <c r="F45" s="20"/>
      <c r="G45" s="20"/>
    </row>
    <row r="46" spans="1:7" ht="14.4">
      <c r="A46" s="20" t="s">
        <v>48</v>
      </c>
      <c r="B46" s="77">
        <f>SUMPRODUCT(B44:E44,B10:E10)/SUM(B10:E10)</f>
        <v>1.5469613259668511E-2</v>
      </c>
      <c r="C46" s="20"/>
      <c r="D46" s="20"/>
      <c r="E46" s="20"/>
      <c r="F46" s="20"/>
      <c r="G46" s="20"/>
    </row>
    <row r="47" spans="1:7">
      <c r="A47" s="36"/>
      <c r="B47" s="37"/>
      <c r="C47" s="37"/>
      <c r="D47" s="37"/>
      <c r="E47" s="38"/>
      <c r="F47" s="37"/>
    </row>
    <row r="48" spans="1:7" s="20" customFormat="1" ht="14.4">
      <c r="A48" s="20" t="s">
        <v>16</v>
      </c>
    </row>
    <row r="50" spans="1:7" ht="14.4">
      <c r="A50" s="34" t="s">
        <v>5</v>
      </c>
      <c r="B50" s="33"/>
      <c r="C50" s="33"/>
      <c r="D50" s="33"/>
      <c r="E50" s="33"/>
    </row>
    <row r="51" spans="1:7">
      <c r="A51" s="2" t="s">
        <v>8</v>
      </c>
      <c r="B51" s="74">
        <f>F64</f>
        <v>6.0876113970126724</v>
      </c>
    </row>
    <row r="53" spans="1:7">
      <c r="B53" s="76"/>
    </row>
    <row r="55" spans="1:7" ht="14.4">
      <c r="A55" s="34" t="s">
        <v>0</v>
      </c>
      <c r="B55" s="33"/>
      <c r="C55" s="33"/>
      <c r="D55" s="33"/>
      <c r="E55" s="33"/>
    </row>
    <row r="56" spans="1:7" ht="14.4">
      <c r="F56" s="55"/>
      <c r="G56" s="19"/>
    </row>
    <row r="57" spans="1:7" ht="14.4">
      <c r="A57" s="2" t="s">
        <v>26</v>
      </c>
      <c r="F57" s="73">
        <f>B37</f>
        <v>6.5469613259668519E-2</v>
      </c>
      <c r="G57" s="19"/>
    </row>
    <row r="59" spans="1:7">
      <c r="A59" s="2" t="s">
        <v>8</v>
      </c>
      <c r="B59" s="2" t="s">
        <v>43</v>
      </c>
      <c r="F59" s="2" t="s">
        <v>47</v>
      </c>
      <c r="G59" s="2" t="s">
        <v>46</v>
      </c>
    </row>
    <row r="60" spans="1:7">
      <c r="E60" s="2" t="s">
        <v>45</v>
      </c>
      <c r="F60" s="72">
        <f>F24</f>
        <v>31966</v>
      </c>
      <c r="G60" s="69">
        <f>A24</f>
        <v>6.5000000000000002E-2</v>
      </c>
    </row>
    <row r="61" spans="1:7">
      <c r="E61" s="2" t="s">
        <v>44</v>
      </c>
      <c r="F61" s="72">
        <f>F25</f>
        <v>31868</v>
      </c>
      <c r="G61" s="69">
        <f>A25</f>
        <v>6.5500000000000003E-2</v>
      </c>
    </row>
    <row r="62" spans="1:7">
      <c r="E62" s="2" t="s">
        <v>42</v>
      </c>
      <c r="F62" s="72">
        <f>F26</f>
        <v>31772</v>
      </c>
      <c r="G62" s="69">
        <f>A26</f>
        <v>6.6000000000000003E-2</v>
      </c>
    </row>
    <row r="63" spans="1:7" ht="14.4" thickBot="1"/>
    <row r="64" spans="1:7" ht="14.4">
      <c r="E64" s="2" t="s">
        <v>8</v>
      </c>
      <c r="F64" s="75">
        <f>(F60-F62)/(F61*2*G64)</f>
        <v>6.0876113970126724</v>
      </c>
      <c r="G64" s="69">
        <f>G61-G60</f>
        <v>5.0000000000000044E-4</v>
      </c>
    </row>
    <row r="66" spans="1:7" s="20" customFormat="1" ht="14.4">
      <c r="A66" s="20" t="s">
        <v>15</v>
      </c>
      <c r="F66" s="28"/>
    </row>
    <row r="68" spans="1:7" ht="14.4">
      <c r="A68" s="34" t="s">
        <v>5</v>
      </c>
      <c r="B68" s="33"/>
      <c r="C68" s="33"/>
      <c r="D68" s="33"/>
      <c r="E68" s="33"/>
    </row>
    <row r="69" spans="1:7">
      <c r="A69" s="2" t="s">
        <v>14</v>
      </c>
      <c r="B69" s="74">
        <f>F81</f>
        <v>251.03552152629553</v>
      </c>
    </row>
    <row r="71" spans="1:7" ht="14.4">
      <c r="A71" s="34" t="s">
        <v>0</v>
      </c>
      <c r="B71" s="33"/>
      <c r="C71" s="33"/>
      <c r="D71" s="33"/>
      <c r="E71" s="33"/>
    </row>
    <row r="73" spans="1:7" ht="14.4">
      <c r="A73" s="2" t="s">
        <v>26</v>
      </c>
      <c r="F73" s="73">
        <f>B37</f>
        <v>6.5469613259668519E-2</v>
      </c>
      <c r="G73" s="19"/>
    </row>
    <row r="75" spans="1:7">
      <c r="A75" s="2" t="s">
        <v>8</v>
      </c>
      <c r="F75" s="2" t="s">
        <v>47</v>
      </c>
      <c r="G75" s="2" t="s">
        <v>46</v>
      </c>
    </row>
    <row r="76" spans="1:7">
      <c r="E76" s="2" t="s">
        <v>45</v>
      </c>
      <c r="F76" s="72">
        <f>F24</f>
        <v>31966</v>
      </c>
      <c r="G76" s="69">
        <f>A24</f>
        <v>6.5000000000000002E-2</v>
      </c>
    </row>
    <row r="77" spans="1:7">
      <c r="E77" s="2" t="s">
        <v>44</v>
      </c>
      <c r="F77" s="72">
        <f>F25</f>
        <v>31868</v>
      </c>
      <c r="G77" s="69">
        <f>A25</f>
        <v>6.5500000000000003E-2</v>
      </c>
    </row>
    <row r="78" spans="1:7">
      <c r="B78" s="2" t="s">
        <v>43</v>
      </c>
      <c r="E78" s="2" t="s">
        <v>42</v>
      </c>
      <c r="F78" s="72">
        <f>F26</f>
        <v>31772</v>
      </c>
      <c r="G78" s="69">
        <f>A26</f>
        <v>6.6000000000000003E-2</v>
      </c>
    </row>
    <row r="81" spans="5:7" ht="14.4" thickBot="1">
      <c r="E81" s="71" t="s">
        <v>14</v>
      </c>
      <c r="F81" s="70">
        <f>(F76+F78-2*F77)/(G81^2*F77)</f>
        <v>251.03552152629553</v>
      </c>
      <c r="G81" s="69">
        <f>G77-G76</f>
        <v>5.0000000000000044E-4</v>
      </c>
    </row>
  </sheetData>
  <mergeCells count="6">
    <mergeCell ref="A71:E71"/>
    <mergeCell ref="A68:E68"/>
    <mergeCell ref="A50:E50"/>
    <mergeCell ref="A55:E55"/>
    <mergeCell ref="A36:E36"/>
    <mergeCell ref="A40:E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8137-164B-44AD-BC51-5241F58D6A0C}">
  <dimension ref="A1:I97"/>
  <sheetViews>
    <sheetView zoomScale="91" zoomScaleNormal="91" workbookViewId="0">
      <selection activeCell="I19" sqref="I19"/>
    </sheetView>
  </sheetViews>
  <sheetFormatPr defaultColWidth="9.77734375" defaultRowHeight="13.8"/>
  <cols>
    <col min="1" max="1" width="21.109375" style="2" customWidth="1"/>
    <col min="2" max="2" width="16.88671875" style="2" customWidth="1"/>
    <col min="3" max="3" width="12.44140625" style="2" bestFit="1" customWidth="1"/>
    <col min="4" max="4" width="14.21875" style="2" bestFit="1" customWidth="1"/>
    <col min="5" max="5" width="13.5546875" style="2" bestFit="1" customWidth="1"/>
    <col min="6" max="6" width="11.88671875" style="2" customWidth="1"/>
    <col min="7" max="7" width="10.77734375" style="2" bestFit="1" customWidth="1"/>
    <col min="8" max="8" width="9.77734375" style="2"/>
    <col min="9" max="9" width="12" style="2" bestFit="1" customWidth="1"/>
    <col min="10" max="16384" width="9.77734375" style="2"/>
  </cols>
  <sheetData>
    <row r="1" spans="1:2">
      <c r="A1" s="2" t="s">
        <v>110</v>
      </c>
    </row>
    <row r="3" spans="1:2">
      <c r="A3" s="2" t="s">
        <v>109</v>
      </c>
    </row>
    <row r="4" spans="1:2" ht="14.4">
      <c r="A4" s="102" t="s">
        <v>108</v>
      </c>
    </row>
    <row r="5" spans="1:2" ht="14.4">
      <c r="A5" s="102" t="s">
        <v>107</v>
      </c>
    </row>
    <row r="6" spans="1:2" ht="14.4">
      <c r="A6" s="102" t="s">
        <v>106</v>
      </c>
    </row>
    <row r="7" spans="1:2">
      <c r="A7" s="2" t="s">
        <v>105</v>
      </c>
    </row>
    <row r="9" spans="1:2">
      <c r="A9" s="101" t="s">
        <v>104</v>
      </c>
    </row>
    <row r="10" spans="1:2">
      <c r="A10" s="101" t="s">
        <v>103</v>
      </c>
    </row>
    <row r="11" spans="1:2">
      <c r="A11" s="101" t="s">
        <v>102</v>
      </c>
    </row>
    <row r="12" spans="1:2" ht="14.4">
      <c r="A12" s="102" t="s">
        <v>101</v>
      </c>
    </row>
    <row r="13" spans="1:2" ht="14.4">
      <c r="A13" s="102" t="s">
        <v>100</v>
      </c>
    </row>
    <row r="14" spans="1:2" ht="14.4">
      <c r="A14" s="102" t="s">
        <v>99</v>
      </c>
    </row>
    <row r="15" spans="1:2" ht="14.4" thickBot="1">
      <c r="A15" s="101" t="s">
        <v>98</v>
      </c>
    </row>
    <row r="16" spans="1:2" ht="28.2" thickBot="1">
      <c r="A16" s="100" t="s">
        <v>97</v>
      </c>
      <c r="B16" s="99" t="s">
        <v>96</v>
      </c>
    </row>
    <row r="17" spans="1:5">
      <c r="A17" s="98" t="s">
        <v>95</v>
      </c>
      <c r="B17" s="97">
        <v>2583800</v>
      </c>
    </row>
    <row r="18" spans="1:5" ht="14.4" thickBot="1">
      <c r="A18" s="96" t="s">
        <v>94</v>
      </c>
      <c r="B18" s="95">
        <v>2637300</v>
      </c>
    </row>
    <row r="19" spans="1:5">
      <c r="A19" s="93"/>
      <c r="B19" s="92"/>
    </row>
    <row r="20" spans="1:5">
      <c r="A20" s="93"/>
      <c r="B20" s="92"/>
    </row>
    <row r="21" spans="1:5">
      <c r="A21" s="2" t="s">
        <v>93</v>
      </c>
      <c r="B21" s="94"/>
    </row>
    <row r="22" spans="1:5">
      <c r="A22" s="93"/>
      <c r="B22" s="92"/>
    </row>
    <row r="23" spans="1:5">
      <c r="A23" s="2" t="s">
        <v>92</v>
      </c>
    </row>
    <row r="25" spans="1:5" ht="14.4">
      <c r="A25" s="34" t="s">
        <v>5</v>
      </c>
      <c r="B25" s="33"/>
      <c r="C25" s="33"/>
      <c r="D25" s="33"/>
      <c r="E25" s="33"/>
    </row>
    <row r="26" spans="1:5">
      <c r="B26" s="2" t="s">
        <v>91</v>
      </c>
      <c r="C26" s="91">
        <f>D52</f>
        <v>2610517.3685328932</v>
      </c>
    </row>
    <row r="28" spans="1:5" ht="14.4">
      <c r="A28" s="34" t="s">
        <v>0</v>
      </c>
      <c r="B28" s="33"/>
      <c r="C28" s="33"/>
      <c r="D28" s="33"/>
      <c r="E28" s="33"/>
    </row>
    <row r="30" spans="1:5">
      <c r="B30" s="2" t="s">
        <v>90</v>
      </c>
    </row>
    <row r="36" spans="2:4">
      <c r="B36" s="2" t="s">
        <v>89</v>
      </c>
    </row>
    <row r="37" spans="2:4">
      <c r="B37" s="2" t="s">
        <v>88</v>
      </c>
    </row>
    <row r="38" spans="2:4">
      <c r="B38" s="2" t="s">
        <v>87</v>
      </c>
    </row>
    <row r="39" spans="2:4" ht="14.4">
      <c r="B39" s="2" t="s">
        <v>86</v>
      </c>
    </row>
    <row r="41" spans="2:4">
      <c r="B41" s="2" t="s">
        <v>85</v>
      </c>
    </row>
    <row r="42" spans="2:4">
      <c r="C42" s="2" t="s">
        <v>84</v>
      </c>
    </row>
    <row r="43" spans="2:4">
      <c r="C43" s="2" t="s">
        <v>83</v>
      </c>
    </row>
    <row r="44" spans="2:4">
      <c r="C44" s="2" t="s">
        <v>82</v>
      </c>
    </row>
    <row r="45" spans="2:4">
      <c r="C45" s="2" t="s">
        <v>81</v>
      </c>
    </row>
    <row r="47" spans="2:4">
      <c r="B47" s="2" t="s">
        <v>80</v>
      </c>
    </row>
    <row r="48" spans="2:4">
      <c r="C48" s="2" t="s">
        <v>79</v>
      </c>
      <c r="D48" s="72">
        <f>B17</f>
        <v>2583800</v>
      </c>
    </row>
    <row r="49" spans="1:5">
      <c r="C49" s="2" t="s">
        <v>78</v>
      </c>
      <c r="D49" s="72">
        <f>B18</f>
        <v>2637300</v>
      </c>
    </row>
    <row r="50" spans="1:5">
      <c r="C50" s="2" t="s">
        <v>14</v>
      </c>
      <c r="D50" s="2">
        <v>25</v>
      </c>
    </row>
    <row r="52" spans="1:5">
      <c r="B52" s="2" t="s">
        <v>77</v>
      </c>
      <c r="D52" s="72">
        <f>(D48+D49)/(D50*(0.001^2)+2)</f>
        <v>2610517.3685328932</v>
      </c>
    </row>
    <row r="55" spans="1:5" ht="14.4">
      <c r="A55" s="90" t="s">
        <v>76</v>
      </c>
    </row>
    <row r="56" spans="1:5">
      <c r="A56" s="2" t="s">
        <v>75</v>
      </c>
    </row>
    <row r="57" spans="1:5">
      <c r="A57" s="2" t="s">
        <v>74</v>
      </c>
    </row>
    <row r="59" spans="1:5" ht="14.4">
      <c r="A59" s="34" t="s">
        <v>5</v>
      </c>
      <c r="B59" s="33"/>
      <c r="C59" s="33"/>
      <c r="D59" s="33"/>
      <c r="E59" s="33"/>
    </row>
    <row r="60" spans="1:5">
      <c r="A60" s="2" t="s">
        <v>62</v>
      </c>
      <c r="B60" s="89">
        <f>E83</f>
        <v>689.90745688595496</v>
      </c>
    </row>
    <row r="61" spans="1:5">
      <c r="A61" s="2" t="s">
        <v>54</v>
      </c>
      <c r="B61" s="89">
        <f>E97</f>
        <v>565.72411464648303</v>
      </c>
    </row>
    <row r="63" spans="1:5" ht="14.4">
      <c r="A63" s="34" t="s">
        <v>0</v>
      </c>
      <c r="B63" s="33"/>
      <c r="C63" s="33"/>
      <c r="D63" s="33"/>
      <c r="E63" s="33"/>
    </row>
    <row r="66" spans="2:9">
      <c r="B66" s="2" t="s">
        <v>73</v>
      </c>
    </row>
    <row r="67" spans="2:9" ht="14.4">
      <c r="C67" s="2" t="s">
        <v>72</v>
      </c>
      <c r="F67" s="87">
        <v>2500000</v>
      </c>
    </row>
    <row r="68" spans="2:9" ht="14.4">
      <c r="C68" s="2" t="s">
        <v>71</v>
      </c>
      <c r="F68" s="87">
        <v>450000</v>
      </c>
    </row>
    <row r="69" spans="2:9">
      <c r="C69" s="2" t="s">
        <v>70</v>
      </c>
      <c r="F69" s="2">
        <v>-150</v>
      </c>
      <c r="G69" s="2" t="s">
        <v>69</v>
      </c>
    </row>
    <row r="71" spans="2:9">
      <c r="B71" s="2" t="s">
        <v>68</v>
      </c>
    </row>
    <row r="72" spans="2:9">
      <c r="C72" s="2" t="s">
        <v>67</v>
      </c>
      <c r="F72" s="72">
        <f>D52-F67</f>
        <v>110517.36853289325</v>
      </c>
      <c r="H72" s="88">
        <f>F73/0.015</f>
        <v>0</v>
      </c>
    </row>
    <row r="73" spans="2:9">
      <c r="F73" s="86"/>
      <c r="G73" s="86"/>
      <c r="H73" s="88"/>
    </row>
    <row r="75" spans="2:9">
      <c r="B75" s="2" t="s">
        <v>66</v>
      </c>
    </row>
    <row r="76" spans="2:9">
      <c r="B76" s="2" t="s">
        <v>65</v>
      </c>
    </row>
    <row r="77" spans="2:9" ht="14.4">
      <c r="B77" s="2" t="s">
        <v>64</v>
      </c>
      <c r="F77" s="86">
        <f>(0.5*D50*(F69/10000)^2-(F72/F67))/(F69/10000)</f>
        <v>2.7596298275438196</v>
      </c>
      <c r="I77" s="87"/>
    </row>
    <row r="79" spans="2:9" ht="14.4">
      <c r="D79" s="85"/>
    </row>
    <row r="80" spans="2:9">
      <c r="B80" s="2" t="s">
        <v>63</v>
      </c>
    </row>
    <row r="81" spans="2:6">
      <c r="C81" s="2" t="s">
        <v>55</v>
      </c>
    </row>
    <row r="83" spans="2:6">
      <c r="C83" s="2" t="s">
        <v>62</v>
      </c>
      <c r="E83" s="84">
        <f>F77*F67*0.0001</f>
        <v>689.90745688595496</v>
      </c>
    </row>
    <row r="84" spans="2:6" ht="14.4">
      <c r="D84" s="85"/>
    </row>
    <row r="85" spans="2:6" ht="14.4">
      <c r="D85" s="85"/>
    </row>
    <row r="86" spans="2:6" ht="14.4">
      <c r="D86" s="85"/>
    </row>
    <row r="87" spans="2:6">
      <c r="B87" s="2" t="s">
        <v>61</v>
      </c>
    </row>
    <row r="88" spans="2:6">
      <c r="C88" s="2" t="s">
        <v>60</v>
      </c>
    </row>
    <row r="89" spans="2:6">
      <c r="B89" s="2" t="s">
        <v>59</v>
      </c>
    </row>
    <row r="90" spans="2:6" ht="14.4">
      <c r="C90" s="2" t="s">
        <v>58</v>
      </c>
      <c r="D90" s="87">
        <f>F67-F68</f>
        <v>2050000</v>
      </c>
    </row>
    <row r="92" spans="2:6">
      <c r="B92" s="2" t="s">
        <v>57</v>
      </c>
      <c r="F92" s="86">
        <f>F77</f>
        <v>2.7596298275438196</v>
      </c>
    </row>
    <row r="93" spans="2:6" ht="14.4">
      <c r="D93" s="85"/>
    </row>
    <row r="94" spans="2:6">
      <c r="B94" s="2" t="s">
        <v>56</v>
      </c>
    </row>
    <row r="95" spans="2:6">
      <c r="C95" s="2" t="s">
        <v>55</v>
      </c>
    </row>
    <row r="97" spans="3:5">
      <c r="C97" s="2" t="s">
        <v>54</v>
      </c>
      <c r="E97" s="84">
        <f>F92*D90*0.0001</f>
        <v>565.72411464648303</v>
      </c>
    </row>
  </sheetData>
  <mergeCells count="4">
    <mergeCell ref="A25:E25"/>
    <mergeCell ref="A28:E28"/>
    <mergeCell ref="A59:E59"/>
    <mergeCell ref="A63:E6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DD86-2B0F-400B-A07A-F85DBC021ABD}">
  <dimension ref="A1:G76"/>
  <sheetViews>
    <sheetView zoomScaleNormal="100" workbookViewId="0">
      <selection activeCell="G11" sqref="G11"/>
    </sheetView>
  </sheetViews>
  <sheetFormatPr defaultColWidth="7.6640625" defaultRowHeight="14.4"/>
  <cols>
    <col min="1" max="7" width="11.33203125" style="103" customWidth="1"/>
    <col min="8" max="16384" width="7.6640625" style="103"/>
  </cols>
  <sheetData>
    <row r="1" spans="1:5">
      <c r="A1" s="132" t="s">
        <v>140</v>
      </c>
      <c r="B1" s="132"/>
    </row>
    <row r="2" spans="1:5">
      <c r="A2" s="132"/>
      <c r="B2" s="132"/>
    </row>
    <row r="3" spans="1:5">
      <c r="A3" s="103" t="s">
        <v>139</v>
      </c>
      <c r="B3" s="132"/>
    </row>
    <row r="4" spans="1:5">
      <c r="A4" s="103" t="s">
        <v>138</v>
      </c>
    </row>
    <row r="5" spans="1:5" ht="15" thickBot="1"/>
    <row r="6" spans="1:5">
      <c r="B6" s="131" t="s">
        <v>137</v>
      </c>
      <c r="C6" s="130"/>
      <c r="D6" s="130"/>
      <c r="E6" s="129">
        <v>0.6</v>
      </c>
    </row>
    <row r="7" spans="1:5" ht="15" thickBot="1">
      <c r="A7" s="127"/>
      <c r="B7" s="117" t="s">
        <v>136</v>
      </c>
      <c r="C7" s="116"/>
      <c r="D7" s="116"/>
      <c r="E7" s="128">
        <v>0.4</v>
      </c>
    </row>
    <row r="8" spans="1:5" ht="15" thickBot="1">
      <c r="A8" s="127"/>
      <c r="B8" s="110" t="s">
        <v>135</v>
      </c>
      <c r="C8" s="109"/>
      <c r="D8" s="109"/>
      <c r="E8" s="108">
        <v>0.05</v>
      </c>
    </row>
    <row r="9" spans="1:5" ht="15" thickBot="1">
      <c r="A9" s="127"/>
      <c r="B9" s="110" t="s">
        <v>134</v>
      </c>
      <c r="C9" s="109"/>
      <c r="D9" s="109"/>
      <c r="E9" s="108">
        <v>0.08</v>
      </c>
    </row>
    <row r="10" spans="1:5" ht="15" thickBot="1">
      <c r="A10" s="127"/>
      <c r="B10" s="110" t="s">
        <v>133</v>
      </c>
      <c r="C10" s="109"/>
      <c r="D10" s="109"/>
      <c r="E10" s="108">
        <v>0.2</v>
      </c>
    </row>
    <row r="11" spans="1:5" ht="15" thickBot="1">
      <c r="A11" s="127"/>
      <c r="B11" s="110" t="s">
        <v>132</v>
      </c>
      <c r="C11" s="109"/>
      <c r="D11" s="109"/>
      <c r="E11" s="108">
        <v>0.02</v>
      </c>
    </row>
    <row r="13" spans="1:5">
      <c r="A13" s="126" t="s">
        <v>131</v>
      </c>
    </row>
    <row r="14" spans="1:5">
      <c r="A14" s="126" t="s">
        <v>130</v>
      </c>
    </row>
    <row r="15" spans="1:5">
      <c r="B15" s="125"/>
    </row>
    <row r="16" spans="1:5" ht="15" customHeight="1">
      <c r="A16" s="17" t="s">
        <v>5</v>
      </c>
      <c r="B16" s="18"/>
      <c r="C16" s="18"/>
      <c r="D16" s="18"/>
      <c r="E16" s="18"/>
    </row>
    <row r="17" spans="1:5">
      <c r="A17" s="103" t="s">
        <v>129</v>
      </c>
      <c r="D17" s="124">
        <f>SUMPRODUCT(C23:C24,D23:D24)</f>
        <v>4.4400000000000002E-2</v>
      </c>
    </row>
    <row r="18" spans="1:5">
      <c r="A18" s="106"/>
    </row>
    <row r="19" spans="1:5">
      <c r="A19" s="106"/>
    </row>
    <row r="20" spans="1:5" ht="15" customHeight="1">
      <c r="A20" s="23" t="s">
        <v>0</v>
      </c>
      <c r="B20" s="22"/>
      <c r="C20" s="22"/>
      <c r="D20" s="22"/>
      <c r="E20" s="22"/>
    </row>
    <row r="22" spans="1:5">
      <c r="C22" s="123" t="s">
        <v>128</v>
      </c>
      <c r="D22" s="123" t="s">
        <v>127</v>
      </c>
    </row>
    <row r="23" spans="1:5">
      <c r="B23" s="103" t="s">
        <v>126</v>
      </c>
      <c r="C23" s="122">
        <f>E8</f>
        <v>0.05</v>
      </c>
      <c r="D23" s="105">
        <f>E6</f>
        <v>0.6</v>
      </c>
    </row>
    <row r="24" spans="1:5">
      <c r="B24" s="103" t="s">
        <v>71</v>
      </c>
      <c r="C24" s="122">
        <f>E9*E10+E11</f>
        <v>3.6000000000000004E-2</v>
      </c>
      <c r="D24" s="105">
        <f>E7</f>
        <v>0.4</v>
      </c>
    </row>
    <row r="31" spans="1:5">
      <c r="A31" s="43" t="s">
        <v>125</v>
      </c>
    </row>
    <row r="32" spans="1:5">
      <c r="A32" s="103" t="s">
        <v>124</v>
      </c>
    </row>
    <row r="33" spans="1:7" ht="15" thickBot="1"/>
    <row r="34" spans="1:7" ht="15" thickBot="1">
      <c r="B34" s="110" t="s">
        <v>123</v>
      </c>
      <c r="C34" s="109"/>
      <c r="D34" s="113"/>
      <c r="E34" s="112">
        <v>0.04</v>
      </c>
    </row>
    <row r="35" spans="1:7">
      <c r="B35" s="121" t="s">
        <v>122</v>
      </c>
      <c r="C35" s="120"/>
      <c r="D35" s="119"/>
      <c r="E35" s="118">
        <v>0</v>
      </c>
    </row>
    <row r="36" spans="1:7" ht="15" thickBot="1">
      <c r="B36" s="117" t="s">
        <v>121</v>
      </c>
      <c r="C36" s="116"/>
      <c r="D36" s="115"/>
      <c r="E36" s="114">
        <v>0.03</v>
      </c>
    </row>
    <row r="37" spans="1:7" ht="15" thickBot="1">
      <c r="B37" s="110" t="s">
        <v>120</v>
      </c>
      <c r="C37" s="109"/>
      <c r="D37" s="113"/>
      <c r="E37" s="112">
        <v>0.02</v>
      </c>
    </row>
    <row r="38" spans="1:7">
      <c r="B38" s="111"/>
      <c r="G38" s="105"/>
    </row>
    <row r="39" spans="1:7">
      <c r="A39" s="103" t="s">
        <v>119</v>
      </c>
    </row>
    <row r="41" spans="1:7">
      <c r="A41" s="103" t="s">
        <v>118</v>
      </c>
    </row>
    <row r="42" spans="1:7" ht="15" thickBot="1"/>
    <row r="43" spans="1:7" ht="15" thickBot="1">
      <c r="B43" s="110" t="s">
        <v>115</v>
      </c>
      <c r="C43" s="109"/>
      <c r="D43" s="109"/>
      <c r="E43" s="108">
        <v>0.06</v>
      </c>
    </row>
    <row r="45" spans="1:7" ht="15" customHeight="1">
      <c r="A45" s="17" t="s">
        <v>5</v>
      </c>
      <c r="B45" s="18"/>
      <c r="C45" s="18"/>
      <c r="D45" s="18"/>
      <c r="E45" s="18"/>
    </row>
    <row r="46" spans="1:7">
      <c r="A46" s="103" t="s">
        <v>114</v>
      </c>
      <c r="C46" s="107">
        <f>E34+MAX(E37+E43-E34-E36, 0)</f>
        <v>0.05</v>
      </c>
    </row>
    <row r="47" spans="1:7">
      <c r="A47" s="103" t="s">
        <v>113</v>
      </c>
      <c r="C47" s="107">
        <f>E37+E43-C46</f>
        <v>0.03</v>
      </c>
    </row>
    <row r="48" spans="1:7">
      <c r="A48" s="106"/>
      <c r="E48" s="105"/>
    </row>
    <row r="49" spans="1:5" ht="15" customHeight="1">
      <c r="A49" s="23" t="s">
        <v>0</v>
      </c>
      <c r="B49" s="22"/>
      <c r="C49" s="22"/>
      <c r="D49" s="22"/>
      <c r="E49" s="22"/>
    </row>
    <row r="50" spans="1:5">
      <c r="A50" s="106"/>
      <c r="E50" s="105"/>
    </row>
    <row r="51" spans="1:5">
      <c r="B51" s="103" t="s">
        <v>112</v>
      </c>
    </row>
    <row r="53" spans="1:5" ht="15" customHeight="1">
      <c r="B53" s="104" t="s">
        <v>117</v>
      </c>
      <c r="C53" s="104"/>
      <c r="D53" s="104"/>
      <c r="E53" s="104"/>
    </row>
    <row r="54" spans="1:5">
      <c r="B54" s="104"/>
      <c r="C54" s="104"/>
      <c r="D54" s="104"/>
      <c r="E54" s="104"/>
    </row>
    <row r="55" spans="1:5">
      <c r="B55" s="104"/>
      <c r="C55" s="104"/>
      <c r="D55" s="104"/>
      <c r="E55" s="104"/>
    </row>
    <row r="56" spans="1:5">
      <c r="B56" s="104"/>
      <c r="C56" s="104"/>
      <c r="D56" s="104"/>
      <c r="E56" s="104"/>
    </row>
    <row r="57" spans="1:5">
      <c r="B57" s="104"/>
      <c r="C57" s="104"/>
      <c r="D57" s="104"/>
      <c r="E57" s="104"/>
    </row>
    <row r="58" spans="1:5">
      <c r="B58" s="104"/>
      <c r="C58" s="104"/>
      <c r="D58" s="104"/>
      <c r="E58" s="104"/>
    </row>
    <row r="60" spans="1:5">
      <c r="A60" s="103" t="s">
        <v>116</v>
      </c>
    </row>
    <row r="61" spans="1:5" ht="15" thickBot="1"/>
    <row r="62" spans="1:5" ht="15" thickBot="1">
      <c r="B62" s="110" t="s">
        <v>115</v>
      </c>
      <c r="C62" s="109"/>
      <c r="D62" s="109"/>
      <c r="E62" s="108">
        <v>0.01</v>
      </c>
    </row>
    <row r="64" spans="1:5" ht="15" customHeight="1">
      <c r="A64" s="17" t="s">
        <v>5</v>
      </c>
      <c r="B64" s="18"/>
      <c r="C64" s="18"/>
      <c r="D64" s="18"/>
      <c r="E64" s="18"/>
    </row>
    <row r="65" spans="1:5">
      <c r="A65" s="103" t="s">
        <v>114</v>
      </c>
      <c r="C65" s="107">
        <f>E62+MIN(E34-E62,E37-E35)</f>
        <v>0.03</v>
      </c>
      <c r="E65" s="105"/>
    </row>
    <row r="66" spans="1:5">
      <c r="A66" s="103" t="s">
        <v>113</v>
      </c>
      <c r="C66" s="107">
        <f>E37+E62-C65</f>
        <v>0</v>
      </c>
    </row>
    <row r="67" spans="1:5">
      <c r="A67" s="106"/>
      <c r="E67" s="105"/>
    </row>
    <row r="68" spans="1:5" ht="15" customHeight="1">
      <c r="A68" s="23" t="s">
        <v>0</v>
      </c>
      <c r="B68" s="22"/>
      <c r="C68" s="22"/>
      <c r="D68" s="22"/>
      <c r="E68" s="22"/>
    </row>
    <row r="70" spans="1:5">
      <c r="B70" s="103" t="s">
        <v>112</v>
      </c>
    </row>
    <row r="72" spans="1:5" ht="15" customHeight="1">
      <c r="B72" s="104" t="s">
        <v>111</v>
      </c>
      <c r="C72" s="104"/>
      <c r="D72" s="104"/>
      <c r="E72" s="104"/>
    </row>
    <row r="73" spans="1:5">
      <c r="B73" s="104"/>
      <c r="C73" s="104"/>
      <c r="D73" s="104"/>
      <c r="E73" s="104"/>
    </row>
    <row r="74" spans="1:5">
      <c r="B74" s="104"/>
      <c r="C74" s="104"/>
      <c r="D74" s="104"/>
      <c r="E74" s="104"/>
    </row>
    <row r="75" spans="1:5">
      <c r="B75" s="104"/>
      <c r="C75" s="104"/>
      <c r="D75" s="104"/>
      <c r="E75" s="104"/>
    </row>
    <row r="76" spans="1:5">
      <c r="B76" s="104"/>
      <c r="C76" s="104"/>
      <c r="D76" s="104"/>
      <c r="E76" s="104"/>
    </row>
  </sheetData>
  <mergeCells count="8">
    <mergeCell ref="A68:E68"/>
    <mergeCell ref="B53:E58"/>
    <mergeCell ref="B72:E76"/>
    <mergeCell ref="A16:E16"/>
    <mergeCell ref="A20:E20"/>
    <mergeCell ref="A45:E45"/>
    <mergeCell ref="A49:E49"/>
    <mergeCell ref="A64:E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0547-A0B6-46F0-A35D-31FB098508D5}">
  <dimension ref="A1:K71"/>
  <sheetViews>
    <sheetView topLeftCell="A15" workbookViewId="0">
      <selection activeCell="B29" sqref="B29"/>
    </sheetView>
  </sheetViews>
  <sheetFormatPr defaultRowHeight="14.4"/>
  <cols>
    <col min="1" max="1" width="13" style="133" customWidth="1"/>
    <col min="2" max="2" width="33.77734375" style="133" customWidth="1"/>
    <col min="3" max="3" width="15.44140625" style="133" customWidth="1"/>
    <col min="4" max="16384" width="8.88671875" style="133"/>
  </cols>
  <sheetData>
    <row r="1" spans="1:6">
      <c r="A1" s="133" t="s">
        <v>176</v>
      </c>
      <c r="B1" s="43" t="s">
        <v>190</v>
      </c>
      <c r="C1" s="20"/>
      <c r="D1" s="20"/>
      <c r="E1" s="20"/>
      <c r="F1" s="20"/>
    </row>
    <row r="2" spans="1:6">
      <c r="B2" s="20" t="s">
        <v>189</v>
      </c>
      <c r="C2" s="20"/>
      <c r="D2" s="20"/>
      <c r="E2" s="20"/>
      <c r="F2" s="20"/>
    </row>
    <row r="3" spans="1:6" ht="15" thickBot="1">
      <c r="B3" s="20"/>
      <c r="C3" s="20"/>
      <c r="D3" s="20"/>
      <c r="E3" s="20"/>
      <c r="F3" s="20"/>
    </row>
    <row r="4" spans="1:6" ht="15" thickBot="1">
      <c r="B4" s="20"/>
      <c r="C4" s="184" t="s">
        <v>155</v>
      </c>
      <c r="D4" s="183">
        <v>300</v>
      </c>
      <c r="E4" s="20"/>
      <c r="F4" s="20"/>
    </row>
    <row r="5" spans="1:6">
      <c r="B5" s="20"/>
      <c r="C5" s="182"/>
      <c r="D5" s="181"/>
      <c r="E5" s="20"/>
      <c r="F5" s="20"/>
    </row>
    <row r="6" spans="1:6">
      <c r="B6" s="20" t="s">
        <v>188</v>
      </c>
      <c r="C6" s="20"/>
      <c r="D6" s="20"/>
      <c r="E6" s="20"/>
      <c r="F6" s="20"/>
    </row>
    <row r="7" spans="1:6" ht="15" thickBot="1">
      <c r="B7" s="20"/>
      <c r="C7" s="20"/>
      <c r="D7" s="20"/>
      <c r="E7" s="20"/>
      <c r="F7" s="20"/>
    </row>
    <row r="8" spans="1:6" ht="29.4" thickBot="1">
      <c r="B8" s="20"/>
      <c r="C8" s="180" t="s">
        <v>2</v>
      </c>
      <c r="D8" s="173" t="s">
        <v>187</v>
      </c>
      <c r="E8" s="172" t="s">
        <v>186</v>
      </c>
      <c r="F8" s="20"/>
    </row>
    <row r="9" spans="1:6" ht="15" thickBot="1">
      <c r="B9" s="20"/>
      <c r="C9" s="179">
        <v>2200000</v>
      </c>
      <c r="D9" s="178">
        <v>-57750</v>
      </c>
      <c r="E9" s="177">
        <v>1060</v>
      </c>
      <c r="F9" s="20"/>
    </row>
    <row r="10" spans="1:6">
      <c r="B10" s="176"/>
      <c r="C10" s="176"/>
      <c r="D10" s="176"/>
      <c r="E10" s="175"/>
      <c r="F10" s="20"/>
    </row>
    <row r="11" spans="1:6">
      <c r="B11" s="25" t="s">
        <v>185</v>
      </c>
      <c r="C11" s="20"/>
      <c r="D11" s="20"/>
      <c r="E11" s="20"/>
      <c r="F11" s="20"/>
    </row>
    <row r="12" spans="1:6">
      <c r="B12" s="20" t="s">
        <v>184</v>
      </c>
      <c r="C12" s="20"/>
      <c r="D12" s="20"/>
      <c r="E12" s="20"/>
      <c r="F12" s="20"/>
    </row>
    <row r="13" spans="1:6" ht="15" thickBot="1">
      <c r="B13" s="20"/>
      <c r="C13" s="20"/>
      <c r="D13" s="20"/>
      <c r="E13" s="20"/>
      <c r="F13" s="20"/>
    </row>
    <row r="14" spans="1:6" ht="29.4" thickBot="1">
      <c r="B14" s="174" t="s">
        <v>183</v>
      </c>
      <c r="C14" s="173" t="s">
        <v>182</v>
      </c>
      <c r="D14" s="173" t="s">
        <v>181</v>
      </c>
      <c r="E14" s="172" t="s">
        <v>180</v>
      </c>
      <c r="F14" s="20"/>
    </row>
    <row r="15" spans="1:6">
      <c r="B15" s="171" t="s">
        <v>179</v>
      </c>
      <c r="C15" s="170">
        <f>D4</f>
        <v>300</v>
      </c>
      <c r="D15" s="169">
        <v>1</v>
      </c>
      <c r="E15" s="168">
        <v>0</v>
      </c>
      <c r="F15" s="20"/>
    </row>
    <row r="16" spans="1:6" ht="15" thickBot="1">
      <c r="B16" s="167" t="s">
        <v>178</v>
      </c>
      <c r="C16" s="166">
        <v>2.4500000000000002</v>
      </c>
      <c r="D16" s="165">
        <v>-9.2999999999999999E-2</v>
      </c>
      <c r="E16" s="164">
        <v>2.7000000000000001E-3</v>
      </c>
      <c r="F16" s="20"/>
    </row>
    <row r="17" spans="1:6">
      <c r="B17" s="20"/>
      <c r="C17" s="20"/>
      <c r="D17" s="20"/>
      <c r="E17" s="20"/>
      <c r="F17" s="20"/>
    </row>
    <row r="18" spans="1:6">
      <c r="B18" s="25" t="s">
        <v>177</v>
      </c>
      <c r="C18" s="20"/>
      <c r="D18" s="20"/>
      <c r="E18" s="20"/>
      <c r="F18" s="20"/>
    </row>
    <row r="19" spans="1:6">
      <c r="B19" s="160"/>
      <c r="C19" s="20"/>
      <c r="D19" s="20"/>
      <c r="E19" s="20"/>
      <c r="F19" s="20"/>
    </row>
    <row r="20" spans="1:6">
      <c r="A20" s="133" t="s">
        <v>176</v>
      </c>
      <c r="B20" s="17" t="s">
        <v>5</v>
      </c>
      <c r="C20" s="18"/>
      <c r="D20" s="18"/>
      <c r="E20" s="18"/>
      <c r="F20" s="18"/>
    </row>
    <row r="21" spans="1:6">
      <c r="B21" s="20" t="s">
        <v>175</v>
      </c>
      <c r="C21" s="163">
        <f>(D9-D16*C22)/D15</f>
        <v>-21238.888888888891</v>
      </c>
      <c r="D21" s="20" t="s">
        <v>164</v>
      </c>
      <c r="E21" s="20"/>
      <c r="F21" s="20"/>
    </row>
    <row r="22" spans="1:6">
      <c r="B22" s="20" t="s">
        <v>174</v>
      </c>
      <c r="C22" s="163">
        <f>E9/E16</f>
        <v>392592.59259259258</v>
      </c>
      <c r="D22" s="20" t="s">
        <v>168</v>
      </c>
      <c r="E22" s="20"/>
      <c r="F22" s="20"/>
    </row>
    <row r="23" spans="1:6">
      <c r="B23" s="161" t="s">
        <v>173</v>
      </c>
      <c r="C23" s="162">
        <f>C22*C16</f>
        <v>961851.85185185191</v>
      </c>
      <c r="D23" s="20"/>
      <c r="E23" s="20"/>
      <c r="F23" s="20"/>
    </row>
    <row r="24" spans="1:6">
      <c r="B24" s="161"/>
      <c r="C24" s="20"/>
      <c r="D24" s="20"/>
      <c r="E24" s="20"/>
      <c r="F24" s="20"/>
    </row>
    <row r="25" spans="1:6">
      <c r="B25" s="23" t="s">
        <v>0</v>
      </c>
      <c r="C25" s="22"/>
      <c r="D25" s="22"/>
      <c r="E25" s="22"/>
      <c r="F25" s="22"/>
    </row>
    <row r="26" spans="1:6">
      <c r="B26" s="160" t="s">
        <v>172</v>
      </c>
      <c r="C26" s="20"/>
      <c r="D26" s="20"/>
      <c r="E26" s="20"/>
      <c r="F26" s="20"/>
    </row>
    <row r="27" spans="1:6">
      <c r="B27" s="160"/>
      <c r="C27" s="20"/>
      <c r="D27" s="20"/>
      <c r="E27" s="20"/>
      <c r="F27" s="20"/>
    </row>
    <row r="28" spans="1:6">
      <c r="B28" s="160" t="s">
        <v>171</v>
      </c>
      <c r="E28" s="20"/>
      <c r="F28" s="20"/>
    </row>
    <row r="29" spans="1:6">
      <c r="B29" s="160" t="s">
        <v>170</v>
      </c>
      <c r="E29" s="20"/>
      <c r="F29" s="20"/>
    </row>
    <row r="30" spans="1:6">
      <c r="B30" s="160" t="s">
        <v>169</v>
      </c>
      <c r="C30" s="159">
        <f>E9/E16</f>
        <v>392592.59259259258</v>
      </c>
      <c r="D30" s="20" t="s">
        <v>168</v>
      </c>
      <c r="E30" s="20"/>
      <c r="F30" s="20"/>
    </row>
    <row r="31" spans="1:6">
      <c r="C31" s="20"/>
      <c r="D31" s="20"/>
      <c r="E31" s="20"/>
      <c r="F31" s="20"/>
    </row>
    <row r="32" spans="1:6">
      <c r="B32" s="160" t="s">
        <v>167</v>
      </c>
      <c r="D32" s="20"/>
      <c r="E32" s="20"/>
      <c r="F32" s="20"/>
    </row>
    <row r="33" spans="1:7">
      <c r="B33" s="160" t="s">
        <v>166</v>
      </c>
      <c r="E33" s="20"/>
      <c r="F33" s="20"/>
    </row>
    <row r="34" spans="1:7">
      <c r="B34" s="160" t="s">
        <v>165</v>
      </c>
      <c r="C34" s="159">
        <f>D9-D16*C30</f>
        <v>-21238.888888888891</v>
      </c>
      <c r="D34" s="20" t="s">
        <v>164</v>
      </c>
      <c r="E34" s="20"/>
      <c r="F34" s="20"/>
    </row>
    <row r="35" spans="1:7">
      <c r="C35" s="20"/>
      <c r="D35" s="20"/>
      <c r="E35" s="20"/>
      <c r="F35" s="20"/>
    </row>
    <row r="36" spans="1:7">
      <c r="C36" s="20"/>
      <c r="D36" s="20"/>
      <c r="E36" s="20"/>
      <c r="F36" s="20"/>
    </row>
    <row r="38" spans="1:7" ht="18">
      <c r="A38" s="142" t="s">
        <v>163</v>
      </c>
      <c r="B38" s="141"/>
      <c r="C38" s="141"/>
      <c r="D38" s="141"/>
      <c r="E38" s="141"/>
      <c r="F38" s="141"/>
      <c r="G38" s="140"/>
    </row>
    <row r="39" spans="1:7" ht="57" customHeight="1">
      <c r="A39" s="139" t="s">
        <v>162</v>
      </c>
      <c r="B39" s="138"/>
      <c r="C39" s="138"/>
      <c r="D39" s="138"/>
      <c r="E39" s="138"/>
      <c r="F39" s="138"/>
      <c r="G39" s="137"/>
    </row>
    <row r="40" spans="1:7" ht="57" customHeight="1">
      <c r="A40" s="139" t="s">
        <v>161</v>
      </c>
      <c r="B40" s="138"/>
      <c r="C40" s="138"/>
      <c r="D40" s="138"/>
      <c r="E40" s="138"/>
      <c r="F40" s="138"/>
      <c r="G40" s="137"/>
    </row>
    <row r="41" spans="1:7" ht="57" customHeight="1">
      <c r="A41" s="139" t="s">
        <v>160</v>
      </c>
      <c r="B41" s="138"/>
      <c r="C41" s="138"/>
      <c r="D41" s="138"/>
      <c r="E41" s="138"/>
      <c r="F41" s="138"/>
      <c r="G41" s="137"/>
    </row>
    <row r="42" spans="1:7" ht="57" customHeight="1">
      <c r="A42" s="139" t="s">
        <v>159</v>
      </c>
      <c r="B42" s="138"/>
      <c r="C42" s="138"/>
      <c r="D42" s="138"/>
      <c r="E42" s="138"/>
      <c r="F42" s="138"/>
      <c r="G42" s="137"/>
    </row>
    <row r="43" spans="1:7" ht="57" customHeight="1">
      <c r="A43" s="136" t="s">
        <v>158</v>
      </c>
      <c r="B43" s="135"/>
      <c r="C43" s="135"/>
      <c r="D43" s="135"/>
      <c r="E43" s="135"/>
      <c r="F43" s="135"/>
      <c r="G43" s="134"/>
    </row>
    <row r="46" spans="1:7">
      <c r="A46" s="133" t="s">
        <v>157</v>
      </c>
      <c r="B46" s="43" t="s">
        <v>156</v>
      </c>
      <c r="C46" s="20"/>
      <c r="D46" s="20"/>
      <c r="E46" s="20"/>
      <c r="F46" s="20"/>
    </row>
    <row r="47" spans="1:7" ht="15" thickBot="1">
      <c r="B47" s="43"/>
      <c r="C47" s="20"/>
      <c r="D47" s="20"/>
      <c r="E47" s="20"/>
      <c r="F47" s="20"/>
    </row>
    <row r="48" spans="1:7">
      <c r="B48" s="158" t="s">
        <v>155</v>
      </c>
      <c r="C48" s="157">
        <v>270</v>
      </c>
      <c r="D48" s="20"/>
      <c r="E48" s="20"/>
      <c r="F48" s="20"/>
    </row>
    <row r="49" spans="2:11">
      <c r="B49" s="156" t="s">
        <v>154</v>
      </c>
      <c r="C49" s="155">
        <v>6.67</v>
      </c>
      <c r="D49" s="20"/>
      <c r="E49" s="20"/>
      <c r="F49" s="20"/>
    </row>
    <row r="50" spans="2:11" ht="15" thickBot="1">
      <c r="B50" s="154" t="s">
        <v>153</v>
      </c>
      <c r="C50" s="153">
        <v>4400000</v>
      </c>
      <c r="D50" s="20"/>
      <c r="E50" s="20"/>
      <c r="F50" s="20"/>
    </row>
    <row r="51" spans="2:11">
      <c r="B51" s="20"/>
      <c r="C51" s="20"/>
      <c r="D51" s="20"/>
      <c r="E51" s="20"/>
      <c r="F51" s="20"/>
    </row>
    <row r="52" spans="2:11">
      <c r="B52" s="43" t="s">
        <v>152</v>
      </c>
      <c r="C52" s="20"/>
      <c r="D52" s="20"/>
      <c r="E52" s="20"/>
      <c r="F52" s="20"/>
    </row>
    <row r="53" spans="2:11">
      <c r="B53" s="43"/>
      <c r="C53" s="20"/>
      <c r="D53" s="20"/>
      <c r="E53" s="20"/>
      <c r="F53" s="20"/>
    </row>
    <row r="54" spans="2:11" ht="15.75" customHeight="1">
      <c r="B54" s="15" t="s">
        <v>5</v>
      </c>
      <c r="C54" s="16"/>
      <c r="D54" s="16"/>
      <c r="E54" s="16"/>
      <c r="F54" s="16"/>
    </row>
    <row r="55" spans="2:11">
      <c r="B55" s="20" t="s">
        <v>151</v>
      </c>
      <c r="C55" s="152">
        <f>B63</f>
        <v>93907.407407407649</v>
      </c>
      <c r="D55" s="20"/>
      <c r="E55" s="151"/>
      <c r="F55" s="20"/>
    </row>
    <row r="56" spans="2:11">
      <c r="B56" s="20"/>
      <c r="C56" s="20"/>
      <c r="D56" s="20"/>
      <c r="E56" s="150"/>
      <c r="F56" s="20"/>
      <c r="K56" s="149"/>
    </row>
    <row r="57" spans="2:11">
      <c r="B57" s="20"/>
      <c r="C57" s="20"/>
      <c r="D57" s="20"/>
      <c r="E57" s="20"/>
      <c r="F57" s="20"/>
    </row>
    <row r="58" spans="2:11" ht="15.75" customHeight="1">
      <c r="B58" s="148" t="s">
        <v>0</v>
      </c>
      <c r="C58" s="147"/>
      <c r="D58" s="147"/>
      <c r="E58" s="147"/>
      <c r="F58" s="147"/>
    </row>
    <row r="59" spans="2:11">
      <c r="B59" s="20"/>
      <c r="C59" s="20"/>
      <c r="D59" s="20"/>
      <c r="E59" s="20"/>
      <c r="F59" s="20"/>
    </row>
    <row r="60" spans="2:11">
      <c r="B60" s="143">
        <f>C22*(C49-C16)</f>
        <v>1656740.7407407407</v>
      </c>
      <c r="C60" s="20" t="s">
        <v>150</v>
      </c>
      <c r="E60" s="20"/>
      <c r="F60" s="20"/>
    </row>
    <row r="61" spans="2:11">
      <c r="B61" s="146">
        <f>(C48-D4)*C21</f>
        <v>637166.66666666674</v>
      </c>
      <c r="C61" s="20" t="s">
        <v>149</v>
      </c>
      <c r="E61" s="20"/>
      <c r="F61" s="20"/>
    </row>
    <row r="62" spans="2:11">
      <c r="B62" s="145">
        <f>C9-C50</f>
        <v>-2200000</v>
      </c>
      <c r="C62" s="144" t="s">
        <v>148</v>
      </c>
      <c r="E62" s="20"/>
      <c r="F62" s="20"/>
    </row>
    <row r="63" spans="2:11">
      <c r="B63" s="143">
        <f>B60+B61+B62</f>
        <v>93907.407407407649</v>
      </c>
      <c r="C63" s="20" t="s">
        <v>147</v>
      </c>
      <c r="E63" s="20"/>
      <c r="F63" s="20"/>
    </row>
    <row r="66" spans="1:7" ht="18">
      <c r="A66" s="142" t="s">
        <v>146</v>
      </c>
      <c r="B66" s="141"/>
      <c r="C66" s="141"/>
      <c r="D66" s="141"/>
      <c r="E66" s="141"/>
      <c r="F66" s="141"/>
      <c r="G66" s="140"/>
    </row>
    <row r="67" spans="1:7" ht="54.75" customHeight="1">
      <c r="A67" s="139" t="s">
        <v>145</v>
      </c>
      <c r="B67" s="138"/>
      <c r="C67" s="138"/>
      <c r="D67" s="138"/>
      <c r="E67" s="138"/>
      <c r="F67" s="138"/>
      <c r="G67" s="137"/>
    </row>
    <row r="68" spans="1:7" ht="53.25" customHeight="1">
      <c r="A68" s="139" t="s">
        <v>144</v>
      </c>
      <c r="B68" s="138"/>
      <c r="C68" s="138"/>
      <c r="D68" s="138"/>
      <c r="E68" s="138"/>
      <c r="F68" s="138"/>
      <c r="G68" s="137"/>
    </row>
    <row r="69" spans="1:7" ht="51" customHeight="1">
      <c r="A69" s="139" t="s">
        <v>143</v>
      </c>
      <c r="B69" s="138"/>
      <c r="C69" s="138"/>
      <c r="D69" s="138"/>
      <c r="E69" s="138"/>
      <c r="F69" s="138"/>
      <c r="G69" s="137"/>
    </row>
    <row r="70" spans="1:7" ht="58.5" customHeight="1">
      <c r="A70" s="139" t="s">
        <v>142</v>
      </c>
      <c r="B70" s="138"/>
      <c r="C70" s="138"/>
      <c r="D70" s="138"/>
      <c r="E70" s="138"/>
      <c r="F70" s="138"/>
      <c r="G70" s="137"/>
    </row>
    <row r="71" spans="1:7" ht="18">
      <c r="A71" s="136" t="s">
        <v>141</v>
      </c>
      <c r="B71" s="135"/>
      <c r="C71" s="135"/>
      <c r="D71" s="135"/>
      <c r="E71" s="135"/>
      <c r="F71" s="135"/>
      <c r="G71" s="134"/>
    </row>
  </sheetData>
  <mergeCells count="12">
    <mergeCell ref="A71:G71"/>
    <mergeCell ref="A42:G42"/>
    <mergeCell ref="A43:G43"/>
    <mergeCell ref="A67:G67"/>
    <mergeCell ref="A68:G68"/>
    <mergeCell ref="A69:G69"/>
    <mergeCell ref="B20:F20"/>
    <mergeCell ref="B25:F25"/>
    <mergeCell ref="A39:G39"/>
    <mergeCell ref="A40:G40"/>
    <mergeCell ref="A41:G41"/>
    <mergeCell ref="A70:G7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9986-FD92-4F95-8DE2-7960421B48C3}">
  <dimension ref="A1:E83"/>
  <sheetViews>
    <sheetView tabSelected="1" zoomScaleNormal="100" workbookViewId="0">
      <selection activeCell="G84" sqref="G84"/>
    </sheetView>
  </sheetViews>
  <sheetFormatPr defaultColWidth="9.77734375" defaultRowHeight="14.4"/>
  <cols>
    <col min="1" max="7" width="12.77734375" style="20" customWidth="1"/>
    <col min="8" max="16384" width="9.77734375" style="20"/>
  </cols>
  <sheetData>
    <row r="1" spans="1:4">
      <c r="A1" s="13" t="s">
        <v>218</v>
      </c>
    </row>
    <row r="3" spans="1:4">
      <c r="A3" s="43" t="s">
        <v>217</v>
      </c>
    </row>
    <row r="4" spans="1:4" ht="16.95" customHeight="1">
      <c r="A4" s="203" t="s">
        <v>216</v>
      </c>
      <c r="B4" s="203"/>
    </row>
    <row r="5" spans="1:4" ht="16.95" customHeight="1">
      <c r="A5" s="203" t="s">
        <v>215</v>
      </c>
      <c r="B5" s="203"/>
    </row>
    <row r="6" spans="1:4" ht="16.95" customHeight="1">
      <c r="A6" s="203" t="s">
        <v>214</v>
      </c>
      <c r="B6" s="203"/>
    </row>
    <row r="7" spans="1:4" ht="16.95" customHeight="1">
      <c r="A7" s="203"/>
      <c r="B7" s="203"/>
    </row>
    <row r="8" spans="1:4" ht="16.95" customHeight="1">
      <c r="A8" s="203"/>
      <c r="B8" s="203"/>
    </row>
    <row r="9" spans="1:4" ht="16.95" customHeight="1">
      <c r="A9" s="203" t="s">
        <v>213</v>
      </c>
      <c r="B9" s="203"/>
    </row>
    <row r="10" spans="1:4" ht="16.95" customHeight="1">
      <c r="A10" s="203" t="s">
        <v>212</v>
      </c>
      <c r="B10" s="203"/>
    </row>
    <row r="11" spans="1:4" ht="16.95" customHeight="1" thickBot="1">
      <c r="A11" s="204" t="s">
        <v>211</v>
      </c>
      <c r="B11" s="203"/>
    </row>
    <row r="12" spans="1:4">
      <c r="A12" s="193"/>
      <c r="B12" s="202">
        <v>600</v>
      </c>
      <c r="C12" s="201" t="s">
        <v>210</v>
      </c>
      <c r="D12" s="200"/>
    </row>
    <row r="13" spans="1:4">
      <c r="A13" s="193"/>
      <c r="B13" s="199">
        <v>450</v>
      </c>
      <c r="C13" s="198" t="s">
        <v>209</v>
      </c>
      <c r="D13" s="197"/>
    </row>
    <row r="14" spans="1:4" ht="15" thickBot="1">
      <c r="A14" s="193"/>
      <c r="B14" s="196">
        <v>1700</v>
      </c>
      <c r="C14" s="195" t="s">
        <v>208</v>
      </c>
      <c r="D14" s="194"/>
    </row>
    <row r="15" spans="1:4">
      <c r="A15" s="193"/>
      <c r="B15" s="186"/>
    </row>
    <row r="16" spans="1:4">
      <c r="A16" s="111" t="s">
        <v>207</v>
      </c>
    </row>
    <row r="17" spans="1:5">
      <c r="A17" s="193"/>
    </row>
    <row r="18" spans="1:5" ht="15" customHeight="1">
      <c r="A18" s="17" t="s">
        <v>5</v>
      </c>
      <c r="B18" s="18"/>
      <c r="C18" s="18"/>
      <c r="D18" s="18"/>
      <c r="E18" s="18"/>
    </row>
    <row r="19" spans="1:5">
      <c r="A19" s="20" t="s">
        <v>206</v>
      </c>
      <c r="C19" s="192">
        <f>1-EXP(-0.05)</f>
        <v>4.8770575499285984E-2</v>
      </c>
    </row>
    <row r="20" spans="1:5">
      <c r="A20" s="20" t="s">
        <v>205</v>
      </c>
      <c r="C20" s="192">
        <f>1-EXP(-0.1)</f>
        <v>9.5162581964040482E-2</v>
      </c>
    </row>
    <row r="22" spans="1:5" ht="15" customHeight="1">
      <c r="A22" s="23" t="s">
        <v>0</v>
      </c>
      <c r="B22" s="22"/>
      <c r="C22" s="22"/>
      <c r="D22" s="22"/>
      <c r="E22" s="22"/>
    </row>
    <row r="24" spans="1:5" ht="15.6">
      <c r="B24" s="182" t="s">
        <v>204</v>
      </c>
      <c r="C24" s="20">
        <f>1-EXP(-0.05)</f>
        <v>4.8770575499285984E-2</v>
      </c>
    </row>
    <row r="25" spans="1:5" ht="15.6">
      <c r="B25" s="182" t="s">
        <v>203</v>
      </c>
      <c r="C25" s="20">
        <f>1-EXP(-0.1)</f>
        <v>9.5162581964040482E-2</v>
      </c>
    </row>
    <row r="30" spans="1:5">
      <c r="A30" s="191"/>
      <c r="B30" s="190"/>
      <c r="C30" s="190"/>
      <c r="D30" s="190"/>
      <c r="E30" s="190"/>
    </row>
    <row r="31" spans="1:5" ht="15.6">
      <c r="A31" s="20" t="s">
        <v>202</v>
      </c>
    </row>
    <row r="32" spans="1:5">
      <c r="A32" s="189"/>
      <c r="B32" s="189"/>
      <c r="C32" s="189"/>
      <c r="D32" s="189"/>
      <c r="E32" s="189"/>
    </row>
    <row r="33" spans="1:5" ht="15" customHeight="1">
      <c r="A33" s="17" t="s">
        <v>5</v>
      </c>
      <c r="B33" s="18"/>
      <c r="C33" s="18"/>
      <c r="D33" s="18"/>
      <c r="E33" s="18"/>
    </row>
    <row r="34" spans="1:5">
      <c r="A34" s="20" t="s">
        <v>192</v>
      </c>
      <c r="C34" s="162">
        <f>C41</f>
        <v>1110.524727722265</v>
      </c>
    </row>
    <row r="37" spans="1:5" ht="15" customHeight="1">
      <c r="A37" s="23" t="s">
        <v>0</v>
      </c>
      <c r="B37" s="22"/>
      <c r="C37" s="22"/>
      <c r="D37" s="22"/>
      <c r="E37" s="22"/>
    </row>
    <row r="39" spans="1:5">
      <c r="B39" s="187">
        <f>C24*C25</f>
        <v>4.6411338883842268E-3</v>
      </c>
      <c r="C39" s="185">
        <f>B39*B14</f>
        <v>7.8899276102531859</v>
      </c>
    </row>
    <row r="40" spans="1:5">
      <c r="B40" s="187">
        <f>1%-B39</f>
        <v>5.3588661116157734E-3</v>
      </c>
      <c r="C40" s="185">
        <f>B40*B12</f>
        <v>3.2153196669694641</v>
      </c>
    </row>
    <row r="41" spans="1:5">
      <c r="B41" s="20" t="s">
        <v>191</v>
      </c>
      <c r="C41" s="185">
        <f>(C40+C39)/1%</f>
        <v>1110.524727722265</v>
      </c>
    </row>
    <row r="46" spans="1:5">
      <c r="A46" s="43" t="s">
        <v>201</v>
      </c>
      <c r="B46" s="189"/>
      <c r="C46" s="189"/>
      <c r="D46" s="189"/>
      <c r="E46" s="189"/>
    </row>
    <row r="47" spans="1:5">
      <c r="A47" s="111" t="s">
        <v>200</v>
      </c>
    </row>
    <row r="48" spans="1:5">
      <c r="A48" s="111"/>
    </row>
    <row r="49" spans="1:5">
      <c r="A49" s="111"/>
    </row>
    <row r="50" spans="1:5">
      <c r="A50" s="111"/>
    </row>
    <row r="51" spans="1:5">
      <c r="A51" s="111" t="s">
        <v>199</v>
      </c>
    </row>
    <row r="52" spans="1:5">
      <c r="A52" s="43"/>
    </row>
    <row r="53" spans="1:5" ht="15.6">
      <c r="A53" s="43" t="s">
        <v>198</v>
      </c>
    </row>
    <row r="54" spans="1:5">
      <c r="A54" s="43" t="s">
        <v>197</v>
      </c>
    </row>
    <row r="55" spans="1:5">
      <c r="A55" s="43"/>
    </row>
    <row r="56" spans="1:5" ht="15" customHeight="1">
      <c r="A56" s="17" t="s">
        <v>5</v>
      </c>
      <c r="B56" s="18"/>
      <c r="C56" s="18"/>
      <c r="D56" s="18"/>
      <c r="E56" s="18"/>
    </row>
    <row r="57" spans="1:5">
      <c r="A57" s="20" t="s">
        <v>196</v>
      </c>
      <c r="C57" s="188">
        <f>C65</f>
        <v>9.4015851145790585E-3</v>
      </c>
    </row>
    <row r="60" spans="1:5" ht="15" customHeight="1">
      <c r="A60" s="23" t="s">
        <v>0</v>
      </c>
      <c r="B60" s="22"/>
      <c r="C60" s="22"/>
      <c r="D60" s="22"/>
      <c r="E60" s="22"/>
    </row>
    <row r="63" spans="1:5">
      <c r="C63" s="20">
        <f>EXP(-2*C24)-1</f>
        <v>-9.2934985843325157E-2</v>
      </c>
    </row>
    <row r="64" spans="1:5">
      <c r="C64" s="20">
        <f>EXP(-2*C25)-1</f>
        <v>-0.17330971962388331</v>
      </c>
    </row>
    <row r="65" spans="1:5" ht="15.6">
      <c r="B65" s="20" t="s">
        <v>195</v>
      </c>
      <c r="C65" s="20">
        <f>-1/2*LN(1+C63*C64/(EXP(-2)-1))</f>
        <v>9.4015851145790585E-3</v>
      </c>
    </row>
    <row r="69" spans="1:5">
      <c r="A69" s="20" t="s">
        <v>194</v>
      </c>
    </row>
    <row r="70" spans="1:5" ht="15.6">
      <c r="A70" s="43" t="s">
        <v>193</v>
      </c>
    </row>
    <row r="72" spans="1:5" ht="15" customHeight="1">
      <c r="A72" s="17" t="s">
        <v>5</v>
      </c>
      <c r="B72" s="18"/>
      <c r="C72" s="18"/>
      <c r="D72" s="18"/>
      <c r="E72" s="18"/>
    </row>
    <row r="73" spans="1:5">
      <c r="A73" s="20" t="s">
        <v>192</v>
      </c>
      <c r="C73" s="162">
        <f>C83</f>
        <v>1634.1743626036964</v>
      </c>
    </row>
    <row r="76" spans="1:5" ht="15" customHeight="1">
      <c r="A76" s="23" t="s">
        <v>0</v>
      </c>
      <c r="B76" s="22"/>
      <c r="C76" s="22"/>
      <c r="D76" s="22"/>
      <c r="E76" s="22"/>
    </row>
    <row r="80" spans="1:5">
      <c r="A80" s="187">
        <f>C65</f>
        <v>9.4015851145790585E-3</v>
      </c>
      <c r="B80" s="186">
        <f>B14</f>
        <v>1700</v>
      </c>
      <c r="C80" s="185">
        <f>B80*A80</f>
        <v>15.982694694784399</v>
      </c>
    </row>
    <row r="81" spans="1:3">
      <c r="A81" s="187">
        <f>1%-A80</f>
        <v>5.9841488542094166E-4</v>
      </c>
      <c r="B81" s="186">
        <f>B12</f>
        <v>600</v>
      </c>
      <c r="C81" s="185">
        <f>B81*A81</f>
        <v>0.35904893125256498</v>
      </c>
    </row>
    <row r="83" spans="1:3">
      <c r="B83" s="20" t="s">
        <v>191</v>
      </c>
      <c r="C83" s="185">
        <f>(C81+C80)/1%</f>
        <v>1634.1743626036964</v>
      </c>
    </row>
  </sheetData>
  <mergeCells count="8">
    <mergeCell ref="A72:E72"/>
    <mergeCell ref="A76:E76"/>
    <mergeCell ref="A18:E18"/>
    <mergeCell ref="A22:E22"/>
    <mergeCell ref="A33:E33"/>
    <mergeCell ref="A37:E37"/>
    <mergeCell ref="A56:E56"/>
    <mergeCell ref="A60:E6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7dc3d3663935be6bf10a75b4167b61c7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a1fda67aa6625a839560a09cea5ca94f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4CD4AC-C375-481B-982A-ED64F7CF31A5}"/>
</file>

<file path=customXml/itemProps2.xml><?xml version="1.0" encoding="utf-8"?>
<ds:datastoreItem xmlns:ds="http://schemas.openxmlformats.org/officeDocument/2006/customXml" ds:itemID="{6B6CBC51-0171-48B5-850E-44FC9F798CF7}"/>
</file>

<file path=customXml/itemProps3.xml><?xml version="1.0" encoding="utf-8"?>
<ds:datastoreItem xmlns:ds="http://schemas.openxmlformats.org/officeDocument/2006/customXml" ds:itemID="{81A0265F-3E64-4EE5-ACCD-D53D2679AD20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1125-Q1</vt:lpstr>
      <vt:lpstr>1125-Q4</vt:lpstr>
      <vt:lpstr>1125-Q4 - Answer Template</vt:lpstr>
      <vt:lpstr>1125-Q5</vt:lpstr>
      <vt:lpstr>1125-Q6 Solution</vt:lpstr>
      <vt:lpstr>Q7</vt:lpstr>
      <vt:lpstr>1125-Q9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Mark Dulceak</cp:lastModifiedBy>
  <dcterms:created xsi:type="dcterms:W3CDTF">2025-07-30T04:56:08Z</dcterms:created>
  <dcterms:modified xsi:type="dcterms:W3CDTF">2026-01-07T15:25:11Z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0x010100A13D16CE4023BB4BB4110DFC2802C897</vt:lpwstr>
  </property>
</Properties>
</file>