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CP 321/"/>
    </mc:Choice>
  </mc:AlternateContent>
  <xr:revisionPtr revIDLastSave="11" documentId="8_{0133BEE0-6FE1-4F30-8A3C-DAF1D4E32E77}" xr6:coauthVersionLast="47" xr6:coauthVersionMax="47" xr10:uidLastSave="{C80155FD-2D11-4D36-A68F-CB6E6FC28229}"/>
  <bookViews>
    <workbookView xWindow="-96" yWindow="0" windowWidth="11712" windowHeight="12336" firstSheet="11" activeTab="12" xr2:uid="{00000000-000D-0000-FFFF-FFFF00000000}"/>
  </bookViews>
  <sheets>
    <sheet name="Info for 2(c)" sheetId="1" r:id="rId1"/>
    <sheet name="Q2(c)" sheetId="9" r:id="rId2"/>
    <sheet name="Question c" sheetId="10" r:id="rId3"/>
    <sheet name="Solution c" sheetId="11" r:id="rId4"/>
    <sheet name="Question d" sheetId="12" r:id="rId5"/>
    <sheet name="Mortality" sheetId="13" r:id="rId6"/>
    <sheet name="Termination" sheetId="14" r:id="rId7"/>
    <sheet name="Solution d" sheetId="15" r:id="rId8"/>
    <sheet name="Q4 Solution" sheetId="16" r:id="rId9"/>
    <sheet name="Q6 Solution b" sheetId="17" r:id="rId10"/>
    <sheet name="Q6 Solution c" sheetId="18" r:id="rId11"/>
    <sheet name="Continuance Rates" sheetId="19" r:id="rId12"/>
    <sheet name="Q7 Solution" sheetId="20" r:id="rId13"/>
  </sheets>
  <definedNames>
    <definedName name="OLE_LINK1" localSheetId="4">'Question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0" l="1"/>
  <c r="B30" i="20"/>
  <c r="C30" i="20"/>
  <c r="D30" i="20"/>
  <c r="E30" i="20"/>
  <c r="H30" i="20"/>
  <c r="H31" i="20" s="1"/>
  <c r="J31" i="20" s="1"/>
  <c r="I30" i="20"/>
  <c r="I31" i="20" s="1"/>
  <c r="I32" i="20" s="1"/>
  <c r="I33" i="20" s="1"/>
  <c r="I34" i="20" s="1"/>
  <c r="I35" i="20" s="1"/>
  <c r="I36" i="20" s="1"/>
  <c r="I37" i="20" s="1"/>
  <c r="I38" i="20" s="1"/>
  <c r="I39" i="20" s="1"/>
  <c r="I40" i="20" s="1"/>
  <c r="I41" i="20" s="1"/>
  <c r="I42" i="20" s="1"/>
  <c r="I43" i="20" s="1"/>
  <c r="I44" i="20" s="1"/>
  <c r="I45" i="20" s="1"/>
  <c r="I46" i="20" s="1"/>
  <c r="I47" i="20" s="1"/>
  <c r="I48" i="20" s="1"/>
  <c r="I49" i="20" s="1"/>
  <c r="I50" i="20" s="1"/>
  <c r="I51" i="20" s="1"/>
  <c r="I52" i="20" s="1"/>
  <c r="I53" i="20" s="1"/>
  <c r="I54" i="20" s="1"/>
  <c r="I55" i="20" s="1"/>
  <c r="I56" i="20" s="1"/>
  <c r="I57" i="20" s="1"/>
  <c r="I58" i="20" s="1"/>
  <c r="I59" i="20" s="1"/>
  <c r="I60" i="20" s="1"/>
  <c r="I61" i="20" s="1"/>
  <c r="I62" i="20" s="1"/>
  <c r="I63" i="20" s="1"/>
  <c r="I64" i="20" s="1"/>
  <c r="I65" i="20" s="1"/>
  <c r="I66" i="20" s="1"/>
  <c r="I67" i="20" s="1"/>
  <c r="I68" i="20" s="1"/>
  <c r="I69" i="20" s="1"/>
  <c r="I70" i="20" s="1"/>
  <c r="I71" i="20" s="1"/>
  <c r="I72" i="20" s="1"/>
  <c r="I73" i="20" s="1"/>
  <c r="I74" i="20" s="1"/>
  <c r="I75" i="20" s="1"/>
  <c r="I76" i="20" s="1"/>
  <c r="I77" i="20" s="1"/>
  <c r="I78" i="20" s="1"/>
  <c r="I79" i="20" s="1"/>
  <c r="I80" i="20" s="1"/>
  <c r="I81" i="20" s="1"/>
  <c r="I82" i="20" s="1"/>
  <c r="I83" i="20" s="1"/>
  <c r="I84" i="20" s="1"/>
  <c r="I85" i="20" s="1"/>
  <c r="J30" i="20"/>
  <c r="K30" i="20"/>
  <c r="L30" i="20"/>
  <c r="A31" i="20"/>
  <c r="C31" i="20" s="1"/>
  <c r="B31" i="20"/>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D31" i="20"/>
  <c r="E31" i="20"/>
  <c r="K31" i="20"/>
  <c r="L31" i="20"/>
  <c r="D32" i="20"/>
  <c r="E32" i="20"/>
  <c r="H32" i="20"/>
  <c r="J32" i="20" s="1"/>
  <c r="K32" i="20"/>
  <c r="L32" i="20"/>
  <c r="D33" i="20"/>
  <c r="E33" i="20"/>
  <c r="K33" i="20"/>
  <c r="L33" i="20"/>
  <c r="D34" i="20"/>
  <c r="E34" i="20"/>
  <c r="K34" i="20"/>
  <c r="L34" i="20"/>
  <c r="D35" i="20"/>
  <c r="E35" i="20"/>
  <c r="K35" i="20"/>
  <c r="L35" i="20"/>
  <c r="D36" i="20"/>
  <c r="E36" i="20"/>
  <c r="K36" i="20"/>
  <c r="L36" i="20"/>
  <c r="D37" i="20"/>
  <c r="E37" i="20"/>
  <c r="K37" i="20"/>
  <c r="L37" i="20"/>
  <c r="D38" i="20"/>
  <c r="E38" i="20"/>
  <c r="K38" i="20"/>
  <c r="L38" i="20"/>
  <c r="D39" i="20"/>
  <c r="E39" i="20"/>
  <c r="K39" i="20"/>
  <c r="L39" i="20"/>
  <c r="D40" i="20"/>
  <c r="E40" i="20"/>
  <c r="K40" i="20"/>
  <c r="L40" i="20"/>
  <c r="D41" i="20"/>
  <c r="E41" i="20"/>
  <c r="K41" i="20"/>
  <c r="L41" i="20"/>
  <c r="D42" i="20"/>
  <c r="E42" i="20"/>
  <c r="K42" i="20"/>
  <c r="L42" i="20"/>
  <c r="D43" i="20"/>
  <c r="E43" i="20"/>
  <c r="K43" i="20"/>
  <c r="L43" i="20"/>
  <c r="D44" i="20"/>
  <c r="E44" i="20"/>
  <c r="K44" i="20"/>
  <c r="L44" i="20"/>
  <c r="D45" i="20"/>
  <c r="E45" i="20"/>
  <c r="K45" i="20"/>
  <c r="L45" i="20"/>
  <c r="D46" i="20"/>
  <c r="E46" i="20"/>
  <c r="K46" i="20"/>
  <c r="L46" i="20"/>
  <c r="D47" i="20"/>
  <c r="E47" i="20"/>
  <c r="K47" i="20"/>
  <c r="L47" i="20"/>
  <c r="D48" i="20"/>
  <c r="E48" i="20"/>
  <c r="K48" i="20"/>
  <c r="L48" i="20"/>
  <c r="D49" i="20"/>
  <c r="E49" i="20"/>
  <c r="K49" i="20"/>
  <c r="L49" i="20"/>
  <c r="D50" i="20"/>
  <c r="E50" i="20"/>
  <c r="K50" i="20"/>
  <c r="L50" i="20"/>
  <c r="D51" i="20"/>
  <c r="E51" i="20"/>
  <c r="K51" i="20"/>
  <c r="L51" i="20"/>
  <c r="D52" i="20"/>
  <c r="E52" i="20"/>
  <c r="K52" i="20"/>
  <c r="L52" i="20"/>
  <c r="D53" i="20"/>
  <c r="E53" i="20"/>
  <c r="K53" i="20"/>
  <c r="L53" i="20"/>
  <c r="K54" i="20"/>
  <c r="L54" i="20"/>
  <c r="K55" i="20"/>
  <c r="L55" i="20"/>
  <c r="K56" i="20"/>
  <c r="L56" i="20"/>
  <c r="K57" i="20"/>
  <c r="L57" i="20"/>
  <c r="K58" i="20"/>
  <c r="L58" i="20"/>
  <c r="K59" i="20"/>
  <c r="L59" i="20"/>
  <c r="K60" i="20"/>
  <c r="L60" i="20"/>
  <c r="K61" i="20"/>
  <c r="L61" i="20"/>
  <c r="K62" i="20"/>
  <c r="L62" i="20"/>
  <c r="K63" i="20"/>
  <c r="L63" i="20"/>
  <c r="K64" i="20"/>
  <c r="L64" i="20"/>
  <c r="K65" i="20"/>
  <c r="L65" i="20"/>
  <c r="K66" i="20"/>
  <c r="L66" i="20"/>
  <c r="K67" i="20"/>
  <c r="L67" i="20"/>
  <c r="K68" i="20"/>
  <c r="L68" i="20"/>
  <c r="K69" i="20"/>
  <c r="L69" i="20"/>
  <c r="K70" i="20"/>
  <c r="L70" i="20"/>
  <c r="K71" i="20"/>
  <c r="L71" i="20"/>
  <c r="K72" i="20"/>
  <c r="L72" i="20"/>
  <c r="K73" i="20"/>
  <c r="L73" i="20"/>
  <c r="K74" i="20"/>
  <c r="L74" i="20"/>
  <c r="K75" i="20"/>
  <c r="L75" i="20"/>
  <c r="K76" i="20"/>
  <c r="L76" i="20"/>
  <c r="K77" i="20"/>
  <c r="L77" i="20"/>
  <c r="K78" i="20"/>
  <c r="L78" i="20"/>
  <c r="K79" i="20"/>
  <c r="L79" i="20"/>
  <c r="K80" i="20"/>
  <c r="L80" i="20"/>
  <c r="K81" i="20"/>
  <c r="L81" i="20"/>
  <c r="K82" i="20"/>
  <c r="L82" i="20"/>
  <c r="K83" i="20"/>
  <c r="L83" i="20"/>
  <c r="K84" i="20"/>
  <c r="L84" i="20"/>
  <c r="K85" i="20"/>
  <c r="B6" i="19"/>
  <c r="B7" i="19"/>
  <c r="B8" i="19"/>
  <c r="B9" i="19"/>
  <c r="B10" i="19"/>
  <c r="B11" i="19"/>
  <c r="B12" i="19"/>
  <c r="B13" i="19"/>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H33" i="20" l="1"/>
  <c r="A32" i="20"/>
  <c r="D13" i="18"/>
  <c r="D31" i="18"/>
  <c r="D34" i="18"/>
  <c r="D37" i="18"/>
  <c r="D15" i="17"/>
  <c r="D18" i="17"/>
  <c r="D21" i="17"/>
  <c r="D24" i="17"/>
  <c r="D27" i="17"/>
  <c r="J33" i="20" l="1"/>
  <c r="H34" i="20"/>
  <c r="A33" i="20"/>
  <c r="C32" i="20"/>
  <c r="D21" i="18"/>
  <c r="D17" i="18"/>
  <c r="C48" i="16"/>
  <c r="D48" i="16"/>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E48" i="16"/>
  <c r="J48" i="16"/>
  <c r="K48" i="16"/>
  <c r="K49" i="16" s="1"/>
  <c r="L48" i="16"/>
  <c r="B49" i="16"/>
  <c r="C49" i="16"/>
  <c r="E49" i="16"/>
  <c r="I49" i="16"/>
  <c r="L49" i="16" s="1"/>
  <c r="J49" i="16"/>
  <c r="B50" i="16"/>
  <c r="B51" i="16" s="1"/>
  <c r="C50" i="16"/>
  <c r="E50" i="16"/>
  <c r="I50" i="16"/>
  <c r="I51" i="16" s="1"/>
  <c r="J50" i="16"/>
  <c r="C51" i="16"/>
  <c r="F51" i="16"/>
  <c r="J51" i="16"/>
  <c r="M51" i="16"/>
  <c r="C52" i="16"/>
  <c r="F52" i="16"/>
  <c r="J52" i="16"/>
  <c r="M52" i="16"/>
  <c r="C53" i="16"/>
  <c r="F53" i="16"/>
  <c r="J53" i="16"/>
  <c r="M53" i="16"/>
  <c r="C54" i="16"/>
  <c r="F54" i="16"/>
  <c r="J54" i="16"/>
  <c r="M54" i="16"/>
  <c r="C55" i="16"/>
  <c r="F55" i="16"/>
  <c r="J55" i="16"/>
  <c r="M55" i="16"/>
  <c r="C56" i="16"/>
  <c r="F56" i="16"/>
  <c r="J56" i="16"/>
  <c r="M56" i="16"/>
  <c r="C57" i="16"/>
  <c r="F57" i="16"/>
  <c r="J57" i="16"/>
  <c r="M57" i="16"/>
  <c r="C58" i="16"/>
  <c r="F58" i="16"/>
  <c r="J58" i="16"/>
  <c r="M58" i="16"/>
  <c r="C59" i="16"/>
  <c r="F59" i="16"/>
  <c r="J59" i="16"/>
  <c r="M59" i="16"/>
  <c r="C60" i="16"/>
  <c r="F60" i="16"/>
  <c r="J60" i="16"/>
  <c r="M60" i="16"/>
  <c r="C61" i="16"/>
  <c r="F61" i="16"/>
  <c r="J61" i="16"/>
  <c r="M61" i="16"/>
  <c r="C62" i="16"/>
  <c r="F62" i="16"/>
  <c r="J62" i="16"/>
  <c r="M62" i="16"/>
  <c r="C63" i="16"/>
  <c r="F63" i="16"/>
  <c r="J63" i="16"/>
  <c r="M63" i="16"/>
  <c r="C64" i="16"/>
  <c r="F64" i="16"/>
  <c r="J64" i="16"/>
  <c r="M64" i="16"/>
  <c r="C65" i="16"/>
  <c r="F65" i="16"/>
  <c r="J65" i="16"/>
  <c r="M65" i="16"/>
  <c r="C66" i="16"/>
  <c r="F66" i="16"/>
  <c r="J66" i="16"/>
  <c r="M66" i="16"/>
  <c r="C67" i="16"/>
  <c r="F67" i="16"/>
  <c r="J67" i="16"/>
  <c r="M67" i="16"/>
  <c r="C68" i="16"/>
  <c r="F68" i="16"/>
  <c r="J68" i="16"/>
  <c r="M68" i="16"/>
  <c r="C69" i="16"/>
  <c r="F69" i="16"/>
  <c r="J69" i="16"/>
  <c r="M69" i="16"/>
  <c r="C70" i="16"/>
  <c r="F70" i="16"/>
  <c r="J70" i="16"/>
  <c r="M70" i="16"/>
  <c r="C71" i="16"/>
  <c r="F71" i="16"/>
  <c r="J71" i="16"/>
  <c r="M71" i="16"/>
  <c r="C72" i="16"/>
  <c r="F72" i="16"/>
  <c r="J72" i="16"/>
  <c r="M72" i="16"/>
  <c r="C73" i="16"/>
  <c r="F73" i="16"/>
  <c r="J73" i="16"/>
  <c r="M73" i="16"/>
  <c r="C74" i="16"/>
  <c r="F74" i="16"/>
  <c r="J74" i="16"/>
  <c r="M74" i="16"/>
  <c r="C75" i="16"/>
  <c r="F75" i="16"/>
  <c r="J75" i="16"/>
  <c r="M75" i="16"/>
  <c r="C76" i="16"/>
  <c r="F76" i="16"/>
  <c r="J76" i="16"/>
  <c r="M76" i="16"/>
  <c r="C77" i="16"/>
  <c r="F77" i="16"/>
  <c r="J77" i="16"/>
  <c r="M77" i="16"/>
  <c r="C78" i="16"/>
  <c r="F78" i="16"/>
  <c r="J78" i="16"/>
  <c r="M78" i="16"/>
  <c r="C79" i="16"/>
  <c r="F79" i="16"/>
  <c r="J79" i="16"/>
  <c r="M79" i="16"/>
  <c r="C80" i="16"/>
  <c r="F80" i="16"/>
  <c r="J80" i="16"/>
  <c r="M80" i="16"/>
  <c r="C81" i="16"/>
  <c r="F81" i="16"/>
  <c r="J81" i="16"/>
  <c r="M81" i="16"/>
  <c r="C82" i="16"/>
  <c r="F82" i="16"/>
  <c r="J82" i="16"/>
  <c r="M82" i="16"/>
  <c r="C83" i="16"/>
  <c r="F83" i="16"/>
  <c r="J83" i="16"/>
  <c r="M83" i="16"/>
  <c r="C84" i="16"/>
  <c r="F84" i="16"/>
  <c r="J84" i="16"/>
  <c r="M84" i="16"/>
  <c r="C85" i="16"/>
  <c r="F85" i="16"/>
  <c r="J85" i="16"/>
  <c r="M85" i="16"/>
  <c r="C86" i="16"/>
  <c r="F86" i="16"/>
  <c r="J86" i="16"/>
  <c r="M86" i="16"/>
  <c r="H35" i="20" l="1"/>
  <c r="J34" i="20"/>
  <c r="A34" i="20"/>
  <c r="C33" i="20"/>
  <c r="E51" i="16"/>
  <c r="B52" i="16"/>
  <c r="L51" i="16"/>
  <c r="I52" i="16"/>
  <c r="K50" i="16"/>
  <c r="K51" i="16" s="1"/>
  <c r="K52" i="16" s="1"/>
  <c r="K53" i="16" s="1"/>
  <c r="K54" i="16" s="1"/>
  <c r="K55" i="16" s="1"/>
  <c r="K56" i="16" s="1"/>
  <c r="K57" i="16" s="1"/>
  <c r="K58" i="16" s="1"/>
  <c r="K59" i="16" s="1"/>
  <c r="K60" i="16" s="1"/>
  <c r="K61" i="16" s="1"/>
  <c r="K62" i="16" s="1"/>
  <c r="K63" i="16" s="1"/>
  <c r="K64" i="16" s="1"/>
  <c r="K65" i="16" s="1"/>
  <c r="K66" i="16" s="1"/>
  <c r="K67" i="16" s="1"/>
  <c r="K68" i="16" s="1"/>
  <c r="K69" i="16" s="1"/>
  <c r="K70" i="16" s="1"/>
  <c r="K71" i="16" s="1"/>
  <c r="K72" i="16" s="1"/>
  <c r="K73" i="16" s="1"/>
  <c r="K74" i="16" s="1"/>
  <c r="K75" i="16" s="1"/>
  <c r="K76" i="16" s="1"/>
  <c r="K77" i="16" s="1"/>
  <c r="K78" i="16" s="1"/>
  <c r="K79" i="16" s="1"/>
  <c r="K80" i="16" s="1"/>
  <c r="K81" i="16" s="1"/>
  <c r="K82" i="16" s="1"/>
  <c r="K83" i="16" s="1"/>
  <c r="K84" i="16" s="1"/>
  <c r="K85" i="16" s="1"/>
  <c r="K86" i="16" s="1"/>
  <c r="L50" i="16"/>
  <c r="B4" i="15"/>
  <c r="C4" i="15"/>
  <c r="D4" i="15"/>
  <c r="C9" i="15"/>
  <c r="E9" i="15" s="1"/>
  <c r="F9" i="15" s="1"/>
  <c r="D9" i="15"/>
  <c r="H9" i="15"/>
  <c r="H10" i="15" s="1"/>
  <c r="I9" i="15"/>
  <c r="J9" i="15"/>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J43" i="15" s="1"/>
  <c r="L9" i="15"/>
  <c r="A10" i="15"/>
  <c r="A11" i="15" s="1"/>
  <c r="L11" i="15" s="1"/>
  <c r="B10" i="15"/>
  <c r="B11" i="15" s="1"/>
  <c r="D10" i="15"/>
  <c r="I10" i="15"/>
  <c r="L10" i="15"/>
  <c r="D11" i="15"/>
  <c r="H11" i="15"/>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H34" i="15" s="1"/>
  <c r="H35" i="15" s="1"/>
  <c r="H36" i="15" s="1"/>
  <c r="H37" i="15" s="1"/>
  <c r="H38" i="15" s="1"/>
  <c r="H39" i="15" s="1"/>
  <c r="H40" i="15" s="1"/>
  <c r="H41" i="15" s="1"/>
  <c r="H42" i="15" s="1"/>
  <c r="H43" i="15" s="1"/>
  <c r="I11" i="15"/>
  <c r="A12" i="15"/>
  <c r="L12" i="15" s="1"/>
  <c r="D12" i="15"/>
  <c r="I12" i="15"/>
  <c r="D13" i="15"/>
  <c r="I13" i="15"/>
  <c r="D14" i="15"/>
  <c r="I14" i="15"/>
  <c r="D15" i="15"/>
  <c r="I15" i="15"/>
  <c r="D16" i="15"/>
  <c r="I16" i="15"/>
  <c r="D17" i="15"/>
  <c r="I17" i="15"/>
  <c r="D18" i="15"/>
  <c r="I18" i="15"/>
  <c r="D19" i="15"/>
  <c r="I19" i="15"/>
  <c r="D20" i="15"/>
  <c r="I20" i="15"/>
  <c r="D21" i="15"/>
  <c r="I21" i="15"/>
  <c r="D22" i="15"/>
  <c r="I22" i="15"/>
  <c r="D23" i="15"/>
  <c r="I23" i="15"/>
  <c r="D24" i="15"/>
  <c r="I24" i="15"/>
  <c r="D25" i="15"/>
  <c r="I25" i="15"/>
  <c r="D26" i="15"/>
  <c r="I26" i="15"/>
  <c r="D27" i="15"/>
  <c r="I27" i="15"/>
  <c r="D28" i="15"/>
  <c r="I28" i="15"/>
  <c r="D29" i="15"/>
  <c r="I29" i="15"/>
  <c r="D30" i="15"/>
  <c r="I30" i="15"/>
  <c r="D31" i="15"/>
  <c r="I31" i="15"/>
  <c r="D32" i="15"/>
  <c r="I32" i="15"/>
  <c r="D33" i="15"/>
  <c r="I33" i="15"/>
  <c r="D34" i="15"/>
  <c r="I34" i="15"/>
  <c r="D35" i="15"/>
  <c r="I35" i="15"/>
  <c r="D36" i="15"/>
  <c r="I36" i="15"/>
  <c r="D37" i="15"/>
  <c r="I37" i="15"/>
  <c r="D38" i="15"/>
  <c r="I38" i="15"/>
  <c r="D39" i="15"/>
  <c r="I39" i="15"/>
  <c r="D40" i="15"/>
  <c r="I40" i="15"/>
  <c r="D41" i="15"/>
  <c r="I41" i="15"/>
  <c r="D42" i="15"/>
  <c r="I42" i="15"/>
  <c r="D43" i="15"/>
  <c r="I43" i="15"/>
  <c r="B4" i="11"/>
  <c r="C4" i="11"/>
  <c r="D4" i="11"/>
  <c r="D9" i="11" s="1"/>
  <c r="D10" i="11" s="1"/>
  <c r="D14" i="11" s="1"/>
  <c r="B5" i="11"/>
  <c r="C5" i="11"/>
  <c r="D5" i="11"/>
  <c r="B6" i="11"/>
  <c r="B11" i="11" s="1"/>
  <c r="C6" i="11"/>
  <c r="C11" i="11" s="1"/>
  <c r="D6" i="11"/>
  <c r="D11" i="11" s="1"/>
  <c r="B7" i="11"/>
  <c r="C7" i="11"/>
  <c r="D7" i="11"/>
  <c r="B9" i="11"/>
  <c r="B10" i="11" s="1"/>
  <c r="B14" i="11" s="1"/>
  <c r="C9" i="11"/>
  <c r="C10" i="11" s="1"/>
  <c r="B13" i="11"/>
  <c r="C13" i="11"/>
  <c r="D13" i="11"/>
  <c r="C34" i="20" l="1"/>
  <c r="A35" i="20"/>
  <c r="J35" i="20"/>
  <c r="H36" i="20"/>
  <c r="L52" i="16"/>
  <c r="I53" i="16"/>
  <c r="E52" i="16"/>
  <c r="B53" i="16"/>
  <c r="B12" i="15"/>
  <c r="C11" i="15"/>
  <c r="E11" i="15" s="1"/>
  <c r="K9" i="15"/>
  <c r="M9" i="15" s="1"/>
  <c r="A13" i="15"/>
  <c r="C10" i="15"/>
  <c r="E10" i="15" s="1"/>
  <c r="F10" i="15" s="1"/>
  <c r="C14" i="11"/>
  <c r="B15" i="11" s="1"/>
  <c r="J36" i="20" l="1"/>
  <c r="H37" i="20"/>
  <c r="C35" i="20"/>
  <c r="A36" i="20"/>
  <c r="E53" i="16"/>
  <c r="B54" i="16"/>
  <c r="I54" i="16"/>
  <c r="L53" i="16"/>
  <c r="K10" i="15"/>
  <c r="M10" i="15" s="1"/>
  <c r="F11" i="15"/>
  <c r="C12" i="15"/>
  <c r="E12" i="15" s="1"/>
  <c r="B13" i="15"/>
  <c r="A14" i="15"/>
  <c r="L13" i="15"/>
  <c r="D35" i="9"/>
  <c r="E35" i="9" s="1"/>
  <c r="F35" i="9" s="1"/>
  <c r="D36" i="9"/>
  <c r="E36" i="9" s="1"/>
  <c r="F36" i="9" s="1"/>
  <c r="D37" i="9"/>
  <c r="E37" i="9" s="1"/>
  <c r="F37" i="9" s="1"/>
  <c r="D38" i="9"/>
  <c r="E38" i="9" s="1"/>
  <c r="F38" i="9" s="1"/>
  <c r="D34" i="9"/>
  <c r="D28" i="9"/>
  <c r="D29" i="9"/>
  <c r="D30" i="9"/>
  <c r="D27" i="9"/>
  <c r="A37" i="20" l="1"/>
  <c r="C36" i="20"/>
  <c r="H38" i="20"/>
  <c r="J37" i="20"/>
  <c r="I55" i="16"/>
  <c r="L54" i="16"/>
  <c r="E54" i="16"/>
  <c r="B55" i="16"/>
  <c r="L14" i="15"/>
  <c r="A15" i="15"/>
  <c r="C13" i="15"/>
  <c r="E13" i="15" s="1"/>
  <c r="B14" i="15"/>
  <c r="F12" i="15"/>
  <c r="K11" i="15"/>
  <c r="M11" i="15" s="1"/>
  <c r="H39" i="20" l="1"/>
  <c r="J38" i="20"/>
  <c r="C37" i="20"/>
  <c r="A38" i="20"/>
  <c r="E55" i="16"/>
  <c r="B56" i="16"/>
  <c r="I56" i="16"/>
  <c r="L55" i="16"/>
  <c r="F13" i="15"/>
  <c r="K12" i="15"/>
  <c r="M12" i="15" s="1"/>
  <c r="B15" i="15"/>
  <c r="C14" i="15"/>
  <c r="E14" i="15" s="1"/>
  <c r="L15" i="15"/>
  <c r="A16" i="15"/>
  <c r="C38" i="20" l="1"/>
  <c r="A39" i="20"/>
  <c r="J39" i="20"/>
  <c r="H40" i="20"/>
  <c r="I57" i="16"/>
  <c r="L56" i="16"/>
  <c r="B57" i="16"/>
  <c r="E56" i="16"/>
  <c r="L16" i="15"/>
  <c r="A17" i="15"/>
  <c r="C15" i="15"/>
  <c r="E15" i="15" s="1"/>
  <c r="B16" i="15"/>
  <c r="F14" i="15"/>
  <c r="K13" i="15"/>
  <c r="M13" i="15" s="1"/>
  <c r="J40" i="20" l="1"/>
  <c r="H41" i="20"/>
  <c r="A40" i="20"/>
  <c r="C39" i="20"/>
  <c r="B58" i="16"/>
  <c r="E57" i="16"/>
  <c r="I58" i="16"/>
  <c r="L57" i="16"/>
  <c r="A18" i="15"/>
  <c r="L17" i="15"/>
  <c r="K14" i="15"/>
  <c r="M14" i="15" s="1"/>
  <c r="F15" i="15"/>
  <c r="B17" i="15"/>
  <c r="C16" i="15"/>
  <c r="E16" i="15" s="1"/>
  <c r="A41" i="20" l="1"/>
  <c r="C40" i="20"/>
  <c r="H42" i="20"/>
  <c r="J41" i="20"/>
  <c r="I59" i="16"/>
  <c r="L58" i="16"/>
  <c r="E58" i="16"/>
  <c r="B59" i="16"/>
  <c r="B18" i="15"/>
  <c r="C17" i="15"/>
  <c r="E17" i="15" s="1"/>
  <c r="K15" i="15"/>
  <c r="M15" i="15" s="1"/>
  <c r="F16" i="15"/>
  <c r="L18" i="15"/>
  <c r="A19" i="15"/>
  <c r="J42" i="20" l="1"/>
  <c r="H43" i="20"/>
  <c r="C41" i="20"/>
  <c r="A42" i="20"/>
  <c r="E59" i="16"/>
  <c r="B60" i="16"/>
  <c r="L59" i="16"/>
  <c r="I60" i="16"/>
  <c r="L19" i="15"/>
  <c r="A20" i="15"/>
  <c r="K16" i="15"/>
  <c r="M16" i="15" s="1"/>
  <c r="F17" i="15"/>
  <c r="B19" i="15"/>
  <c r="C18" i="15"/>
  <c r="E18" i="15" s="1"/>
  <c r="C42" i="20" l="1"/>
  <c r="A43" i="20"/>
  <c r="J43" i="20"/>
  <c r="H44" i="20"/>
  <c r="L60" i="16"/>
  <c r="I61" i="16"/>
  <c r="B61" i="16"/>
  <c r="E60" i="16"/>
  <c r="C19" i="15"/>
  <c r="E19" i="15" s="1"/>
  <c r="B20" i="15"/>
  <c r="K17" i="15"/>
  <c r="M17" i="15" s="1"/>
  <c r="F18" i="15"/>
  <c r="A21" i="15"/>
  <c r="L20" i="15"/>
  <c r="H45" i="20" l="1"/>
  <c r="J44" i="20"/>
  <c r="A44" i="20"/>
  <c r="C43" i="20"/>
  <c r="E61" i="16"/>
  <c r="B62" i="16"/>
  <c r="I62" i="16"/>
  <c r="L61" i="16"/>
  <c r="L21" i="15"/>
  <c r="A22" i="15"/>
  <c r="C20" i="15"/>
  <c r="E20" i="15" s="1"/>
  <c r="B21" i="15"/>
  <c r="F19" i="15"/>
  <c r="K18" i="15"/>
  <c r="M18" i="15" s="1"/>
  <c r="C44" i="20" l="1"/>
  <c r="A45" i="20"/>
  <c r="H46" i="20"/>
  <c r="J45" i="20"/>
  <c r="I63" i="16"/>
  <c r="L62" i="16"/>
  <c r="E62" i="16"/>
  <c r="B63" i="16"/>
  <c r="F20" i="15"/>
  <c r="K19" i="15"/>
  <c r="M19" i="15" s="1"/>
  <c r="B22" i="15"/>
  <c r="C21" i="15"/>
  <c r="E21" i="15" s="1"/>
  <c r="L22" i="15"/>
  <c r="A23" i="15"/>
  <c r="J46" i="20" l="1"/>
  <c r="H47" i="20"/>
  <c r="C45" i="20"/>
  <c r="A46" i="20"/>
  <c r="I64" i="16"/>
  <c r="L63" i="16"/>
  <c r="B64" i="16"/>
  <c r="E63" i="16"/>
  <c r="F21" i="15"/>
  <c r="K20" i="15"/>
  <c r="M20" i="15" s="1"/>
  <c r="C22" i="15"/>
  <c r="E22" i="15" s="1"/>
  <c r="B23" i="15"/>
  <c r="L23" i="15"/>
  <c r="A24" i="15"/>
  <c r="A47" i="20" l="1"/>
  <c r="C46" i="20"/>
  <c r="J47" i="20"/>
  <c r="H48" i="20"/>
  <c r="B65" i="16"/>
  <c r="E64" i="16"/>
  <c r="I65" i="16"/>
  <c r="L64" i="16"/>
  <c r="K21" i="15"/>
  <c r="M21" i="15" s="1"/>
  <c r="F22" i="15"/>
  <c r="A25" i="15"/>
  <c r="L24" i="15"/>
  <c r="B24" i="15"/>
  <c r="C23" i="15"/>
  <c r="E23" i="15" s="1"/>
  <c r="H49" i="20" l="1"/>
  <c r="J48" i="20"/>
  <c r="A48" i="20"/>
  <c r="C47" i="20"/>
  <c r="I66" i="16"/>
  <c r="L65" i="16"/>
  <c r="E65" i="16"/>
  <c r="B66" i="16"/>
  <c r="B25" i="15"/>
  <c r="C24" i="15"/>
  <c r="E24" i="15" s="1"/>
  <c r="L25" i="15"/>
  <c r="A26" i="15"/>
  <c r="K22" i="15"/>
  <c r="M22" i="15" s="1"/>
  <c r="F23" i="15"/>
  <c r="C48" i="20" l="1"/>
  <c r="A49" i="20"/>
  <c r="J49" i="20"/>
  <c r="H50" i="20"/>
  <c r="E66" i="16"/>
  <c r="B67" i="16"/>
  <c r="L66" i="16"/>
  <c r="I67" i="16"/>
  <c r="B26" i="15"/>
  <c r="C25" i="15"/>
  <c r="E25" i="15" s="1"/>
  <c r="K23" i="15"/>
  <c r="M23" i="15" s="1"/>
  <c r="F24" i="15"/>
  <c r="L26" i="15"/>
  <c r="A27" i="15"/>
  <c r="H51" i="20" l="1"/>
  <c r="J50" i="20"/>
  <c r="A50" i="20"/>
  <c r="C49" i="20"/>
  <c r="I68" i="16"/>
  <c r="L67" i="16"/>
  <c r="E67" i="16"/>
  <c r="B68" i="16"/>
  <c r="C26" i="15"/>
  <c r="E26" i="15" s="1"/>
  <c r="B27" i="15"/>
  <c r="A28" i="15"/>
  <c r="L27" i="15"/>
  <c r="K24" i="15"/>
  <c r="M24" i="15" s="1"/>
  <c r="F25" i="15"/>
  <c r="A51" i="20" l="1"/>
  <c r="C50" i="20"/>
  <c r="H52" i="20"/>
  <c r="J51" i="20"/>
  <c r="E68" i="16"/>
  <c r="B69" i="16"/>
  <c r="I69" i="16"/>
  <c r="L68" i="16"/>
  <c r="B28" i="15"/>
  <c r="C27" i="15"/>
  <c r="E27" i="15" s="1"/>
  <c r="F26" i="15"/>
  <c r="K25" i="15"/>
  <c r="M25" i="15" s="1"/>
  <c r="L28" i="15"/>
  <c r="A29" i="15"/>
  <c r="H53" i="20" l="1"/>
  <c r="J52" i="20"/>
  <c r="C51" i="20"/>
  <c r="A52" i="20"/>
  <c r="I70" i="16"/>
  <c r="L69" i="16"/>
  <c r="B70" i="16"/>
  <c r="E69" i="16"/>
  <c r="L29" i="15"/>
  <c r="A30" i="15"/>
  <c r="F27" i="15"/>
  <c r="K26" i="15"/>
  <c r="M26" i="15" s="1"/>
  <c r="B29" i="15"/>
  <c r="C28" i="15"/>
  <c r="E28" i="15" s="1"/>
  <c r="C52" i="20" l="1"/>
  <c r="A53" i="20"/>
  <c r="C53" i="20" s="1"/>
  <c r="F29" i="20" s="1"/>
  <c r="J53" i="20"/>
  <c r="H54" i="20"/>
  <c r="B71" i="16"/>
  <c r="E70" i="16"/>
  <c r="L70" i="16"/>
  <c r="I71" i="16"/>
  <c r="L30" i="15"/>
  <c r="A31" i="15"/>
  <c r="C29" i="15"/>
  <c r="E29" i="15" s="1"/>
  <c r="B30" i="15"/>
  <c r="F28" i="15"/>
  <c r="K27" i="15"/>
  <c r="M27" i="15" s="1"/>
  <c r="J54" i="20" l="1"/>
  <c r="H55" i="20"/>
  <c r="I72" i="16"/>
  <c r="L71" i="16"/>
  <c r="B72" i="16"/>
  <c r="E71" i="16"/>
  <c r="A32" i="15"/>
  <c r="L31" i="15"/>
  <c r="K28" i="15"/>
  <c r="M28" i="15" s="1"/>
  <c r="F29" i="15"/>
  <c r="C30" i="15"/>
  <c r="E30" i="15" s="1"/>
  <c r="B31" i="15"/>
  <c r="H56" i="20" l="1"/>
  <c r="J55" i="20"/>
  <c r="I73" i="16"/>
  <c r="L72" i="16"/>
  <c r="E72" i="16"/>
  <c r="B73" i="16"/>
  <c r="L32" i="15"/>
  <c r="A33" i="15"/>
  <c r="B32" i="15"/>
  <c r="C31" i="15"/>
  <c r="E31" i="15" s="1"/>
  <c r="K29" i="15"/>
  <c r="M29" i="15" s="1"/>
  <c r="F30" i="15"/>
  <c r="J56" i="20" l="1"/>
  <c r="H57" i="20"/>
  <c r="L73" i="16"/>
  <c r="I74" i="16"/>
  <c r="B74" i="16"/>
  <c r="E73" i="16"/>
  <c r="L33" i="15"/>
  <c r="A34" i="15"/>
  <c r="K30" i="15"/>
  <c r="M30" i="15" s="1"/>
  <c r="F31" i="15"/>
  <c r="B33" i="15"/>
  <c r="C32" i="15"/>
  <c r="E32" i="15" s="1"/>
  <c r="J57" i="20" l="1"/>
  <c r="H58" i="20"/>
  <c r="L74" i="16"/>
  <c r="I75" i="16"/>
  <c r="B75" i="16"/>
  <c r="E74" i="16"/>
  <c r="A35" i="15"/>
  <c r="L34" i="15"/>
  <c r="C33" i="15"/>
  <c r="E33" i="15" s="1"/>
  <c r="B34" i="15"/>
  <c r="F32" i="15"/>
  <c r="K31" i="15"/>
  <c r="M31" i="15" s="1"/>
  <c r="H59" i="20" l="1"/>
  <c r="J58" i="20"/>
  <c r="I76" i="16"/>
  <c r="L75" i="16"/>
  <c r="E75" i="16"/>
  <c r="B76" i="16"/>
  <c r="L35" i="15"/>
  <c r="A36" i="15"/>
  <c r="K32" i="15"/>
  <c r="M32" i="15" s="1"/>
  <c r="F33" i="15"/>
  <c r="C34" i="15"/>
  <c r="E34" i="15" s="1"/>
  <c r="B35" i="15"/>
  <c r="J59" i="20" l="1"/>
  <c r="H60" i="20"/>
  <c r="E76" i="16"/>
  <c r="B77" i="16"/>
  <c r="I77" i="16"/>
  <c r="L76" i="16"/>
  <c r="L36" i="15"/>
  <c r="A37" i="15"/>
  <c r="B36" i="15"/>
  <c r="C35" i="15"/>
  <c r="E35" i="15" s="1"/>
  <c r="F34" i="15"/>
  <c r="K33" i="15"/>
  <c r="M33" i="15" s="1"/>
  <c r="J60" i="20" l="1"/>
  <c r="H61" i="20"/>
  <c r="I78" i="16"/>
  <c r="L77" i="16"/>
  <c r="B78" i="16"/>
  <c r="E77" i="16"/>
  <c r="L37" i="15"/>
  <c r="A38" i="15"/>
  <c r="F35" i="15"/>
  <c r="K34" i="15"/>
  <c r="M34" i="15" s="1"/>
  <c r="C36" i="15"/>
  <c r="E36" i="15" s="1"/>
  <c r="B37" i="15"/>
  <c r="H62" i="20" l="1"/>
  <c r="J61" i="20"/>
  <c r="B79" i="16"/>
  <c r="E78" i="16"/>
  <c r="I79" i="16"/>
  <c r="L78" i="16"/>
  <c r="A39" i="15"/>
  <c r="L38" i="15"/>
  <c r="B38" i="15"/>
  <c r="C37" i="15"/>
  <c r="E37" i="15" s="1"/>
  <c r="F36" i="15"/>
  <c r="K35" i="15"/>
  <c r="M35" i="15" s="1"/>
  <c r="J62" i="20" l="1"/>
  <c r="H63" i="20"/>
  <c r="I80" i="16"/>
  <c r="L79" i="16"/>
  <c r="E79" i="16"/>
  <c r="B80" i="16"/>
  <c r="L39" i="15"/>
  <c r="A40" i="15"/>
  <c r="K36" i="15"/>
  <c r="M36" i="15" s="1"/>
  <c r="F37" i="15"/>
  <c r="B39" i="15"/>
  <c r="C38" i="15"/>
  <c r="E38" i="15" s="1"/>
  <c r="J63" i="20" l="1"/>
  <c r="H64" i="20"/>
  <c r="E80" i="16"/>
  <c r="B81" i="16"/>
  <c r="L80" i="16"/>
  <c r="I81" i="16"/>
  <c r="L40" i="15"/>
  <c r="A41" i="15"/>
  <c r="B40" i="15"/>
  <c r="C39" i="15"/>
  <c r="E39" i="15" s="1"/>
  <c r="K37" i="15"/>
  <c r="M37" i="15" s="1"/>
  <c r="F38" i="15"/>
  <c r="J64" i="20" l="1"/>
  <c r="H65" i="20"/>
  <c r="B82" i="16"/>
  <c r="E81" i="16"/>
  <c r="L81" i="16"/>
  <c r="I82" i="16"/>
  <c r="A42" i="15"/>
  <c r="L41" i="15"/>
  <c r="F39" i="15"/>
  <c r="K38" i="15"/>
  <c r="M38" i="15" s="1"/>
  <c r="C40" i="15"/>
  <c r="E40" i="15" s="1"/>
  <c r="B41" i="15"/>
  <c r="J65" i="20" l="1"/>
  <c r="H66" i="20"/>
  <c r="E82" i="16"/>
  <c r="B83" i="16"/>
  <c r="I83" i="16"/>
  <c r="L82" i="16"/>
  <c r="A43" i="15"/>
  <c r="L43" i="15" s="1"/>
  <c r="L42" i="15"/>
  <c r="C41" i="15"/>
  <c r="E41" i="15" s="1"/>
  <c r="B42" i="15"/>
  <c r="K39" i="15"/>
  <c r="M39" i="15" s="1"/>
  <c r="F40" i="15"/>
  <c r="J66" i="20" l="1"/>
  <c r="H67" i="20"/>
  <c r="I84" i="16"/>
  <c r="L83" i="16"/>
  <c r="B84" i="16"/>
  <c r="E83" i="16"/>
  <c r="F41" i="15"/>
  <c r="K40" i="15"/>
  <c r="M40" i="15" s="1"/>
  <c r="B43" i="15"/>
  <c r="C43" i="15" s="1"/>
  <c r="E43" i="15" s="1"/>
  <c r="C42" i="15"/>
  <c r="E42" i="15" s="1"/>
  <c r="J67" i="20" l="1"/>
  <c r="H68" i="20"/>
  <c r="B85" i="16"/>
  <c r="E84" i="16"/>
  <c r="L84" i="16"/>
  <c r="I85" i="16"/>
  <c r="F42" i="15"/>
  <c r="K41" i="15"/>
  <c r="M41" i="15" s="1"/>
  <c r="J68" i="20" l="1"/>
  <c r="H69" i="20"/>
  <c r="I86" i="16"/>
  <c r="L86" i="16" s="1"/>
  <c r="N48" i="16" s="1"/>
  <c r="L85" i="16"/>
  <c r="B86" i="16"/>
  <c r="E86" i="16" s="1"/>
  <c r="G48" i="16" s="1"/>
  <c r="E85" i="16"/>
  <c r="F43" i="15"/>
  <c r="K43" i="15" s="1"/>
  <c r="M43" i="15" s="1"/>
  <c r="K42" i="15"/>
  <c r="M42" i="15" s="1"/>
  <c r="H70" i="20" l="1"/>
  <c r="J69" i="20"/>
  <c r="N52" i="16"/>
  <c r="E4" i="15"/>
  <c r="J70" i="20" l="1"/>
  <c r="H71" i="20"/>
  <c r="F4" i="15"/>
  <c r="G4" i="15"/>
  <c r="H72" i="20" l="1"/>
  <c r="J71" i="20"/>
  <c r="H4" i="15"/>
  <c r="H73" i="20" l="1"/>
  <c r="J72" i="20"/>
  <c r="J73" i="20" l="1"/>
  <c r="H74" i="20"/>
  <c r="H75" i="20" l="1"/>
  <c r="J74" i="20"/>
  <c r="H76" i="20" l="1"/>
  <c r="J75" i="20"/>
  <c r="J76" i="20" l="1"/>
  <c r="H77" i="20"/>
  <c r="H78" i="20" l="1"/>
  <c r="J77" i="20"/>
  <c r="J78" i="20" l="1"/>
  <c r="H79" i="20"/>
  <c r="J79" i="20" l="1"/>
  <c r="H80" i="20"/>
  <c r="J80" i="20" l="1"/>
  <c r="H81" i="20"/>
  <c r="J81" i="20" l="1"/>
  <c r="H82" i="20"/>
  <c r="J82" i="20" l="1"/>
  <c r="H83" i="20"/>
  <c r="H84" i="20" l="1"/>
  <c r="J83" i="20"/>
  <c r="J84" i="20" l="1"/>
  <c r="H85" i="20"/>
  <c r="J85" i="20" s="1"/>
  <c r="M29" i="20" s="1"/>
</calcChain>
</file>

<file path=xl/sharedStrings.xml><?xml version="1.0" encoding="utf-8"?>
<sst xmlns="http://schemas.openxmlformats.org/spreadsheetml/2006/main" count="325" uniqueCount="218">
  <si>
    <t>The selected variance factors, along with XYZ’s recent termination rates and industry termination rates are shown below:</t>
  </si>
  <si>
    <t>LTD Claim Duration</t>
  </si>
  <si>
    <t>Selected Variance Factor</t>
  </si>
  <si>
    <t>Raw XYZ Termination Rates</t>
  </si>
  <si>
    <t>XYZ Expected Terminations</t>
  </si>
  <si>
    <t>Industry Termination Rates</t>
  </si>
  <si>
    <t>4 to 24 Months</t>
  </si>
  <si>
    <t>25 to 60 Months</t>
  </si>
  <si>
    <t>61 to 120 Months</t>
  </si>
  <si>
    <t>Greater Than 120 Months</t>
  </si>
  <si>
    <t>Cumulative Standard Normal Probabilities</t>
  </si>
  <si>
    <t>Z-score</t>
  </si>
  <si>
    <t>ANSWER:</t>
  </si>
  <si>
    <t>Question 2 (c)</t>
  </si>
  <si>
    <t>(2 points) Calculate, for each duration bucket:</t>
  </si>
  <si>
    <t>(i) (1 point) The number of claims required for full credibility. State any assumptions made and show your work.</t>
  </si>
  <si>
    <t>(ii) (1 point) The blended termination rate. State any assumptions made and show your work.</t>
  </si>
  <si>
    <t>N(0,1) cumulative probabilities:</t>
  </si>
  <si>
    <t>(i)</t>
  </si>
  <si>
    <t>As the objective is to ensure the observation has a 90% probability of being with 3% of expected terminations</t>
  </si>
  <si>
    <t>The Z-score we choose should be 1.64</t>
  </si>
  <si>
    <t>0.03/1.64 = square root of (selected variance factor/number of claims required for full credibility)</t>
  </si>
  <si>
    <t>Expected number of claims required for full credibility</t>
  </si>
  <si>
    <t>Below is the result of expected number of claims required for full credibility:</t>
  </si>
  <si>
    <t>(ii)</t>
  </si>
  <si>
    <t>Credibility of experience</t>
  </si>
  <si>
    <t>Blended termination rates</t>
  </si>
  <si>
    <t>Weighting to apply:</t>
  </si>
  <si>
    <t>Average age of membership:</t>
  </si>
  <si>
    <t>Covered members:</t>
  </si>
  <si>
    <t>Claims incurred:</t>
  </si>
  <si>
    <t>20X4</t>
  </si>
  <si>
    <t>20X3</t>
  </si>
  <si>
    <t>20X2</t>
  </si>
  <si>
    <t>Year</t>
  </si>
  <si>
    <t>Claims experience data:</t>
  </si>
  <si>
    <t>December 31, 20X5</t>
  </si>
  <si>
    <t>Valuation date:</t>
  </si>
  <si>
    <t>Middle of year</t>
  </si>
  <si>
    <t>Timing of benefit payments:</t>
  </si>
  <si>
    <t>per year</t>
  </si>
  <si>
    <t>Aging:</t>
  </si>
  <si>
    <t>Medical trend:</t>
  </si>
  <si>
    <t>of claims</t>
  </si>
  <si>
    <t>Sales and premium taxes:</t>
  </si>
  <si>
    <t>Expenses:</t>
  </si>
  <si>
    <t>Assumptions:</t>
  </si>
  <si>
    <t>(c) Derive the annual per member claims cost assumption, expressed at age 65. State any assumptions made and show your work.</t>
  </si>
  <si>
    <t>After applying weighting:</t>
  </si>
  <si>
    <t>Claims cost relative to age 65 in mid-year 20X6 dollars:</t>
  </si>
  <si>
    <t>Trend factor:</t>
  </si>
  <si>
    <t>(Mid-point since claims paid in middle of year)</t>
  </si>
  <si>
    <t>Length of time to mid-point of valuation year:</t>
  </si>
  <si>
    <t>Age to 65:</t>
  </si>
  <si>
    <t>Add expenses and taxes:</t>
  </si>
  <si>
    <t>Per capita claims costs:</t>
  </si>
  <si>
    <t>Age age of population:</t>
  </si>
  <si>
    <t>See "Mortality" tab</t>
  </si>
  <si>
    <t>Mortality:</t>
  </si>
  <si>
    <t>Note: Applies until employee reaches full eligibility age</t>
  </si>
  <si>
    <t>See "Termination" tab</t>
  </si>
  <si>
    <t>Termination / withdrawal:</t>
  </si>
  <si>
    <t>annual</t>
  </si>
  <si>
    <t>Discount rate:</t>
  </si>
  <si>
    <t>Retirement age:</t>
  </si>
  <si>
    <t>Full eligibility age:</t>
  </si>
  <si>
    <t>Hire date to full eligibility age</t>
  </si>
  <si>
    <t>Attribution period:</t>
  </si>
  <si>
    <t>Benefit termination age:</t>
  </si>
  <si>
    <t>Other assumptions:</t>
  </si>
  <si>
    <t>Single</t>
  </si>
  <si>
    <t>Marital status:</t>
  </si>
  <si>
    <t>Female</t>
  </si>
  <si>
    <t>Gender:</t>
  </si>
  <si>
    <t>Years of service:</t>
  </si>
  <si>
    <t>Age:</t>
  </si>
  <si>
    <t>Employee profile:</t>
  </si>
  <si>
    <t>Given the following information, calculate the following for the employee:
(i) The defined benefit obligation as of December 31, 20X5. State any assumptions made and show your work. 
(ii) The current service cost for fiscal year 20X6. State any assumptions made and show your work.
(iii) The interest cost for fiscal year 20X6. State any assumptions made and show your work.</t>
  </si>
  <si>
    <t>Male</t>
  </si>
  <si>
    <t>Age</t>
  </si>
  <si>
    <t>Mortality rates</t>
  </si>
  <si>
    <t>Unisex</t>
  </si>
  <si>
    <t>Termination / withdrawal rates</t>
  </si>
  <si>
    <t>Discounted retiree cashflows</t>
  </si>
  <si>
    <t>Discount factor</t>
  </si>
  <si>
    <t>Expected retiree cashflows</t>
  </si>
  <si>
    <t>Claims cost</t>
  </si>
  <si>
    <t>Aging</t>
  </si>
  <si>
    <t>Trend</t>
  </si>
  <si>
    <t>Retirement</t>
  </si>
  <si>
    <t>Cumulative survival to mid-year</t>
  </si>
  <si>
    <t>Termination</t>
  </si>
  <si>
    <t>Mortality</t>
  </si>
  <si>
    <t>Eligible?</t>
  </si>
  <si>
    <t>--&gt; answers to (i), (ii), (iii) respectively</t>
  </si>
  <si>
    <t>(iii)</t>
  </si>
  <si>
    <t>--&gt; (for interest cost, the person is age 45, so has no expected benefit payments)</t>
  </si>
  <si>
    <t>Interest cost</t>
  </si>
  <si>
    <t>Service cost</t>
  </si>
  <si>
    <t>DBO</t>
  </si>
  <si>
    <t>PV of Retiree Benefits</t>
  </si>
  <si>
    <t>Attribution period</t>
  </si>
  <si>
    <t>Service</t>
  </si>
  <si>
    <t>Calculate the following for the employee:
(i) The defined benefit obligation as of December 31, 20X5. State any assumptions made and show your work. 
(ii) The current service cost for fiscal year 20X6. State any assumptions made and show your work.
(iii) The interest cost for fiscal year 20X6. State any assumptions made and show your work.</t>
  </si>
  <si>
    <t>Change in Claim Reserve</t>
  </si>
  <si>
    <t>Claim Reserve</t>
  </si>
  <si>
    <t>Monthly Benefit</t>
  </si>
  <si>
    <t>Interest</t>
  </si>
  <si>
    <t>Continuance</t>
  </si>
  <si>
    <t>Claim Termination Rate</t>
  </si>
  <si>
    <t>Claim Month</t>
  </si>
  <si>
    <t>Proposed Assumption</t>
  </si>
  <si>
    <t>Original Assumption</t>
  </si>
  <si>
    <t>3 year BP, so claim ends after 36 months of payments</t>
  </si>
  <si>
    <t>No inflation, so $6,000 is benefit for the entire life of the claim</t>
  </si>
  <si>
    <t>Indemnity, so full benefit is paid every month</t>
  </si>
  <si>
    <t>Claim was just submitted and elimination period is not yet satisfied.</t>
  </si>
  <si>
    <t>ANSWER</t>
  </si>
  <si>
    <r>
      <t>(</t>
    </r>
    <r>
      <rPr>
        <i/>
        <sz val="12"/>
        <color theme="1"/>
        <rFont val="Times New Roman"/>
        <family val="1"/>
      </rPr>
      <t>3 points</t>
    </r>
    <r>
      <rPr>
        <sz val="12"/>
        <color theme="1"/>
        <rFont val="Times New Roman"/>
        <family val="1"/>
      </rPr>
      <t>)  Calculate the change in the claim reserve based on your recommendation from part (b)(ii). State any assumptions made and show your work.</t>
    </r>
  </si>
  <si>
    <t>End of Month</t>
  </si>
  <si>
    <t>Claim Payment Timing</t>
  </si>
  <si>
    <t>Annual Interest Rate</t>
  </si>
  <si>
    <t>Yes</t>
  </si>
  <si>
    <t>Indemnity Rider</t>
  </si>
  <si>
    <t>None</t>
  </si>
  <si>
    <t>Inflation option</t>
  </si>
  <si>
    <t>3 months</t>
  </si>
  <si>
    <t>Elimination Period</t>
  </si>
  <si>
    <t>3 years</t>
  </si>
  <si>
    <t>Benefit Period</t>
  </si>
  <si>
    <t>You are given the following relevant information for a new claimant who just became benefit eligible.</t>
  </si>
  <si>
    <t>(c)</t>
  </si>
  <si>
    <t>37+</t>
  </si>
  <si>
    <t>25-36</t>
  </si>
  <si>
    <t>19-24</t>
  </si>
  <si>
    <t>13-18</t>
  </si>
  <si>
    <t>7-12</t>
  </si>
  <si>
    <t>4-6</t>
  </si>
  <si>
    <t>1-3</t>
  </si>
  <si>
    <t>Actual-to-Expected</t>
  </si>
  <si>
    <r>
      <t>Proposed Claim Termination Rate</t>
    </r>
    <r>
      <rPr>
        <sz val="8"/>
        <color theme="1"/>
        <rFont val="Times New Roman"/>
        <family val="1"/>
      </rPr>
      <t> </t>
    </r>
  </si>
  <si>
    <r>
      <t>(b)(ii)     (</t>
    </r>
    <r>
      <rPr>
        <i/>
        <sz val="12"/>
        <color theme="1"/>
        <rFont val="Times New Roman"/>
        <family val="1"/>
      </rPr>
      <t>1 point</t>
    </r>
    <r>
      <rPr>
        <sz val="12"/>
        <color theme="1"/>
        <rFont val="Times New Roman"/>
        <family val="1"/>
      </rPr>
      <t>) Recommend updated claim termination rates. Justify your recommendation.</t>
    </r>
  </si>
  <si>
    <t>Total</t>
  </si>
  <si>
    <t>Expected Claim Termination Rate</t>
  </si>
  <si>
    <t>Actual Claim Termination Rate</t>
  </si>
  <si>
    <t>The table below provides the results of an actual-to-expected long-term care (LTC) claim termination rate analysis.</t>
  </si>
  <si>
    <t>(b)</t>
  </si>
  <si>
    <t>Question 4</t>
  </si>
  <si>
    <t>(Equity * Convexity upper bound + Liability * Convexity liability)/Assets</t>
  </si>
  <si>
    <t>=</t>
  </si>
  <si>
    <t>Convexity of Asset Higher Bound</t>
  </si>
  <si>
    <t>(Equity * Convexity lower bound + Liability * Convexity liability)/Assets</t>
  </si>
  <si>
    <t>Convexity of Asset Lower Bound</t>
  </si>
  <si>
    <t>(Equity * Duration of higher bound + Liability * Duration of liability)/Assets</t>
  </si>
  <si>
    <t>Duration of Asset High Bound</t>
  </si>
  <si>
    <t>(Equity * Duration of lower bound + Liability * Duration of liability)/Assets</t>
  </si>
  <si>
    <t>Duration of Asset Low Bound</t>
  </si>
  <si>
    <t>Assets - Liability</t>
  </si>
  <si>
    <t>Equity</t>
  </si>
  <si>
    <t>Calculate the upper and lower bounds that satisfy management’s goals for asset duration and convexity. State any assumptions made and show your work.</t>
  </si>
  <si>
    <t>Duration of equity higher bound</t>
  </si>
  <si>
    <t>Duration of equity lower bound</t>
  </si>
  <si>
    <t>Duration Liability</t>
  </si>
  <si>
    <t>Convexity Equity Upper Bound</t>
  </si>
  <si>
    <t>Convexity Equity Lower Bound</t>
  </si>
  <si>
    <t>Liability Convexity</t>
  </si>
  <si>
    <t>Liabilities</t>
  </si>
  <si>
    <t>Assets</t>
  </si>
  <si>
    <t>Given the following information:</t>
  </si>
  <si>
    <t>Change in Assets - Change in Liabilities</t>
  </si>
  <si>
    <t>Change in equity</t>
  </si>
  <si>
    <t>Liabilities * Duration of Liabilities * Change in interest rates</t>
  </si>
  <si>
    <t>Change in Liabilities</t>
  </si>
  <si>
    <t>Assets * Duration of Assets * Change in interest rates</t>
  </si>
  <si>
    <t>Change in Assets</t>
  </si>
  <si>
    <t>Change in interest rates</t>
  </si>
  <si>
    <t>Duration Liabilities</t>
  </si>
  <si>
    <t>Duration Assets</t>
  </si>
  <si>
    <t>Liability</t>
  </si>
  <si>
    <t>Solution 2:</t>
  </si>
  <si>
    <t>150*-2.8333*-1%</t>
  </si>
  <si>
    <t>Equity * Duration of Equity * -Change in Interest rates</t>
  </si>
  <si>
    <t>Approximate change in equity</t>
  </si>
  <si>
    <t>8.5 + (850/150) * (8.5 - 10.5)</t>
  </si>
  <si>
    <t>Duration of assets + (liability/equity) * (duration assets - duration liability)</t>
  </si>
  <si>
    <t>Duration Equity</t>
  </si>
  <si>
    <t>Solution 1:</t>
  </si>
  <si>
    <t>Two possible solutions to arrive at the correct answer</t>
  </si>
  <si>
    <t>Calculate the change to the equity for the block. State any assumptions made and show your work.</t>
  </si>
  <si>
    <t>121+</t>
  </si>
  <si>
    <t>Age at Claim Incurral</t>
  </si>
  <si>
    <t>Continuance Table</t>
  </si>
  <si>
    <t>Question 7</t>
  </si>
  <si>
    <t>Continuance Rate</t>
  </si>
  <si>
    <t>Time</t>
  </si>
  <si>
    <t>Note - calculation ends once continance rates reach 0 since the benefit period is lifetime.</t>
  </si>
  <si>
    <t>Note - calculation ends after 24 additional months because full 4-year benefit will be used at that point.</t>
  </si>
  <si>
    <t>Note - policyholder has been on claim for 5.5 years, so time 0 is equal to month 66 from continuance table.</t>
  </si>
  <si>
    <t>Note - policyholder has been on claim for 2 years, so time 0 is equal to month 24 from continuance table.</t>
  </si>
  <si>
    <t>Claimant 2</t>
  </si>
  <si>
    <t>Claimant 1</t>
  </si>
  <si>
    <t>Indemnity benefit, so full amount paid each month</t>
  </si>
  <si>
    <t>Payments are mid-month so using average continuance</t>
  </si>
  <si>
    <t>Assumptions</t>
  </si>
  <si>
    <r>
      <t xml:space="preserve">(c)             </t>
    </r>
    <r>
      <rPr>
        <i/>
        <sz val="12"/>
        <color theme="1"/>
        <rFont val="Times New Roman"/>
        <family val="1"/>
      </rPr>
      <t>(4 points)</t>
    </r>
    <r>
      <rPr>
        <sz val="12"/>
        <color theme="1"/>
        <rFont val="Times New Roman"/>
        <family val="1"/>
      </rPr>
      <t xml:space="preserve">  Calculate the claim reserve for each policy. Show your work.</t>
    </r>
  </si>
  <si>
    <r>
      <t>·</t>
    </r>
    <r>
      <rPr>
        <sz val="7"/>
        <color theme="1"/>
        <rFont val="Times New Roman"/>
        <family val="1"/>
      </rPr>
      <t xml:space="preserve">         </t>
    </r>
    <r>
      <rPr>
        <sz val="12"/>
        <color theme="1"/>
        <rFont val="Times New Roman"/>
        <family val="1"/>
      </rPr>
      <t>Annual interest rate of 4%</t>
    </r>
  </si>
  <si>
    <r>
      <t>·</t>
    </r>
    <r>
      <rPr>
        <sz val="7"/>
        <color theme="1"/>
        <rFont val="Times New Roman"/>
        <family val="1"/>
      </rPr>
      <t xml:space="preserve">         </t>
    </r>
    <r>
      <rPr>
        <sz val="12"/>
        <color theme="1"/>
        <rFont val="Times New Roman"/>
        <family val="1"/>
      </rPr>
      <t>The policies have indemnity riders.</t>
    </r>
  </si>
  <si>
    <r>
      <t>·</t>
    </r>
    <r>
      <rPr>
        <sz val="7"/>
        <color theme="1"/>
        <rFont val="Times New Roman"/>
        <family val="1"/>
      </rPr>
      <t xml:space="preserve">         </t>
    </r>
    <r>
      <rPr>
        <sz val="12"/>
        <color theme="1"/>
        <rFont val="Times New Roman"/>
        <family val="1"/>
      </rPr>
      <t>Claim payments are made in the middle of the month.</t>
    </r>
  </si>
  <si>
    <r>
      <t>·</t>
    </r>
    <r>
      <rPr>
        <sz val="7"/>
        <color theme="1"/>
        <rFont val="Times New Roman"/>
        <family val="1"/>
      </rPr>
      <t xml:space="preserve">         </t>
    </r>
    <r>
      <rPr>
        <sz val="12"/>
        <color theme="1"/>
        <rFont val="Times New Roman"/>
        <family val="1"/>
      </rPr>
      <t>Both claims were incurred on the policy anniversary, right after any contractual inflation of the monthly benefit occurred.</t>
    </r>
  </si>
  <si>
    <t>Other Relevant Assumptions</t>
  </si>
  <si>
    <t>Inflation Protection (Annual)</t>
  </si>
  <si>
    <t>0-day</t>
  </si>
  <si>
    <t>Lifetime</t>
  </si>
  <si>
    <t>4-year</t>
  </si>
  <si>
    <t>Current Monthly Benefit Amount</t>
  </si>
  <si>
    <t>Current Age</t>
  </si>
  <si>
    <t>Claimant Data</t>
  </si>
  <si>
    <t>Claim and policy information for two LTC policyholders is provided below. Claim continuance assumptions are provided on the 'Continuance Rates'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</si>
</sst>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_(* #,##0_);_(* \(#,##0\);_(* &quot;-&quot;??_);_(@_)"/>
    <numFmt numFmtId="167" formatCode="&quot;$&quot;#,##0;[Red]\-&quot;$&quot;#,##0"/>
    <numFmt numFmtId="168" formatCode="&quot;$&quot;#,##0.00"/>
    <numFmt numFmtId="169" formatCode="&quot;$&quot;#,##0"/>
    <numFmt numFmtId="170" formatCode="0.000"/>
    <numFmt numFmtId="171" formatCode="0.00000"/>
    <numFmt numFmtId="172" formatCode="#,##0.000"/>
    <numFmt numFmtId="173" formatCode="#,##0.0000"/>
    <numFmt numFmtId="174" formatCode="#,##0.0;[Red]\-#,##0.0"/>
    <numFmt numFmtId="175" formatCode="#,##0_ ;[Red]\-#,##0\ "/>
    <numFmt numFmtId="176" formatCode="#,##0.00000"/>
  </numFmts>
  <fonts count="19" x14ac:knownFonts="1">
    <font>
      <sz val="11"/>
      <color theme="1"/>
      <name val="Aptos Narrow"/>
      <family val="2"/>
      <scheme val="minor"/>
    </font>
    <font>
      <sz val="11"/>
      <color theme="1"/>
      <name val="Aptos Narrow"/>
      <family val="2"/>
      <scheme val="minor"/>
    </font>
    <font>
      <sz val="12"/>
      <color theme="1"/>
      <name val="Times New Roman"/>
      <family val="1"/>
    </font>
    <font>
      <b/>
      <sz val="12"/>
      <color theme="1"/>
      <name val="Times New Roman"/>
      <family val="1"/>
    </font>
    <font>
      <sz val="10"/>
      <color rgb="FF000000"/>
      <name val="Arial"/>
      <family val="2"/>
    </font>
    <font>
      <sz val="10"/>
      <color theme="1"/>
      <name val="Arial"/>
      <family val="2"/>
    </font>
    <font>
      <sz val="10"/>
      <name val="Arial"/>
      <family val="2"/>
    </font>
    <font>
      <sz val="11"/>
      <color rgb="FFFF0000"/>
      <name val="Aptos Narrow"/>
      <family val="2"/>
      <scheme val="minor"/>
    </font>
    <font>
      <b/>
      <sz val="11"/>
      <color theme="1"/>
      <name val="Aptos Narrow"/>
      <family val="2"/>
      <scheme val="minor"/>
    </font>
    <font>
      <sz val="11"/>
      <color theme="1"/>
      <name val="Arial"/>
      <family val="2"/>
    </font>
    <font>
      <b/>
      <sz val="11"/>
      <color theme="1"/>
      <name val="Arial"/>
      <family val="2"/>
    </font>
    <font>
      <sz val="12"/>
      <color theme="1"/>
      <name val="Symbol"/>
      <family val="1"/>
      <charset val="2"/>
    </font>
    <font>
      <i/>
      <sz val="12"/>
      <color theme="1"/>
      <name val="Times New Roman"/>
      <family val="1"/>
    </font>
    <font>
      <sz val="12"/>
      <color rgb="FFFF0000"/>
      <name val="Times New Roman"/>
      <family val="1"/>
    </font>
    <font>
      <sz val="8"/>
      <color theme="1"/>
      <name val="Times New Roman"/>
      <family val="1"/>
    </font>
    <font>
      <b/>
      <sz val="18"/>
      <color theme="1"/>
      <name val="Aptos Narrow"/>
      <family val="2"/>
      <scheme val="minor"/>
    </font>
    <font>
      <sz val="11"/>
      <name val="Aptos Narrow"/>
      <family val="2"/>
      <scheme val="minor"/>
    </font>
    <font>
      <u/>
      <sz val="11"/>
      <color theme="1"/>
      <name val="Aptos Narrow"/>
      <family val="2"/>
      <scheme val="minor"/>
    </font>
    <font>
      <sz val="7"/>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cellStyleXfs>
  <cellXfs count="191">
    <xf numFmtId="0" fontId="0" fillId="0" borderId="0" xfId="0"/>
    <xf numFmtId="0" fontId="2" fillId="2" borderId="0" xfId="0" applyFont="1" applyFill="1" applyAlignment="1">
      <alignment horizontal="left" indent="2"/>
    </xf>
    <xf numFmtId="0" fontId="2" fillId="2" borderId="0" xfId="0" applyFont="1" applyFill="1"/>
    <xf numFmtId="0" fontId="2" fillId="0" borderId="0" xfId="0" applyFont="1"/>
    <xf numFmtId="0" fontId="3" fillId="2" borderId="0" xfId="0" applyFont="1" applyFill="1"/>
    <xf numFmtId="0" fontId="2" fillId="0" borderId="0" xfId="0" applyFont="1" applyAlignment="1">
      <alignment vertical="center"/>
    </xf>
    <xf numFmtId="0" fontId="2" fillId="2" borderId="0" xfId="0" applyFont="1" applyFill="1" applyAlignment="1">
      <alignment horizontal="left" vertical="center" indent="5"/>
    </xf>
    <xf numFmtId="0" fontId="3" fillId="0" borderId="0" xfId="0" applyFont="1"/>
    <xf numFmtId="0" fontId="2" fillId="0" borderId="3" xfId="0" applyFont="1" applyBorder="1" applyAlignment="1">
      <alignment horizontal="center" vertical="center" wrapText="1"/>
    </xf>
    <xf numFmtId="164"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5" fontId="2" fillId="0" borderId="7" xfId="2" applyNumberFormat="1" applyFont="1" applyBorder="1" applyAlignment="1">
      <alignment horizontal="center" vertical="center" wrapText="1"/>
    </xf>
    <xf numFmtId="0" fontId="2" fillId="0" borderId="8" xfId="0" applyFont="1" applyBorder="1" applyAlignment="1">
      <alignment horizontal="center" vertical="center" wrapText="1"/>
    </xf>
    <xf numFmtId="165" fontId="2" fillId="0" borderId="9" xfId="2" applyNumberFormat="1" applyFont="1" applyBorder="1" applyAlignment="1">
      <alignment horizontal="center" vertical="center" wrapText="1"/>
    </xf>
    <xf numFmtId="0" fontId="2" fillId="0" borderId="10"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164" fontId="2" fillId="0" borderId="11" xfId="0" applyNumberFormat="1" applyFont="1" applyBorder="1" applyAlignment="1">
      <alignment horizontal="center" vertical="center" wrapText="1"/>
    </xf>
    <xf numFmtId="0" fontId="3" fillId="0" borderId="12" xfId="0" applyFont="1" applyBorder="1"/>
    <xf numFmtId="166" fontId="3" fillId="0" borderId="12" xfId="1" applyNumberFormat="1" applyFont="1" applyBorder="1"/>
    <xf numFmtId="166" fontId="2" fillId="0" borderId="12" xfId="1" applyNumberFormat="1" applyFont="1" applyBorder="1"/>
    <xf numFmtId="0" fontId="2" fillId="0" borderId="12" xfId="0" applyFont="1" applyBorder="1"/>
    <xf numFmtId="9" fontId="2" fillId="0" borderId="12" xfId="2" applyFont="1" applyBorder="1"/>
    <xf numFmtId="10" fontId="3" fillId="0" borderId="12" xfId="2" applyNumberFormat="1" applyFont="1" applyBorder="1"/>
    <xf numFmtId="0" fontId="9" fillId="0" borderId="0" xfId="0" applyFont="1"/>
    <xf numFmtId="9" fontId="9" fillId="0" borderId="14" xfId="0" applyNumberFormat="1" applyFont="1" applyBorder="1"/>
    <xf numFmtId="9" fontId="9" fillId="0" borderId="15" xfId="0" applyNumberFormat="1" applyFont="1" applyBorder="1"/>
    <xf numFmtId="0" fontId="9" fillId="0" borderId="16" xfId="0" applyFont="1" applyBorder="1"/>
    <xf numFmtId="0" fontId="9" fillId="0" borderId="17" xfId="0" applyFont="1" applyBorder="1"/>
    <xf numFmtId="0" fontId="9" fillId="0" borderId="18" xfId="0" applyFont="1" applyBorder="1"/>
    <xf numFmtId="0" fontId="9" fillId="0" borderId="19" xfId="0" applyFont="1" applyBorder="1"/>
    <xf numFmtId="3" fontId="9" fillId="0" borderId="17" xfId="0" applyNumberFormat="1" applyFont="1" applyBorder="1"/>
    <xf numFmtId="3" fontId="9" fillId="0" borderId="18" xfId="0" applyNumberFormat="1" applyFont="1" applyBorder="1"/>
    <xf numFmtId="167" fontId="9" fillId="0" borderId="17" xfId="0" applyNumberFormat="1" applyFont="1" applyBorder="1"/>
    <xf numFmtId="167" fontId="9" fillId="0" borderId="18" xfId="0" applyNumberFormat="1" applyFont="1" applyBorder="1"/>
    <xf numFmtId="15" fontId="9" fillId="0" borderId="20" xfId="0" applyNumberFormat="1" applyFont="1" applyBorder="1" applyAlignment="1">
      <alignment horizontal="right"/>
    </xf>
    <xf numFmtId="15" fontId="9" fillId="0" borderId="21" xfId="0" applyNumberFormat="1" applyFont="1" applyBorder="1" applyAlignment="1">
      <alignment horizontal="right"/>
    </xf>
    <xf numFmtId="0" fontId="9" fillId="0" borderId="22" xfId="0" applyFont="1" applyBorder="1"/>
    <xf numFmtId="0" fontId="9" fillId="0" borderId="11" xfId="0" applyFont="1" applyBorder="1"/>
    <xf numFmtId="0" fontId="10" fillId="0" borderId="11" xfId="0" applyFont="1" applyBorder="1"/>
    <xf numFmtId="0" fontId="9" fillId="0" borderId="4" xfId="0" applyFont="1" applyBorder="1"/>
    <xf numFmtId="15" fontId="9" fillId="0" borderId="11" xfId="0" applyNumberFormat="1" applyFont="1" applyBorder="1" applyAlignment="1">
      <alignment horizontal="right"/>
    </xf>
    <xf numFmtId="0" fontId="9" fillId="0" borderId="23" xfId="0" applyFont="1" applyBorder="1"/>
    <xf numFmtId="10" fontId="9" fillId="0" borderId="0" xfId="0" applyNumberFormat="1" applyFont="1" applyAlignment="1">
      <alignment horizontal="right" wrapText="1"/>
    </xf>
    <xf numFmtId="10" fontId="9" fillId="0" borderId="0" xfId="0" applyNumberFormat="1" applyFont="1"/>
    <xf numFmtId="0" fontId="9" fillId="0" borderId="24" xfId="0" applyFont="1" applyBorder="1"/>
    <xf numFmtId="10" fontId="9" fillId="0" borderId="25" xfId="0" applyNumberFormat="1" applyFont="1" applyBorder="1"/>
    <xf numFmtId="0" fontId="9" fillId="0" borderId="26" xfId="0" applyFont="1" applyBorder="1"/>
    <xf numFmtId="0" fontId="10" fillId="0" borderId="0" xfId="0" applyFont="1"/>
    <xf numFmtId="168" fontId="10" fillId="0" borderId="0" xfId="0" applyNumberFormat="1" applyFont="1"/>
    <xf numFmtId="9" fontId="9" fillId="0" borderId="0" xfId="0" applyNumberFormat="1" applyFont="1"/>
    <xf numFmtId="168" fontId="10" fillId="3" borderId="0" xfId="0" applyNumberFormat="1" applyFont="1" applyFill="1"/>
    <xf numFmtId="0" fontId="10" fillId="3" borderId="0" xfId="0" applyFont="1" applyFill="1"/>
    <xf numFmtId="168" fontId="9" fillId="0" borderId="0" xfId="0" applyNumberFormat="1" applyFont="1"/>
    <xf numFmtId="2" fontId="9" fillId="0" borderId="0" xfId="0" applyNumberFormat="1" applyFont="1"/>
    <xf numFmtId="167" fontId="9" fillId="0" borderId="0" xfId="0" applyNumberFormat="1" applyFont="1"/>
    <xf numFmtId="3" fontId="9" fillId="0" borderId="0" xfId="0" applyNumberFormat="1" applyFont="1"/>
    <xf numFmtId="169" fontId="9" fillId="0" borderId="0" xfId="0" applyNumberFormat="1" applyFont="1"/>
    <xf numFmtId="15" fontId="10" fillId="0" borderId="0" xfId="0" applyNumberFormat="1" applyFont="1" applyAlignment="1">
      <alignment horizontal="right"/>
    </xf>
    <xf numFmtId="0" fontId="10" fillId="0" borderId="0" xfId="0" quotePrefix="1" applyFont="1"/>
    <xf numFmtId="0" fontId="9" fillId="0" borderId="0" xfId="0" applyFont="1" applyAlignment="1">
      <alignment horizontal="left" vertical="center" indent="2"/>
    </xf>
    <xf numFmtId="0" fontId="10" fillId="0" borderId="0" xfId="0" applyFont="1" applyAlignment="1">
      <alignment vertical="center"/>
    </xf>
    <xf numFmtId="170" fontId="9" fillId="0" borderId="0" xfId="0" applyNumberFormat="1" applyFont="1"/>
    <xf numFmtId="1" fontId="9" fillId="0" borderId="0" xfId="0" applyNumberFormat="1" applyFont="1"/>
    <xf numFmtId="10" fontId="9" fillId="0" borderId="11" xfId="0" applyNumberFormat="1" applyFont="1" applyBorder="1" applyAlignment="1">
      <alignment horizontal="right"/>
    </xf>
    <xf numFmtId="0" fontId="9" fillId="0" borderId="23" xfId="0" applyFont="1" applyBorder="1" applyAlignment="1">
      <alignment horizontal="right" wrapText="1"/>
    </xf>
    <xf numFmtId="10" fontId="9" fillId="0" borderId="0" xfId="0" applyNumberFormat="1" applyFont="1" applyAlignment="1">
      <alignment horizontal="right"/>
    </xf>
    <xf numFmtId="1" fontId="9" fillId="0" borderId="0" xfId="0" applyNumberFormat="1" applyFont="1" applyAlignment="1">
      <alignment horizontal="right" wrapText="1"/>
    </xf>
    <xf numFmtId="0" fontId="9" fillId="0" borderId="25" xfId="0" applyFont="1" applyBorder="1"/>
    <xf numFmtId="0" fontId="9" fillId="0" borderId="4" xfId="0" applyFont="1" applyBorder="1" applyAlignment="1">
      <alignment horizontal="center" vertical="center" wrapText="1"/>
    </xf>
    <xf numFmtId="0" fontId="9" fillId="0" borderId="16" xfId="0" applyFont="1" applyBorder="1" applyAlignment="1">
      <alignment horizontal="left" vertical="center" wrapText="1"/>
    </xf>
    <xf numFmtId="0" fontId="9" fillId="0" borderId="23" xfId="0" applyFont="1" applyBorder="1" applyAlignment="1">
      <alignment horizontal="center" vertical="center" wrapText="1"/>
    </xf>
    <xf numFmtId="0" fontId="9" fillId="0" borderId="19" xfId="0" applyFont="1" applyBorder="1" applyAlignment="1">
      <alignment horizontal="left" vertical="center" wrapText="1"/>
    </xf>
    <xf numFmtId="0" fontId="9" fillId="0" borderId="24" xfId="0" applyFont="1" applyBorder="1" applyAlignment="1">
      <alignment horizontal="center" vertical="center" wrapText="1"/>
    </xf>
    <xf numFmtId="0" fontId="9" fillId="0" borderId="26" xfId="0" applyFont="1" applyBorder="1" applyAlignment="1">
      <alignment horizontal="left" vertical="center" wrapText="1"/>
    </xf>
    <xf numFmtId="0" fontId="9" fillId="0" borderId="0" xfId="0" applyFont="1"/>
    <xf numFmtId="0" fontId="10" fillId="0" borderId="0" xfId="0" applyFont="1" applyAlignment="1">
      <alignment wrapText="1"/>
    </xf>
    <xf numFmtId="171" fontId="9" fillId="0" borderId="27" xfId="0" applyNumberFormat="1" applyFont="1" applyBorder="1"/>
    <xf numFmtId="171" fontId="9" fillId="0" borderId="28" xfId="0" applyNumberFormat="1" applyFont="1" applyBorder="1"/>
    <xf numFmtId="0" fontId="9" fillId="0" borderId="29" xfId="0" applyFont="1" applyBorder="1" applyAlignment="1">
      <alignment horizontal="center"/>
    </xf>
    <xf numFmtId="171" fontId="9" fillId="0" borderId="30" xfId="0" applyNumberFormat="1" applyFont="1" applyBorder="1"/>
    <xf numFmtId="171" fontId="9" fillId="0" borderId="0" xfId="0" applyNumberFormat="1" applyFont="1"/>
    <xf numFmtId="0" fontId="9" fillId="0" borderId="18" xfId="0" applyFont="1" applyBorder="1" applyAlignment="1">
      <alignment horizontal="center"/>
    </xf>
    <xf numFmtId="0" fontId="10" fillId="0" borderId="31" xfId="0" applyFont="1" applyBorder="1" applyAlignment="1">
      <alignment horizontal="right"/>
    </xf>
    <xf numFmtId="0" fontId="10" fillId="0" borderId="32" xfId="0" applyFont="1" applyBorder="1" applyAlignment="1">
      <alignment horizontal="right"/>
    </xf>
    <xf numFmtId="0" fontId="10" fillId="0" borderId="12" xfId="0" applyFont="1" applyBorder="1" applyAlignment="1">
      <alignment horizontal="center"/>
    </xf>
    <xf numFmtId="10" fontId="9" fillId="0" borderId="29" xfId="2" applyNumberFormat="1" applyFont="1" applyBorder="1"/>
    <xf numFmtId="10" fontId="9" fillId="0" borderId="18" xfId="2" applyNumberFormat="1" applyFont="1" applyBorder="1"/>
    <xf numFmtId="0" fontId="10" fillId="0" borderId="12" xfId="0" applyFont="1" applyBorder="1" applyAlignment="1">
      <alignment horizontal="right"/>
    </xf>
    <xf numFmtId="4" fontId="10" fillId="0" borderId="0" xfId="0" applyNumberFormat="1" applyFont="1"/>
    <xf numFmtId="4" fontId="9" fillId="0" borderId="0" xfId="0" applyNumberFormat="1" applyFont="1"/>
    <xf numFmtId="0" fontId="9" fillId="0" borderId="0" xfId="0" applyFont="1" applyAlignment="1">
      <alignment horizontal="left"/>
    </xf>
    <xf numFmtId="0" fontId="9" fillId="0" borderId="33" xfId="0" applyFont="1" applyBorder="1" applyAlignment="1">
      <alignment horizontal="center"/>
    </xf>
    <xf numFmtId="170" fontId="9" fillId="0" borderId="34" xfId="0" applyNumberFormat="1" applyFont="1" applyBorder="1"/>
    <xf numFmtId="168" fontId="9" fillId="0" borderId="34" xfId="0" applyNumberFormat="1" applyFont="1" applyBorder="1"/>
    <xf numFmtId="10" fontId="9" fillId="0" borderId="34" xfId="0" applyNumberFormat="1" applyFont="1" applyBorder="1"/>
    <xf numFmtId="0" fontId="9" fillId="0" borderId="35" xfId="0" applyFont="1" applyBorder="1" applyAlignment="1">
      <alignment horizontal="center"/>
    </xf>
    <xf numFmtId="0" fontId="10" fillId="0" borderId="28" xfId="0" applyFont="1" applyBorder="1" applyAlignment="1">
      <alignment horizontal="right" wrapText="1"/>
    </xf>
    <xf numFmtId="0" fontId="10" fillId="0" borderId="36" xfId="0" applyFont="1" applyBorder="1" applyAlignment="1">
      <alignment horizontal="center" wrapText="1"/>
    </xf>
    <xf numFmtId="0" fontId="9" fillId="0" borderId="0" xfId="0" quotePrefix="1" applyFont="1"/>
    <xf numFmtId="0" fontId="9" fillId="3" borderId="0" xfId="0" applyFont="1" applyFill="1" applyAlignment="1">
      <alignment horizontal="center"/>
    </xf>
    <xf numFmtId="0" fontId="9" fillId="0" borderId="0" xfId="0" applyFont="1" applyAlignment="1">
      <alignment horizontal="center"/>
    </xf>
    <xf numFmtId="168" fontId="9" fillId="3" borderId="4" xfId="0" applyNumberFormat="1" applyFont="1" applyFill="1" applyBorder="1" applyAlignment="1">
      <alignment horizontal="center"/>
    </xf>
    <xf numFmtId="168" fontId="9" fillId="3" borderId="11" xfId="0" applyNumberFormat="1" applyFont="1" applyFill="1" applyBorder="1" applyAlignment="1">
      <alignment horizontal="center"/>
    </xf>
    <xf numFmtId="168" fontId="9" fillId="0" borderId="11" xfId="0" applyNumberFormat="1" applyFont="1" applyBorder="1" applyAlignment="1">
      <alignment horizontal="center"/>
    </xf>
    <xf numFmtId="1" fontId="9" fillId="0" borderId="11" xfId="0" applyNumberFormat="1" applyFont="1" applyBorder="1" applyAlignment="1">
      <alignment horizontal="center"/>
    </xf>
    <xf numFmtId="0" fontId="9" fillId="0" borderId="11" xfId="0" applyFont="1" applyBorder="1" applyAlignment="1">
      <alignment horizontal="center"/>
    </xf>
    <xf numFmtId="0" fontId="9" fillId="0" borderId="37" xfId="0" applyFont="1" applyBorder="1" applyAlignment="1">
      <alignment horizontal="center"/>
    </xf>
    <xf numFmtId="0" fontId="9" fillId="0" borderId="33" xfId="0" applyFont="1" applyBorder="1"/>
    <xf numFmtId="0" fontId="10" fillId="0" borderId="6" xfId="0" applyFont="1" applyBorder="1" applyAlignment="1">
      <alignment horizontal="center" wrapText="1"/>
    </xf>
    <xf numFmtId="0" fontId="10" fillId="0" borderId="38" xfId="0" applyFont="1" applyBorder="1" applyAlignment="1">
      <alignment horizontal="center" wrapText="1"/>
    </xf>
    <xf numFmtId="0" fontId="10" fillId="0" borderId="39" xfId="0" applyFont="1" applyBorder="1" applyAlignment="1">
      <alignment horizontal="center" wrapText="1"/>
    </xf>
    <xf numFmtId="0" fontId="0" fillId="0" borderId="0" xfId="0"/>
    <xf numFmtId="6" fontId="0" fillId="0" borderId="0" xfId="0" applyNumberFormat="1"/>
    <xf numFmtId="172" fontId="0" fillId="0" borderId="0" xfId="0" applyNumberFormat="1"/>
    <xf numFmtId="173" fontId="0" fillId="0" borderId="0" xfId="0" applyNumberFormat="1"/>
    <xf numFmtId="165" fontId="0" fillId="0" borderId="29" xfId="0" applyNumberFormat="1" applyBorder="1"/>
    <xf numFmtId="165" fontId="0" fillId="0" borderId="18" xfId="0" applyNumberFormat="1" applyBorder="1"/>
    <xf numFmtId="165" fontId="0" fillId="0" borderId="40" xfId="0" applyNumberFormat="1" applyBorder="1"/>
    <xf numFmtId="4" fontId="0" fillId="0" borderId="0" xfId="0" applyNumberFormat="1"/>
    <xf numFmtId="3" fontId="0" fillId="3" borderId="0" xfId="0" applyNumberFormat="1" applyFill="1"/>
    <xf numFmtId="3" fontId="0" fillId="0" borderId="0" xfId="0" applyNumberFormat="1"/>
    <xf numFmtId="3" fontId="8" fillId="0" borderId="0" xfId="0" applyNumberFormat="1" applyFont="1"/>
    <xf numFmtId="0" fontId="0" fillId="2" borderId="0" xfId="0" applyFill="1"/>
    <xf numFmtId="0" fontId="11" fillId="2" borderId="0" xfId="0" applyFont="1" applyFill="1" applyAlignment="1">
      <alignment horizontal="left" vertical="center" indent="5"/>
    </xf>
    <xf numFmtId="0" fontId="2" fillId="2" borderId="12" xfId="0" applyFont="1" applyFill="1" applyBorder="1" applyAlignment="1">
      <alignment horizontal="right" vertical="center"/>
    </xf>
    <xf numFmtId="0" fontId="2" fillId="2" borderId="12" xfId="0" applyFont="1" applyFill="1" applyBorder="1" applyAlignment="1">
      <alignment vertical="center"/>
    </xf>
    <xf numFmtId="9" fontId="2" fillId="2" borderId="12" xfId="0" applyNumberFormat="1" applyFont="1" applyFill="1" applyBorder="1" applyAlignment="1">
      <alignment horizontal="right" vertical="center"/>
    </xf>
    <xf numFmtId="0" fontId="13" fillId="2" borderId="0" xfId="0" applyFont="1" applyFill="1"/>
    <xf numFmtId="6" fontId="2" fillId="2" borderId="12" xfId="0" applyNumberFormat="1" applyFont="1" applyFill="1" applyBorder="1" applyAlignment="1">
      <alignment horizontal="right" vertical="center"/>
    </xf>
    <xf numFmtId="0" fontId="2" fillId="2" borderId="0" xfId="0" applyFont="1" applyFill="1" applyAlignment="1">
      <alignment vertical="center"/>
    </xf>
    <xf numFmtId="0" fontId="2" fillId="2" borderId="0" xfId="0" applyFont="1" applyFill="1" applyAlignment="1">
      <alignment horizontal="center" vertical="center"/>
    </xf>
    <xf numFmtId="0" fontId="14" fillId="0" borderId="0" xfId="0" applyFont="1" applyAlignment="1">
      <alignment vertical="center"/>
    </xf>
    <xf numFmtId="4" fontId="2" fillId="0" borderId="12" xfId="0" applyNumberFormat="1" applyFont="1" applyBorder="1" applyAlignment="1">
      <alignment horizontal="right" vertical="center" wrapText="1"/>
    </xf>
    <xf numFmtId="10" fontId="2" fillId="0" borderId="12" xfId="0" applyNumberFormat="1" applyFont="1" applyBorder="1" applyAlignment="1">
      <alignment horizontal="right" vertical="center" wrapText="1"/>
    </xf>
    <xf numFmtId="0" fontId="2" fillId="0" borderId="12" xfId="0" applyFont="1" applyBorder="1" applyAlignment="1">
      <alignment vertical="center" wrapText="1"/>
    </xf>
    <xf numFmtId="16" fontId="2" fillId="0" borderId="12" xfId="0" quotePrefix="1" applyNumberFormat="1" applyFont="1" applyBorder="1" applyAlignment="1">
      <alignment vertical="center" wrapText="1"/>
    </xf>
    <xf numFmtId="0" fontId="2" fillId="0" borderId="12" xfId="0" applyFont="1" applyBorder="1" applyAlignment="1">
      <alignment horizontal="right" vertical="center" wrapText="1"/>
    </xf>
    <xf numFmtId="0" fontId="2" fillId="2" borderId="0" xfId="0" applyFont="1" applyFill="1" applyAlignment="1">
      <alignment horizontal="right" vertical="center" wrapText="1"/>
    </xf>
    <xf numFmtId="10" fontId="2" fillId="2" borderId="0" xfId="0" applyNumberFormat="1" applyFont="1" applyFill="1" applyAlignment="1">
      <alignment horizontal="right" vertical="center" wrapText="1"/>
    </xf>
    <xf numFmtId="0" fontId="2" fillId="2" borderId="0" xfId="0" applyFont="1" applyFill="1" applyAlignment="1">
      <alignment vertical="center" wrapText="1"/>
    </xf>
    <xf numFmtId="4" fontId="2" fillId="2" borderId="0" xfId="0" applyNumberFormat="1" applyFont="1" applyFill="1"/>
    <xf numFmtId="4" fontId="2" fillId="2" borderId="12" xfId="0" applyNumberFormat="1" applyFont="1" applyFill="1" applyBorder="1" applyAlignment="1">
      <alignment horizontal="right" vertical="center" wrapText="1"/>
    </xf>
    <xf numFmtId="165" fontId="2" fillId="2" borderId="12" xfId="0" applyNumberFormat="1" applyFont="1" applyFill="1" applyBorder="1" applyAlignment="1">
      <alignment horizontal="right" vertical="center" wrapText="1"/>
    </xf>
    <xf numFmtId="0" fontId="2" fillId="2" borderId="12" xfId="0" applyFont="1" applyFill="1" applyBorder="1" applyAlignment="1">
      <alignment vertical="center" wrapText="1"/>
    </xf>
    <xf numFmtId="16" fontId="2" fillId="2" borderId="12" xfId="0" quotePrefix="1" applyNumberFormat="1" applyFont="1" applyFill="1" applyBorder="1" applyAlignment="1">
      <alignment vertical="center" wrapText="1"/>
    </xf>
    <xf numFmtId="0" fontId="2" fillId="2" borderId="12" xfId="0" applyFont="1" applyFill="1" applyBorder="1" applyAlignment="1">
      <alignment horizontal="right" vertical="center" wrapText="1"/>
    </xf>
    <xf numFmtId="0" fontId="2" fillId="2" borderId="0" xfId="0" applyFont="1" applyFill="1" applyAlignment="1">
      <alignment horizontal="left" vertical="center" indent="10"/>
    </xf>
    <xf numFmtId="0" fontId="15" fillId="2" borderId="0" xfId="0" quotePrefix="1" applyFont="1" applyFill="1" applyAlignment="1">
      <alignment horizontal="left"/>
    </xf>
    <xf numFmtId="167" fontId="9" fillId="0" borderId="0" xfId="0" applyNumberFormat="1" applyFont="1" applyAlignment="1">
      <alignment horizontal="left"/>
    </xf>
    <xf numFmtId="174" fontId="9" fillId="0" borderId="0" xfId="0" applyNumberFormat="1" applyFont="1"/>
    <xf numFmtId="0" fontId="9" fillId="0" borderId="37" xfId="0" applyFont="1" applyBorder="1"/>
    <xf numFmtId="0" fontId="9" fillId="0" borderId="41" xfId="0" applyFont="1" applyBorder="1"/>
    <xf numFmtId="174" fontId="9" fillId="0" borderId="23" xfId="0" applyNumberFormat="1" applyFont="1" applyBorder="1"/>
    <xf numFmtId="175" fontId="9" fillId="0" borderId="23" xfId="0" applyNumberFormat="1" applyFont="1" applyBorder="1"/>
    <xf numFmtId="167" fontId="9" fillId="0" borderId="23" xfId="0" applyNumberFormat="1" applyFont="1" applyBorder="1"/>
    <xf numFmtId="167" fontId="9" fillId="0" borderId="24" xfId="0" applyNumberFormat="1" applyFont="1" applyBorder="1"/>
    <xf numFmtId="0" fontId="9" fillId="0" borderId="42" xfId="0" applyFont="1" applyBorder="1"/>
    <xf numFmtId="9" fontId="9" fillId="0" borderId="4" xfId="0" applyNumberFormat="1" applyFont="1" applyBorder="1"/>
    <xf numFmtId="2" fontId="9" fillId="0" borderId="0" xfId="0" applyNumberFormat="1" applyFont="1" applyAlignment="1">
      <alignment horizontal="left"/>
    </xf>
    <xf numFmtId="0" fontId="9" fillId="0" borderId="0" xfId="0" quotePrefix="1" applyFont="1" applyAlignment="1">
      <alignment horizontal="left"/>
    </xf>
    <xf numFmtId="0" fontId="10" fillId="0" borderId="0" xfId="0" applyFont="1" applyAlignment="1">
      <alignment horizontal="left" vertical="center"/>
    </xf>
    <xf numFmtId="176" fontId="0" fillId="0" borderId="27" xfId="0" applyNumberFormat="1" applyBorder="1"/>
    <xf numFmtId="0" fontId="0" fillId="0" borderId="29" xfId="0" applyBorder="1" applyAlignment="1">
      <alignment horizontal="right"/>
    </xf>
    <xf numFmtId="176" fontId="0" fillId="0" borderId="30" xfId="0" applyNumberFormat="1" applyBorder="1"/>
    <xf numFmtId="0" fontId="0" fillId="0" borderId="18" xfId="0" applyBorder="1" applyAlignment="1">
      <alignment horizontal="right"/>
    </xf>
    <xf numFmtId="176" fontId="0" fillId="0" borderId="0" xfId="0" applyNumberFormat="1"/>
    <xf numFmtId="176" fontId="0" fillId="0" borderId="30" xfId="1" applyNumberFormat="1" applyFont="1" applyBorder="1"/>
    <xf numFmtId="2" fontId="0" fillId="0" borderId="31" xfId="0" applyNumberFormat="1" applyBorder="1"/>
    <xf numFmtId="0" fontId="0" fillId="0" borderId="12" xfId="0" applyBorder="1" applyAlignment="1">
      <alignment horizontal="right"/>
    </xf>
    <xf numFmtId="0" fontId="0" fillId="0" borderId="31" xfId="0" applyBorder="1" applyAlignment="1">
      <alignment horizontal="centerContinuous"/>
    </xf>
    <xf numFmtId="0" fontId="0" fillId="0" borderId="43" xfId="0" applyBorder="1" applyAlignment="1">
      <alignment horizontal="centerContinuous"/>
    </xf>
    <xf numFmtId="0" fontId="8" fillId="0" borderId="12" xfId="0" applyFont="1" applyBorder="1"/>
    <xf numFmtId="0" fontId="15" fillId="0" borderId="0" xfId="0" quotePrefix="1" applyFont="1" applyAlignment="1">
      <alignment horizontal="left"/>
    </xf>
    <xf numFmtId="2" fontId="0" fillId="0" borderId="0" xfId="0" applyNumberFormat="1"/>
    <xf numFmtId="170" fontId="7" fillId="0" borderId="0" xfId="0" applyNumberFormat="1" applyFont="1"/>
    <xf numFmtId="170" fontId="0" fillId="0" borderId="0" xfId="0" applyNumberFormat="1"/>
    <xf numFmtId="8" fontId="16" fillId="0" borderId="0" xfId="0" applyNumberFormat="1" applyFont="1"/>
    <xf numFmtId="8" fontId="0" fillId="0" borderId="0" xfId="0" applyNumberFormat="1"/>
    <xf numFmtId="6" fontId="0" fillId="3" borderId="0" xfId="0" applyNumberFormat="1" applyFill="1"/>
    <xf numFmtId="0" fontId="0" fillId="0" borderId="31" xfId="0" applyBorder="1"/>
    <xf numFmtId="0" fontId="0" fillId="0" borderId="32" xfId="0" applyBorder="1"/>
    <xf numFmtId="0" fontId="0" fillId="0" borderId="43" xfId="0" applyBorder="1"/>
    <xf numFmtId="0" fontId="17" fillId="0" borderId="0" xfId="0" applyFont="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4" fontId="2" fillId="2" borderId="12" xfId="0" applyNumberFormat="1" applyFont="1" applyFill="1" applyBorder="1" applyAlignment="1">
      <alignment horizontal="right" vertical="center"/>
    </xf>
  </cellXfs>
  <cellStyles count="9">
    <cellStyle name="Comma" xfId="1" builtinId="3"/>
    <cellStyle name="Comma 32 2 2" xfId="6" xr:uid="{00000000-0005-0000-0000-000001000000}"/>
    <cellStyle name="Currency 2" xfId="7" xr:uid="{00000000-0005-0000-0000-000003000000}"/>
    <cellStyle name="Milliers 2" xfId="8" xr:uid="{00000000-0005-0000-0000-000004000000}"/>
    <cellStyle name="Normal" xfId="0" builtinId="0"/>
    <cellStyle name="Normal 134 2 2 2" xfId="4" xr:uid="{00000000-0005-0000-0000-000006000000}"/>
    <cellStyle name="Normal 2" xfId="3" xr:uid="{00000000-0005-0000-0000-000007000000}"/>
    <cellStyle name="Percent" xfId="2" builtinId="5"/>
    <cellStyle name="Percent 57 2 2"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6"/>
  <sheetViews>
    <sheetView showGridLines="0" workbookViewId="0">
      <selection activeCell="D20" sqref="D20"/>
    </sheetView>
  </sheetViews>
  <sheetFormatPr defaultColWidth="8.77734375" defaultRowHeight="15.6" x14ac:dyDescent="0.3"/>
  <cols>
    <col min="1" max="1" width="2.44140625" style="3" customWidth="1"/>
    <col min="2" max="6" width="24.109375" style="3" customWidth="1"/>
    <col min="7" max="16384" width="8.77734375" style="3"/>
  </cols>
  <sheetData>
    <row r="2" spans="2:6" ht="16.2" thickBot="1" x14ac:dyDescent="0.35">
      <c r="B2" s="5" t="s">
        <v>0</v>
      </c>
    </row>
    <row r="3" spans="2:6" ht="31.8" thickBot="1" x14ac:dyDescent="0.35">
      <c r="B3" s="18" t="s">
        <v>1</v>
      </c>
      <c r="C3" s="19" t="s">
        <v>2</v>
      </c>
      <c r="D3" s="19" t="s">
        <v>3</v>
      </c>
      <c r="E3" s="19" t="s">
        <v>4</v>
      </c>
      <c r="F3" s="19" t="s">
        <v>5</v>
      </c>
    </row>
    <row r="4" spans="2:6" ht="16.2" thickBot="1" x14ac:dyDescent="0.35">
      <c r="B4" s="8" t="s">
        <v>6</v>
      </c>
      <c r="C4" s="9">
        <v>4</v>
      </c>
      <c r="D4" s="10">
        <v>1.4999999999999999E-2</v>
      </c>
      <c r="E4" s="11">
        <v>300</v>
      </c>
      <c r="F4" s="10">
        <v>0.01</v>
      </c>
    </row>
    <row r="5" spans="2:6" ht="16.2" thickBot="1" x14ac:dyDescent="0.35">
      <c r="B5" s="8" t="s">
        <v>7</v>
      </c>
      <c r="C5" s="9">
        <v>3</v>
      </c>
      <c r="D5" s="10">
        <v>0.03</v>
      </c>
      <c r="E5" s="11">
        <v>600</v>
      </c>
      <c r="F5" s="10">
        <v>0.03</v>
      </c>
    </row>
    <row r="6" spans="2:6" ht="16.2" thickBot="1" x14ac:dyDescent="0.35">
      <c r="B6" s="8" t="s">
        <v>8</v>
      </c>
      <c r="C6" s="9">
        <v>2.5</v>
      </c>
      <c r="D6" s="10">
        <v>5.0000000000000001E-3</v>
      </c>
      <c r="E6" s="11">
        <v>10</v>
      </c>
      <c r="F6" s="10">
        <v>7.4999999999999997E-3</v>
      </c>
    </row>
    <row r="7" spans="2:6" ht="16.2" thickBot="1" x14ac:dyDescent="0.35">
      <c r="B7" s="8" t="s">
        <v>9</v>
      </c>
      <c r="C7" s="9">
        <v>2</v>
      </c>
      <c r="D7" s="10">
        <v>1E-3</v>
      </c>
      <c r="E7" s="11">
        <v>20</v>
      </c>
      <c r="F7" s="10">
        <v>3.0000000000000001E-3</v>
      </c>
    </row>
    <row r="9" spans="2:6" ht="16.2" thickBot="1" x14ac:dyDescent="0.35">
      <c r="B9" s="3" t="s">
        <v>17</v>
      </c>
    </row>
    <row r="10" spans="2:6" ht="31.2" x14ac:dyDescent="0.3">
      <c r="B10" s="16" t="s">
        <v>10</v>
      </c>
      <c r="C10" s="17" t="s">
        <v>11</v>
      </c>
    </row>
    <row r="11" spans="2:6" x14ac:dyDescent="0.3">
      <c r="B11" s="12">
        <v>0.85</v>
      </c>
      <c r="C11" s="13">
        <v>1.03</v>
      </c>
    </row>
    <row r="12" spans="2:6" x14ac:dyDescent="0.3">
      <c r="B12" s="12">
        <v>0.875</v>
      </c>
      <c r="C12" s="13">
        <v>1.1499999999999999</v>
      </c>
    </row>
    <row r="13" spans="2:6" x14ac:dyDescent="0.3">
      <c r="B13" s="12">
        <v>0.9</v>
      </c>
      <c r="C13" s="13">
        <v>1.28</v>
      </c>
    </row>
    <row r="14" spans="2:6" x14ac:dyDescent="0.3">
      <c r="B14" s="12">
        <v>0.92500000000000004</v>
      </c>
      <c r="C14" s="13">
        <v>1.44</v>
      </c>
    </row>
    <row r="15" spans="2:6" x14ac:dyDescent="0.3">
      <c r="B15" s="12">
        <v>0.95</v>
      </c>
      <c r="C15" s="13">
        <v>1.64</v>
      </c>
    </row>
    <row r="16" spans="2:6" ht="16.2" thickBot="1" x14ac:dyDescent="0.35">
      <c r="B16" s="14">
        <v>0.97499999999999998</v>
      </c>
      <c r="C16" s="15">
        <v>1.96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38F3-D885-4D2D-AF5F-0295BAA58FBE}">
  <dimension ref="B1:D27"/>
  <sheetViews>
    <sheetView showGridLines="0" zoomScale="96" workbookViewId="0">
      <selection sqref="A1:XFD1048576"/>
    </sheetView>
  </sheetViews>
  <sheetFormatPr defaultColWidth="8.77734375" defaultRowHeight="13.8" x14ac:dyDescent="0.25"/>
  <cols>
    <col min="1" max="1" width="2.77734375" style="28" customWidth="1"/>
    <col min="2" max="2" width="30.44140625" style="28" customWidth="1"/>
    <col min="3" max="3" width="8.77734375" style="28"/>
    <col min="4" max="4" width="31.77734375" style="28" customWidth="1"/>
    <col min="5" max="16384" width="8.77734375" style="28"/>
  </cols>
  <sheetData>
    <row r="1" spans="2:4" x14ac:dyDescent="0.25">
      <c r="B1" s="52" t="s">
        <v>168</v>
      </c>
    </row>
    <row r="2" spans="2:4" ht="14.4" thickBot="1" x14ac:dyDescent="0.3"/>
    <row r="3" spans="2:4" x14ac:dyDescent="0.25">
      <c r="B3" s="161" t="s">
        <v>167</v>
      </c>
      <c r="C3" s="160">
        <v>1000</v>
      </c>
    </row>
    <row r="4" spans="2:4" x14ac:dyDescent="0.25">
      <c r="B4" s="156" t="s">
        <v>166</v>
      </c>
      <c r="C4" s="159">
        <v>850</v>
      </c>
    </row>
    <row r="5" spans="2:4" x14ac:dyDescent="0.25">
      <c r="B5" s="156" t="s">
        <v>165</v>
      </c>
      <c r="C5" s="158">
        <v>800</v>
      </c>
    </row>
    <row r="6" spans="2:4" x14ac:dyDescent="0.25">
      <c r="B6" s="156" t="s">
        <v>164</v>
      </c>
      <c r="C6" s="46">
        <v>0</v>
      </c>
    </row>
    <row r="7" spans="2:4" x14ac:dyDescent="0.25">
      <c r="B7" s="156" t="s">
        <v>163</v>
      </c>
      <c r="C7" s="46">
        <v>400</v>
      </c>
    </row>
    <row r="8" spans="2:4" x14ac:dyDescent="0.25">
      <c r="B8" s="156" t="s">
        <v>162</v>
      </c>
      <c r="C8" s="157">
        <v>10.5</v>
      </c>
    </row>
    <row r="9" spans="2:4" x14ac:dyDescent="0.25">
      <c r="B9" s="156" t="s">
        <v>161</v>
      </c>
      <c r="C9" s="46">
        <v>-3</v>
      </c>
    </row>
    <row r="10" spans="2:4" ht="14.4" thickBot="1" x14ac:dyDescent="0.3">
      <c r="B10" s="155" t="s">
        <v>160</v>
      </c>
      <c r="C10" s="44">
        <v>6</v>
      </c>
    </row>
    <row r="11" spans="2:4" x14ac:dyDescent="0.25">
      <c r="C11" s="154"/>
    </row>
    <row r="12" spans="2:4" x14ac:dyDescent="0.25">
      <c r="B12" s="52" t="s">
        <v>159</v>
      </c>
    </row>
    <row r="13" spans="2:4" x14ac:dyDescent="0.25">
      <c r="B13" s="52"/>
    </row>
    <row r="14" spans="2:4" x14ac:dyDescent="0.25">
      <c r="B14" s="28" t="s">
        <v>158</v>
      </c>
      <c r="C14" s="28" t="s">
        <v>149</v>
      </c>
      <c r="D14" s="28" t="s">
        <v>157</v>
      </c>
    </row>
    <row r="15" spans="2:4" x14ac:dyDescent="0.25">
      <c r="C15" s="28" t="s">
        <v>149</v>
      </c>
      <c r="D15" s="153">
        <f>C3-C4</f>
        <v>150</v>
      </c>
    </row>
    <row r="17" spans="2:4" x14ac:dyDescent="0.25">
      <c r="B17" s="28" t="s">
        <v>156</v>
      </c>
      <c r="C17" s="103" t="s">
        <v>149</v>
      </c>
      <c r="D17" s="95" t="s">
        <v>155</v>
      </c>
    </row>
    <row r="18" spans="2:4" x14ac:dyDescent="0.25">
      <c r="D18" s="95">
        <f>(D15*C9+C4*C8)/C3</f>
        <v>8.4749999999999996</v>
      </c>
    </row>
    <row r="19" spans="2:4" x14ac:dyDescent="0.25">
      <c r="D19" s="95"/>
    </row>
    <row r="20" spans="2:4" x14ac:dyDescent="0.25">
      <c r="B20" s="28" t="s">
        <v>154</v>
      </c>
      <c r="C20" s="103" t="s">
        <v>149</v>
      </c>
      <c r="D20" s="95" t="s">
        <v>153</v>
      </c>
    </row>
    <row r="21" spans="2:4" x14ac:dyDescent="0.25">
      <c r="D21" s="95">
        <f>(D15*C10+C4*C8)/C3</f>
        <v>9.8249999999999993</v>
      </c>
    </row>
    <row r="22" spans="2:4" x14ac:dyDescent="0.25">
      <c r="D22" s="95"/>
    </row>
    <row r="23" spans="2:4" x14ac:dyDescent="0.25">
      <c r="B23" s="28" t="s">
        <v>152</v>
      </c>
      <c r="C23" s="103" t="s">
        <v>149</v>
      </c>
      <c r="D23" s="95" t="s">
        <v>151</v>
      </c>
    </row>
    <row r="24" spans="2:4" x14ac:dyDescent="0.25">
      <c r="D24" s="95">
        <f>(D15*C6 + C4*C5)/C3</f>
        <v>680</v>
      </c>
    </row>
    <row r="25" spans="2:4" x14ac:dyDescent="0.25">
      <c r="D25" s="95"/>
    </row>
    <row r="26" spans="2:4" x14ac:dyDescent="0.25">
      <c r="B26" s="28" t="s">
        <v>150</v>
      </c>
      <c r="C26" s="103" t="s">
        <v>149</v>
      </c>
      <c r="D26" s="95" t="s">
        <v>148</v>
      </c>
    </row>
    <row r="27" spans="2:4" x14ac:dyDescent="0.25">
      <c r="D27" s="95">
        <f>(D15*C7 + C4*C5)/C3</f>
        <v>740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68F5-1D82-45CC-AF56-AE30D7BF190A}">
  <dimension ref="B1:D37"/>
  <sheetViews>
    <sheetView showGridLines="0" zoomScale="101" workbookViewId="0">
      <selection activeCell="H12" sqref="H12"/>
    </sheetView>
  </sheetViews>
  <sheetFormatPr defaultColWidth="8.77734375" defaultRowHeight="13.8" x14ac:dyDescent="0.25"/>
  <cols>
    <col min="1" max="1" width="2.5546875" style="28" customWidth="1"/>
    <col min="2" max="2" width="30.44140625" style="28" customWidth="1"/>
    <col min="3" max="3" width="8.77734375" style="28"/>
    <col min="4" max="4" width="31.77734375" style="28" customWidth="1"/>
    <col min="5" max="16384" width="8.77734375" style="28"/>
  </cols>
  <sheetData>
    <row r="1" spans="2:4" x14ac:dyDescent="0.25">
      <c r="B1" s="165" t="s">
        <v>188</v>
      </c>
    </row>
    <row r="3" spans="2:4" x14ac:dyDescent="0.25">
      <c r="B3" s="28" t="s">
        <v>187</v>
      </c>
    </row>
    <row r="5" spans="2:4" ht="14.4" thickBot="1" x14ac:dyDescent="0.3">
      <c r="B5" s="28" t="s">
        <v>186</v>
      </c>
    </row>
    <row r="6" spans="2:4" x14ac:dyDescent="0.25">
      <c r="B6" s="161" t="s">
        <v>167</v>
      </c>
      <c r="C6" s="160">
        <v>1000</v>
      </c>
    </row>
    <row r="7" spans="2:4" x14ac:dyDescent="0.25">
      <c r="B7" s="156" t="s">
        <v>178</v>
      </c>
      <c r="C7" s="159">
        <v>850</v>
      </c>
    </row>
    <row r="8" spans="2:4" x14ac:dyDescent="0.25">
      <c r="B8" s="156" t="s">
        <v>177</v>
      </c>
      <c r="C8" s="46">
        <v>8.5</v>
      </c>
    </row>
    <row r="9" spans="2:4" x14ac:dyDescent="0.25">
      <c r="B9" s="156" t="s">
        <v>176</v>
      </c>
      <c r="C9" s="46">
        <v>10.5</v>
      </c>
    </row>
    <row r="10" spans="2:4" ht="14.4" thickBot="1" x14ac:dyDescent="0.3">
      <c r="B10" s="155" t="s">
        <v>175</v>
      </c>
      <c r="C10" s="162">
        <v>0.01</v>
      </c>
    </row>
    <row r="12" spans="2:4" x14ac:dyDescent="0.25">
      <c r="B12" s="28" t="s">
        <v>158</v>
      </c>
      <c r="C12" s="28" t="s">
        <v>149</v>
      </c>
      <c r="D12" s="28" t="s">
        <v>157</v>
      </c>
    </row>
    <row r="13" spans="2:4" x14ac:dyDescent="0.25">
      <c r="C13" s="28" t="s">
        <v>149</v>
      </c>
      <c r="D13" s="153">
        <f>C6-C7</f>
        <v>150</v>
      </c>
    </row>
    <row r="15" spans="2:4" x14ac:dyDescent="0.25">
      <c r="B15" s="28" t="s">
        <v>185</v>
      </c>
      <c r="C15" s="103" t="s">
        <v>149</v>
      </c>
      <c r="D15" s="28" t="s">
        <v>184</v>
      </c>
    </row>
    <row r="16" spans="2:4" x14ac:dyDescent="0.25">
      <c r="C16" s="103" t="s">
        <v>149</v>
      </c>
      <c r="D16" s="28" t="s">
        <v>183</v>
      </c>
    </row>
    <row r="17" spans="2:4" x14ac:dyDescent="0.25">
      <c r="C17" s="103" t="s">
        <v>149</v>
      </c>
      <c r="D17" s="164">
        <f>C8+(C7/D13)*(C8-C9)</f>
        <v>-2.8333333333333339</v>
      </c>
    </row>
    <row r="19" spans="2:4" x14ac:dyDescent="0.25">
      <c r="B19" s="28" t="s">
        <v>182</v>
      </c>
      <c r="C19" s="103" t="s">
        <v>149</v>
      </c>
      <c r="D19" s="28" t="s">
        <v>181</v>
      </c>
    </row>
    <row r="20" spans="2:4" x14ac:dyDescent="0.25">
      <c r="D20" s="28" t="s">
        <v>180</v>
      </c>
    </row>
    <row r="21" spans="2:4" x14ac:dyDescent="0.25">
      <c r="D21" s="163">
        <f>D13*D17*-C10</f>
        <v>4.2500000000000009</v>
      </c>
    </row>
    <row r="23" spans="2:4" ht="14.4" thickBot="1" x14ac:dyDescent="0.3">
      <c r="B23" s="28" t="s">
        <v>179</v>
      </c>
    </row>
    <row r="24" spans="2:4" x14ac:dyDescent="0.25">
      <c r="B24" s="161" t="s">
        <v>167</v>
      </c>
      <c r="C24" s="160">
        <v>1000</v>
      </c>
    </row>
    <row r="25" spans="2:4" x14ac:dyDescent="0.25">
      <c r="B25" s="156" t="s">
        <v>178</v>
      </c>
      <c r="C25" s="159">
        <v>850</v>
      </c>
    </row>
    <row r="26" spans="2:4" x14ac:dyDescent="0.25">
      <c r="B26" s="156" t="s">
        <v>177</v>
      </c>
      <c r="C26" s="46">
        <v>8.5</v>
      </c>
    </row>
    <row r="27" spans="2:4" x14ac:dyDescent="0.25">
      <c r="B27" s="156" t="s">
        <v>176</v>
      </c>
      <c r="C27" s="46">
        <v>10.5</v>
      </c>
    </row>
    <row r="28" spans="2:4" ht="14.4" thickBot="1" x14ac:dyDescent="0.3">
      <c r="B28" s="155" t="s">
        <v>175</v>
      </c>
      <c r="C28" s="162">
        <v>0.01</v>
      </c>
    </row>
    <row r="30" spans="2:4" x14ac:dyDescent="0.25">
      <c r="B30" s="28" t="s">
        <v>174</v>
      </c>
      <c r="C30" s="103" t="s">
        <v>149</v>
      </c>
      <c r="D30" s="28" t="s">
        <v>173</v>
      </c>
    </row>
    <row r="31" spans="2:4" x14ac:dyDescent="0.25">
      <c r="C31" s="103" t="s">
        <v>149</v>
      </c>
      <c r="D31" s="95">
        <f>C24*C26*-C28</f>
        <v>-85</v>
      </c>
    </row>
    <row r="33" spans="2:4" x14ac:dyDescent="0.25">
      <c r="B33" s="28" t="s">
        <v>172</v>
      </c>
      <c r="C33" s="103" t="s">
        <v>149</v>
      </c>
      <c r="D33" s="28" t="s">
        <v>171</v>
      </c>
    </row>
    <row r="34" spans="2:4" x14ac:dyDescent="0.25">
      <c r="C34" s="103" t="s">
        <v>149</v>
      </c>
      <c r="D34" s="95">
        <f>C25*C27*-C28</f>
        <v>-89.25</v>
      </c>
    </row>
    <row r="36" spans="2:4" x14ac:dyDescent="0.25">
      <c r="B36" s="28" t="s">
        <v>170</v>
      </c>
      <c r="C36" s="103" t="s">
        <v>149</v>
      </c>
      <c r="D36" s="28" t="s">
        <v>169</v>
      </c>
    </row>
    <row r="37" spans="2:4" x14ac:dyDescent="0.25">
      <c r="D37" s="95">
        <f>D31-D34</f>
        <v>4.25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1F12-F028-45A6-BB32-28F33E792736}">
  <dimension ref="A1:E126"/>
  <sheetViews>
    <sheetView workbookViewId="0">
      <selection activeCell="F5" sqref="F5"/>
    </sheetView>
  </sheetViews>
  <sheetFormatPr defaultRowHeight="14.4" x14ac:dyDescent="0.3"/>
  <cols>
    <col min="2" max="2" width="17.77734375" bestFit="1" customWidth="1"/>
  </cols>
  <sheetData>
    <row r="1" spans="1:4" ht="23.4" x14ac:dyDescent="0.45">
      <c r="A1" s="177" t="s">
        <v>192</v>
      </c>
    </row>
    <row r="3" spans="1:4" x14ac:dyDescent="0.3">
      <c r="B3" s="176" t="s">
        <v>191</v>
      </c>
      <c r="C3" s="175" t="s">
        <v>190</v>
      </c>
      <c r="D3" s="174"/>
    </row>
    <row r="4" spans="1:4" x14ac:dyDescent="0.3">
      <c r="B4" s="173" t="s">
        <v>110</v>
      </c>
      <c r="C4" s="172">
        <v>77</v>
      </c>
      <c r="D4" s="172">
        <v>83</v>
      </c>
    </row>
    <row r="5" spans="1:4" x14ac:dyDescent="0.3">
      <c r="B5" s="169">
        <v>0</v>
      </c>
      <c r="C5" s="171">
        <v>1</v>
      </c>
      <c r="D5" s="171">
        <v>1</v>
      </c>
    </row>
    <row r="6" spans="1:4" x14ac:dyDescent="0.3">
      <c r="B6" s="169">
        <f>B5+1</f>
        <v>1</v>
      </c>
      <c r="C6" s="168">
        <v>0.86499999999999999</v>
      </c>
      <c r="D6" s="168">
        <v>0.89</v>
      </c>
    </row>
    <row r="7" spans="1:4" x14ac:dyDescent="0.3">
      <c r="B7" s="169">
        <f>B6+1</f>
        <v>2</v>
      </c>
      <c r="C7" s="168">
        <v>0.77417500000000006</v>
      </c>
      <c r="D7" s="168">
        <v>0.80545</v>
      </c>
    </row>
    <row r="8" spans="1:4" x14ac:dyDescent="0.3">
      <c r="B8" s="169">
        <f>B7+1</f>
        <v>3</v>
      </c>
      <c r="C8" s="168">
        <v>0.71611187500000006</v>
      </c>
      <c r="D8" s="168">
        <v>0.74504124999999999</v>
      </c>
    </row>
    <row r="9" spans="1:4" x14ac:dyDescent="0.3">
      <c r="B9" s="169">
        <f>B8+1</f>
        <v>4</v>
      </c>
      <c r="C9" s="168">
        <v>0.67314516250000012</v>
      </c>
      <c r="D9" s="168">
        <v>0.70033877500000008</v>
      </c>
    </row>
    <row r="10" spans="1:4" x14ac:dyDescent="0.3">
      <c r="B10" s="169">
        <f>B9+1</f>
        <v>5</v>
      </c>
      <c r="C10" s="168">
        <v>0.6361221785625002</v>
      </c>
      <c r="D10" s="168">
        <v>0.66182014237500009</v>
      </c>
    </row>
    <row r="11" spans="1:4" x14ac:dyDescent="0.3">
      <c r="B11" s="169">
        <f>B10+1</f>
        <v>6</v>
      </c>
      <c r="C11" s="168">
        <v>0.60749668052718775</v>
      </c>
      <c r="D11" s="168">
        <v>0.62872913525625007</v>
      </c>
    </row>
    <row r="12" spans="1:4" x14ac:dyDescent="0.3">
      <c r="B12" s="169">
        <f>B11+1</f>
        <v>7</v>
      </c>
      <c r="C12" s="168">
        <v>0.5801593299034643</v>
      </c>
      <c r="D12" s="168">
        <v>0.60043632416971882</v>
      </c>
    </row>
    <row r="13" spans="1:4" x14ac:dyDescent="0.3">
      <c r="B13" s="169">
        <f>B12+1</f>
        <v>8</v>
      </c>
      <c r="C13" s="168">
        <v>0.5569529567073257</v>
      </c>
      <c r="D13" s="168">
        <v>0.57341668958208147</v>
      </c>
    </row>
    <row r="14" spans="1:4" x14ac:dyDescent="0.3">
      <c r="B14" s="169">
        <f>B13+1</f>
        <v>9</v>
      </c>
      <c r="C14" s="168">
        <v>0.53467483843903263</v>
      </c>
      <c r="D14" s="168">
        <v>0.5504800219987982</v>
      </c>
    </row>
    <row r="15" spans="1:4" x14ac:dyDescent="0.3">
      <c r="B15" s="169">
        <f>B14+1</f>
        <v>10</v>
      </c>
      <c r="C15" s="168">
        <v>0.51596121909366643</v>
      </c>
      <c r="D15" s="168">
        <v>0.52846082111884629</v>
      </c>
    </row>
    <row r="16" spans="1:4" x14ac:dyDescent="0.3">
      <c r="B16" s="169">
        <f>B15+1</f>
        <v>11</v>
      </c>
      <c r="C16" s="168">
        <v>0.4979025764253881</v>
      </c>
      <c r="D16" s="168">
        <v>0.50732238827409237</v>
      </c>
    </row>
    <row r="17" spans="2:5" x14ac:dyDescent="0.3">
      <c r="B17" s="169">
        <f>B16+1</f>
        <v>12</v>
      </c>
      <c r="C17" s="168">
        <v>0.48047598625049948</v>
      </c>
      <c r="D17" s="168">
        <v>0.48956610468449913</v>
      </c>
    </row>
    <row r="18" spans="2:5" x14ac:dyDescent="0.3">
      <c r="B18" s="169">
        <f>B17+1</f>
        <v>13</v>
      </c>
      <c r="C18" s="168">
        <v>0.46606170666298447</v>
      </c>
      <c r="D18" s="168">
        <v>0.47243129102054165</v>
      </c>
    </row>
    <row r="19" spans="2:5" x14ac:dyDescent="0.3">
      <c r="B19" s="169">
        <f>B18+1</f>
        <v>14</v>
      </c>
      <c r="C19" s="168">
        <v>0.45207985546309493</v>
      </c>
      <c r="D19" s="168">
        <v>0.45589619583482266</v>
      </c>
    </row>
    <row r="20" spans="2:5" x14ac:dyDescent="0.3">
      <c r="B20" s="169">
        <f>B19+1</f>
        <v>15</v>
      </c>
      <c r="C20" s="168">
        <v>0.43851745979920209</v>
      </c>
      <c r="D20" s="168">
        <v>0.43993982898060385</v>
      </c>
    </row>
    <row r="21" spans="2:5" x14ac:dyDescent="0.3">
      <c r="B21" s="169">
        <f>B20+1</f>
        <v>16</v>
      </c>
      <c r="C21" s="168">
        <v>0.42536193600522604</v>
      </c>
      <c r="D21" s="168">
        <v>0.42454193496628273</v>
      </c>
    </row>
    <row r="22" spans="2:5" x14ac:dyDescent="0.3">
      <c r="B22" s="169">
        <f>B21+1</f>
        <v>17</v>
      </c>
      <c r="C22" s="168">
        <v>0.41260107792506923</v>
      </c>
      <c r="D22" s="168">
        <v>0.40968296724246284</v>
      </c>
      <c r="E22" s="170"/>
    </row>
    <row r="23" spans="2:5" x14ac:dyDescent="0.3">
      <c r="B23" s="169">
        <f>B22+1</f>
        <v>18</v>
      </c>
      <c r="C23" s="168">
        <v>0.40022304558731714</v>
      </c>
      <c r="D23" s="168">
        <v>0.39534406338897665</v>
      </c>
      <c r="E23" s="170"/>
    </row>
    <row r="24" spans="2:5" x14ac:dyDescent="0.3">
      <c r="B24" s="169">
        <f>B23+1</f>
        <v>19</v>
      </c>
      <c r="C24" s="168">
        <v>0.38821635421969763</v>
      </c>
      <c r="D24" s="168">
        <v>0.38150702117036245</v>
      </c>
    </row>
    <row r="25" spans="2:5" x14ac:dyDescent="0.3">
      <c r="B25" s="169">
        <f>B24+1</f>
        <v>20</v>
      </c>
      <c r="C25" s="168">
        <v>0.37656986359310668</v>
      </c>
      <c r="D25" s="168">
        <v>0.36815427542939977</v>
      </c>
    </row>
    <row r="26" spans="2:5" x14ac:dyDescent="0.3">
      <c r="B26" s="169">
        <f>B25+1</f>
        <v>21</v>
      </c>
      <c r="C26" s="168">
        <v>0.36527276768531347</v>
      </c>
      <c r="D26" s="168">
        <v>0.35526887578937077</v>
      </c>
    </row>
    <row r="27" spans="2:5" x14ac:dyDescent="0.3">
      <c r="B27" s="169">
        <f>B26+1</f>
        <v>22</v>
      </c>
      <c r="C27" s="168">
        <v>0.35431458465475407</v>
      </c>
      <c r="D27" s="168">
        <v>0.34283446513674276</v>
      </c>
    </row>
    <row r="28" spans="2:5" x14ac:dyDescent="0.3">
      <c r="B28" s="169">
        <f>B27+1</f>
        <v>23</v>
      </c>
      <c r="C28" s="168">
        <v>0.34368514711511144</v>
      </c>
      <c r="D28" s="168">
        <v>0.33083525885695675</v>
      </c>
    </row>
    <row r="29" spans="2:5" x14ac:dyDescent="0.3">
      <c r="B29" s="169">
        <f>B28+1</f>
        <v>24</v>
      </c>
      <c r="C29" s="168">
        <v>0.33337459270165809</v>
      </c>
      <c r="D29" s="168">
        <v>0.31925602479696324</v>
      </c>
    </row>
    <row r="30" spans="2:5" x14ac:dyDescent="0.3">
      <c r="B30" s="169">
        <f>B29+1</f>
        <v>25</v>
      </c>
      <c r="C30" s="168">
        <v>0.32337335492060831</v>
      </c>
      <c r="D30" s="168">
        <v>0.30808206392906951</v>
      </c>
    </row>
    <row r="31" spans="2:5" x14ac:dyDescent="0.3">
      <c r="B31" s="169">
        <f>B30+1</f>
        <v>26</v>
      </c>
      <c r="C31" s="168">
        <v>0.31367215427299006</v>
      </c>
      <c r="D31" s="168">
        <v>0.29729919169155206</v>
      </c>
    </row>
    <row r="32" spans="2:5" x14ac:dyDescent="0.3">
      <c r="B32" s="169">
        <f>B31+1</f>
        <v>27</v>
      </c>
      <c r="C32" s="168">
        <v>0.30426198964480033</v>
      </c>
      <c r="D32" s="168">
        <v>0.28689371998234775</v>
      </c>
    </row>
    <row r="33" spans="2:4" x14ac:dyDescent="0.3">
      <c r="B33" s="169">
        <f>B32+1</f>
        <v>28</v>
      </c>
      <c r="C33" s="168">
        <v>0.29513412995545629</v>
      </c>
      <c r="D33" s="168">
        <v>0.27685243978296559</v>
      </c>
    </row>
    <row r="34" spans="2:4" x14ac:dyDescent="0.3">
      <c r="B34" s="169">
        <f>B33+1</f>
        <v>29</v>
      </c>
      <c r="C34" s="168">
        <v>0.2862801060567926</v>
      </c>
      <c r="D34" s="168">
        <v>0.26716260439056178</v>
      </c>
    </row>
    <row r="35" spans="2:4" x14ac:dyDescent="0.3">
      <c r="B35" s="169">
        <f>B34+1</f>
        <v>30</v>
      </c>
      <c r="C35" s="168">
        <v>0.27769170287508882</v>
      </c>
      <c r="D35" s="168">
        <v>0.25647610021493927</v>
      </c>
    </row>
    <row r="36" spans="2:4" x14ac:dyDescent="0.3">
      <c r="B36" s="169">
        <f>B35+1</f>
        <v>31</v>
      </c>
      <c r="C36" s="168">
        <v>0.26936095178883612</v>
      </c>
      <c r="D36" s="168">
        <v>0.24621705620634168</v>
      </c>
    </row>
    <row r="37" spans="2:4" x14ac:dyDescent="0.3">
      <c r="B37" s="169">
        <f>B36+1</f>
        <v>32</v>
      </c>
      <c r="C37" s="168">
        <v>0.26128012323517102</v>
      </c>
      <c r="D37" s="168">
        <v>0.23759945923911971</v>
      </c>
    </row>
    <row r="38" spans="2:4" x14ac:dyDescent="0.3">
      <c r="B38" s="169">
        <f>B37+1</f>
        <v>33</v>
      </c>
      <c r="C38" s="168">
        <v>0.25344171953811589</v>
      </c>
      <c r="D38" s="168">
        <v>0.22928347816575051</v>
      </c>
    </row>
    <row r="39" spans="2:4" x14ac:dyDescent="0.3">
      <c r="B39" s="169">
        <f>B38+1</f>
        <v>34</v>
      </c>
      <c r="C39" s="168">
        <v>0.24583846795197242</v>
      </c>
      <c r="D39" s="168">
        <v>0.22011213903912047</v>
      </c>
    </row>
    <row r="40" spans="2:4" x14ac:dyDescent="0.3">
      <c r="B40" s="169">
        <f>B39+1</f>
        <v>35</v>
      </c>
      <c r="C40" s="168">
        <v>0.23846331391341324</v>
      </c>
      <c r="D40" s="168">
        <v>0.21240821417275124</v>
      </c>
    </row>
    <row r="41" spans="2:4" x14ac:dyDescent="0.3">
      <c r="B41" s="169">
        <f>B40+1</f>
        <v>36</v>
      </c>
      <c r="C41" s="168">
        <v>0.23130941449601083</v>
      </c>
      <c r="D41" s="168">
        <v>0.2039118856058412</v>
      </c>
    </row>
    <row r="42" spans="2:4" x14ac:dyDescent="0.3">
      <c r="B42" s="169">
        <f>B41+1</f>
        <v>37</v>
      </c>
      <c r="C42" s="168">
        <v>0.22437013206113049</v>
      </c>
      <c r="D42" s="168">
        <v>0.19575541018160755</v>
      </c>
    </row>
    <row r="43" spans="2:4" x14ac:dyDescent="0.3">
      <c r="B43" s="169">
        <f>B42+1</f>
        <v>38</v>
      </c>
      <c r="C43" s="168">
        <v>0.21763902809929656</v>
      </c>
      <c r="D43" s="168">
        <v>0.18792519377434325</v>
      </c>
    </row>
    <row r="44" spans="2:4" x14ac:dyDescent="0.3">
      <c r="B44" s="169">
        <f>B43+1</f>
        <v>39</v>
      </c>
      <c r="C44" s="168">
        <v>0.21110985725631765</v>
      </c>
      <c r="D44" s="168">
        <v>0.1804081860233695</v>
      </c>
    </row>
    <row r="45" spans="2:4" x14ac:dyDescent="0.3">
      <c r="B45" s="169">
        <f>B44+1</f>
        <v>40</v>
      </c>
      <c r="C45" s="168">
        <v>0.20477656153862811</v>
      </c>
      <c r="D45" s="168">
        <v>0.17319185858243472</v>
      </c>
    </row>
    <row r="46" spans="2:4" x14ac:dyDescent="0.3">
      <c r="B46" s="169">
        <f>B45+1</f>
        <v>41</v>
      </c>
      <c r="C46" s="168">
        <v>0.19863326469246925</v>
      </c>
      <c r="D46" s="168">
        <v>0.16626418423913733</v>
      </c>
    </row>
    <row r="47" spans="2:4" x14ac:dyDescent="0.3">
      <c r="B47" s="169">
        <f>B46+1</f>
        <v>42</v>
      </c>
      <c r="C47" s="168">
        <v>0.19267426675169516</v>
      </c>
      <c r="D47" s="168">
        <v>0.15961361686957184</v>
      </c>
    </row>
    <row r="48" spans="2:4" x14ac:dyDescent="0.3">
      <c r="B48" s="169">
        <f>B47+1</f>
        <v>43</v>
      </c>
      <c r="C48" s="168">
        <v>0.18689403874914431</v>
      </c>
      <c r="D48" s="168">
        <v>0.15322907219478896</v>
      </c>
    </row>
    <row r="49" spans="2:4" x14ac:dyDescent="0.3">
      <c r="B49" s="169">
        <f>B48+1</f>
        <v>44</v>
      </c>
      <c r="C49" s="168">
        <v>0.18128721758666999</v>
      </c>
      <c r="D49" s="168">
        <v>0.1470999093069974</v>
      </c>
    </row>
    <row r="50" spans="2:4" x14ac:dyDescent="0.3">
      <c r="B50" s="169">
        <f>B49+1</f>
        <v>45</v>
      </c>
      <c r="C50" s="168">
        <v>0.17584860105906988</v>
      </c>
      <c r="D50" s="168">
        <v>0.1412159129347175</v>
      </c>
    </row>
    <row r="51" spans="2:4" x14ac:dyDescent="0.3">
      <c r="B51" s="169">
        <f>B50+1</f>
        <v>46</v>
      </c>
      <c r="C51" s="168">
        <v>0.17057314302729779</v>
      </c>
      <c r="D51" s="168">
        <v>0.1355672764173288</v>
      </c>
    </row>
    <row r="52" spans="2:4" x14ac:dyDescent="0.3">
      <c r="B52" s="169">
        <f>B51+1</f>
        <v>47</v>
      </c>
      <c r="C52" s="168">
        <v>0.16545594873647884</v>
      </c>
      <c r="D52" s="168">
        <v>0.13014458536063564</v>
      </c>
    </row>
    <row r="53" spans="2:4" x14ac:dyDescent="0.3">
      <c r="B53" s="169">
        <f>B52+1</f>
        <v>48</v>
      </c>
      <c r="C53" s="168">
        <v>0.16049227027438448</v>
      </c>
      <c r="D53" s="168">
        <v>0.12493880194621021</v>
      </c>
    </row>
    <row r="54" spans="2:4" x14ac:dyDescent="0.3">
      <c r="B54" s="169">
        <f>B53+1</f>
        <v>49</v>
      </c>
      <c r="C54" s="168">
        <v>0.15567750216615295</v>
      </c>
      <c r="D54" s="168">
        <v>0.12056594387809284</v>
      </c>
    </row>
    <row r="55" spans="2:4" x14ac:dyDescent="0.3">
      <c r="B55" s="169">
        <f>B54+1</f>
        <v>50</v>
      </c>
      <c r="C55" s="168">
        <v>0.15100717710116834</v>
      </c>
      <c r="D55" s="168">
        <v>0.11634613584235959</v>
      </c>
    </row>
    <row r="56" spans="2:4" x14ac:dyDescent="0.3">
      <c r="B56" s="169">
        <f>B55+1</f>
        <v>51</v>
      </c>
      <c r="C56" s="168">
        <v>0.1464769617881333</v>
      </c>
      <c r="D56" s="168">
        <v>0.112274021087877</v>
      </c>
    </row>
    <row r="57" spans="2:4" x14ac:dyDescent="0.3">
      <c r="B57" s="169">
        <f>B56+1</f>
        <v>52</v>
      </c>
      <c r="C57" s="168">
        <v>0.1420826529344893</v>
      </c>
      <c r="D57" s="168">
        <v>0.1083444303498013</v>
      </c>
    </row>
    <row r="58" spans="2:4" x14ac:dyDescent="0.3">
      <c r="B58" s="169">
        <f>B57+1</f>
        <v>53</v>
      </c>
      <c r="C58" s="168">
        <v>0.13782017334645461</v>
      </c>
      <c r="D58" s="168">
        <v>0.10455237528755826</v>
      </c>
    </row>
    <row r="59" spans="2:4" x14ac:dyDescent="0.3">
      <c r="B59" s="169">
        <f>B58+1</f>
        <v>54</v>
      </c>
      <c r="C59" s="168">
        <v>0.13368556814606097</v>
      </c>
      <c r="D59" s="168">
        <v>0.10089304215249371</v>
      </c>
    </row>
    <row r="60" spans="2:4" x14ac:dyDescent="0.3">
      <c r="B60" s="169">
        <f>B59+1</f>
        <v>55</v>
      </c>
      <c r="C60" s="168">
        <v>0.12967500110167915</v>
      </c>
      <c r="D60" s="168">
        <v>9.7361785677156434E-2</v>
      </c>
    </row>
    <row r="61" spans="2:4" x14ac:dyDescent="0.3">
      <c r="B61" s="169">
        <f>B60+1</f>
        <v>56</v>
      </c>
      <c r="C61" s="168">
        <v>0.12578475106862877</v>
      </c>
      <c r="D61" s="168">
        <v>9.3954123178455959E-2</v>
      </c>
    </row>
    <row r="62" spans="2:4" x14ac:dyDescent="0.3">
      <c r="B62" s="169">
        <f>B61+1</f>
        <v>57</v>
      </c>
      <c r="C62" s="168">
        <v>0.12201120853656991</v>
      </c>
      <c r="D62" s="168">
        <v>9.0665728867209999E-2</v>
      </c>
    </row>
    <row r="63" spans="2:4" x14ac:dyDescent="0.3">
      <c r="B63" s="169">
        <f>B62+1</f>
        <v>58</v>
      </c>
      <c r="C63" s="168">
        <v>0.11835087228047281</v>
      </c>
      <c r="D63" s="168">
        <v>8.7492428356857652E-2</v>
      </c>
    </row>
    <row r="64" spans="2:4" x14ac:dyDescent="0.3">
      <c r="B64" s="169">
        <f>B63+1</f>
        <v>59</v>
      </c>
      <c r="C64" s="168">
        <v>0.11480034611205862</v>
      </c>
      <c r="D64" s="168">
        <v>8.4430193364367634E-2</v>
      </c>
    </row>
    <row r="65" spans="2:4" x14ac:dyDescent="0.3">
      <c r="B65" s="169">
        <f>B64+1</f>
        <v>60</v>
      </c>
      <c r="C65" s="168">
        <v>0.11135633572869687</v>
      </c>
      <c r="D65" s="168">
        <v>8.1475136596614761E-2</v>
      </c>
    </row>
    <row r="66" spans="2:4" x14ac:dyDescent="0.3">
      <c r="B66" s="169">
        <f>B65+1</f>
        <v>61</v>
      </c>
      <c r="C66" s="168">
        <v>0.10801564565683595</v>
      </c>
      <c r="D66" s="168">
        <v>7.8623506815733241E-2</v>
      </c>
    </row>
    <row r="67" spans="2:4" x14ac:dyDescent="0.3">
      <c r="B67" s="169">
        <f>B66+1</f>
        <v>62</v>
      </c>
      <c r="C67" s="168">
        <v>0.10531525451541505</v>
      </c>
      <c r="D67" s="168">
        <v>7.5871684077182575E-2</v>
      </c>
    </row>
    <row r="68" spans="2:4" x14ac:dyDescent="0.3">
      <c r="B68" s="169">
        <f>B67+1</f>
        <v>63</v>
      </c>
      <c r="C68" s="168">
        <v>0.10268237315252968</v>
      </c>
      <c r="D68" s="168">
        <v>7.3216175134481185E-2</v>
      </c>
    </row>
    <row r="69" spans="2:4" x14ac:dyDescent="0.3">
      <c r="B69" s="169">
        <f>B68+1</f>
        <v>64</v>
      </c>
      <c r="C69" s="168">
        <v>0.10011531382371643</v>
      </c>
      <c r="D69" s="168">
        <v>7.065360900477434E-2</v>
      </c>
    </row>
    <row r="70" spans="2:4" x14ac:dyDescent="0.3">
      <c r="B70" s="169">
        <f>B69+1</f>
        <v>65</v>
      </c>
      <c r="C70" s="168">
        <v>9.7612430978123513E-2</v>
      </c>
      <c r="D70" s="168">
        <v>6.818073268960724E-2</v>
      </c>
    </row>
    <row r="71" spans="2:4" x14ac:dyDescent="0.3">
      <c r="B71" s="169">
        <f>B70+1</f>
        <v>66</v>
      </c>
      <c r="C71" s="168">
        <v>9.5172120203670427E-2</v>
      </c>
      <c r="D71" s="168">
        <v>6.5794407045470987E-2</v>
      </c>
    </row>
    <row r="72" spans="2:4" x14ac:dyDescent="0.3">
      <c r="B72" s="169">
        <f>B71+1</f>
        <v>67</v>
      </c>
      <c r="C72" s="168">
        <v>9.2792817198578667E-2</v>
      </c>
      <c r="D72" s="168">
        <v>6.3491602798879498E-2</v>
      </c>
    </row>
    <row r="73" spans="2:4" x14ac:dyDescent="0.3">
      <c r="B73" s="169">
        <f>B72+1</f>
        <v>68</v>
      </c>
      <c r="C73" s="168">
        <v>9.04729967686142E-2</v>
      </c>
      <c r="D73" s="168">
        <v>6.1269396700918716E-2</v>
      </c>
    </row>
    <row r="74" spans="2:4" x14ac:dyDescent="0.3">
      <c r="B74" s="169">
        <f>B73+1</f>
        <v>69</v>
      </c>
      <c r="C74" s="168">
        <v>8.7758806865555775E-2</v>
      </c>
      <c r="D74" s="168">
        <v>5.9124967816386556E-2</v>
      </c>
    </row>
    <row r="75" spans="2:4" x14ac:dyDescent="0.3">
      <c r="B75" s="169">
        <f>B74+1</f>
        <v>70</v>
      </c>
      <c r="C75" s="168">
        <v>8.5126042659589105E-2</v>
      </c>
      <c r="D75" s="168">
        <v>5.7055593942813024E-2</v>
      </c>
    </row>
    <row r="76" spans="2:4" x14ac:dyDescent="0.3">
      <c r="B76" s="169">
        <f>B75+1</f>
        <v>71</v>
      </c>
      <c r="C76" s="168">
        <v>8.2572261379801434E-2</v>
      </c>
      <c r="D76" s="168">
        <v>5.4773370185100499E-2</v>
      </c>
    </row>
    <row r="77" spans="2:4" x14ac:dyDescent="0.3">
      <c r="B77" s="169">
        <f>B76+1</f>
        <v>72</v>
      </c>
      <c r="C77" s="168">
        <v>8.0095093538407394E-2</v>
      </c>
      <c r="D77" s="168">
        <v>5.2582435377696475E-2</v>
      </c>
    </row>
    <row r="78" spans="2:4" x14ac:dyDescent="0.3">
      <c r="B78" s="169">
        <f>B77+1</f>
        <v>73</v>
      </c>
      <c r="C78" s="168">
        <v>7.7692240732255169E-2</v>
      </c>
      <c r="D78" s="168">
        <v>5.0479137962588613E-2</v>
      </c>
    </row>
    <row r="79" spans="2:4" x14ac:dyDescent="0.3">
      <c r="B79" s="169">
        <f>B78+1</f>
        <v>74</v>
      </c>
      <c r="C79" s="168">
        <v>7.5361473510287505E-2</v>
      </c>
      <c r="D79" s="168">
        <v>4.8459972444085064E-2</v>
      </c>
    </row>
    <row r="80" spans="2:4" x14ac:dyDescent="0.3">
      <c r="B80" s="169">
        <f>B79+1</f>
        <v>75</v>
      </c>
      <c r="C80" s="168">
        <v>7.2723821937427435E-2</v>
      </c>
      <c r="D80" s="168">
        <v>4.6521573546321658E-2</v>
      </c>
    </row>
    <row r="81" spans="2:4" x14ac:dyDescent="0.3">
      <c r="B81" s="169">
        <f>B80+1</f>
        <v>76</v>
      </c>
      <c r="C81" s="168">
        <v>7.017848816961747E-2</v>
      </c>
      <c r="D81" s="168">
        <v>4.4660710604468787E-2</v>
      </c>
    </row>
    <row r="82" spans="2:4" x14ac:dyDescent="0.3">
      <c r="B82" s="169">
        <f>B81+1</f>
        <v>77</v>
      </c>
      <c r="C82" s="168">
        <v>6.7722241083680856E-2</v>
      </c>
      <c r="D82" s="168">
        <v>4.2874282180290033E-2</v>
      </c>
    </row>
    <row r="83" spans="2:4" x14ac:dyDescent="0.3">
      <c r="B83" s="169">
        <f>B82+1</f>
        <v>78</v>
      </c>
      <c r="C83" s="168">
        <v>6.5690573851170428E-2</v>
      </c>
      <c r="D83" s="168">
        <v>4.1159310893078428E-2</v>
      </c>
    </row>
    <row r="84" spans="2:4" x14ac:dyDescent="0.3">
      <c r="B84" s="169">
        <f>B83+1</f>
        <v>79</v>
      </c>
      <c r="C84" s="168">
        <v>6.3719856635635314E-2</v>
      </c>
      <c r="D84" s="168">
        <v>3.951293845735529E-2</v>
      </c>
    </row>
    <row r="85" spans="2:4" x14ac:dyDescent="0.3">
      <c r="B85" s="169">
        <f>B84+1</f>
        <v>80</v>
      </c>
      <c r="C85" s="168">
        <v>6.1808260936566252E-2</v>
      </c>
      <c r="D85" s="168">
        <v>3.7932420919061079E-2</v>
      </c>
    </row>
    <row r="86" spans="2:4" x14ac:dyDescent="0.3">
      <c r="B86" s="169">
        <f>B85+1</f>
        <v>81</v>
      </c>
      <c r="C86" s="168">
        <v>5.9954013108469262E-2</v>
      </c>
      <c r="D86" s="168">
        <v>3.6415124082298633E-2</v>
      </c>
    </row>
    <row r="87" spans="2:4" x14ac:dyDescent="0.3">
      <c r="B87" s="169">
        <f>B86+1</f>
        <v>82</v>
      </c>
      <c r="C87" s="168">
        <v>5.8155392715215179E-2</v>
      </c>
      <c r="D87" s="168">
        <v>3.4958519119006687E-2</v>
      </c>
    </row>
    <row r="88" spans="2:4" x14ac:dyDescent="0.3">
      <c r="B88" s="169">
        <f>B87+1</f>
        <v>83</v>
      </c>
      <c r="C88" s="168">
        <v>5.6410730933758722E-2</v>
      </c>
      <c r="D88" s="168">
        <v>3.356017835424642E-2</v>
      </c>
    </row>
    <row r="89" spans="2:4" x14ac:dyDescent="0.3">
      <c r="B89" s="169">
        <f>B88+1</f>
        <v>84</v>
      </c>
      <c r="C89" s="168">
        <v>5.4718409005745962E-2</v>
      </c>
      <c r="D89" s="168">
        <v>3.221777122007656E-2</v>
      </c>
    </row>
    <row r="90" spans="2:4" x14ac:dyDescent="0.3">
      <c r="B90" s="169">
        <f>B89+1</f>
        <v>85</v>
      </c>
      <c r="C90" s="168">
        <v>5.2803264690544853E-2</v>
      </c>
      <c r="D90" s="168">
        <v>3.0929060371273496E-2</v>
      </c>
    </row>
    <row r="91" spans="2:4" x14ac:dyDescent="0.3">
      <c r="B91" s="169">
        <f>B90+1</f>
        <v>86</v>
      </c>
      <c r="C91" s="168">
        <v>5.095515042637578E-2</v>
      </c>
      <c r="D91" s="168">
        <v>2.9691897956422554E-2</v>
      </c>
    </row>
    <row r="92" spans="2:4" x14ac:dyDescent="0.3">
      <c r="B92" s="169">
        <f>B91+1</f>
        <v>87</v>
      </c>
      <c r="C92" s="168">
        <v>4.9171720161452624E-2</v>
      </c>
      <c r="D92" s="168">
        <v>2.835576254838354E-2</v>
      </c>
    </row>
    <row r="93" spans="2:4" x14ac:dyDescent="0.3">
      <c r="B93" s="169">
        <f>B92+1</f>
        <v>88</v>
      </c>
      <c r="C93" s="168">
        <v>4.7450709955801779E-2</v>
      </c>
      <c r="D93" s="168">
        <v>2.7221532046448196E-2</v>
      </c>
    </row>
    <row r="94" spans="2:4" x14ac:dyDescent="0.3">
      <c r="B94" s="169">
        <f>B93+1</f>
        <v>89</v>
      </c>
      <c r="C94" s="168">
        <v>4.6027188657127724E-2</v>
      </c>
      <c r="D94" s="168">
        <v>2.6132670764590266E-2</v>
      </c>
    </row>
    <row r="95" spans="2:4" x14ac:dyDescent="0.3">
      <c r="B95" s="169">
        <f>B94+1</f>
        <v>90</v>
      </c>
      <c r="C95" s="168">
        <v>4.4646372997413891E-2</v>
      </c>
      <c r="D95" s="168">
        <v>2.5087363934006655E-2</v>
      </c>
    </row>
    <row r="96" spans="2:4" x14ac:dyDescent="0.3">
      <c r="B96" s="169">
        <f>B95+1</f>
        <v>91</v>
      </c>
      <c r="C96" s="168">
        <v>4.3306981807491471E-2</v>
      </c>
      <c r="D96" s="168">
        <v>2.4083869376646388E-2</v>
      </c>
    </row>
    <row r="97" spans="2:4" x14ac:dyDescent="0.3">
      <c r="B97" s="169">
        <f>B96+1</f>
        <v>92</v>
      </c>
      <c r="C97" s="168">
        <v>4.2007772353266727E-2</v>
      </c>
      <c r="D97" s="168">
        <v>2.3120514601580534E-2</v>
      </c>
    </row>
    <row r="98" spans="2:4" x14ac:dyDescent="0.3">
      <c r="B98" s="169">
        <f>B97+1</f>
        <v>93</v>
      </c>
      <c r="C98" s="168">
        <v>4.0747539182668727E-2</v>
      </c>
      <c r="D98" s="168">
        <v>2.2195694017517312E-2</v>
      </c>
    </row>
    <row r="99" spans="2:4" x14ac:dyDescent="0.3">
      <c r="B99" s="169">
        <f>B98+1</f>
        <v>94</v>
      </c>
      <c r="C99" s="168">
        <v>3.9525113007188667E-2</v>
      </c>
      <c r="D99" s="168">
        <v>2.1307866256816618E-2</v>
      </c>
    </row>
    <row r="100" spans="2:4" x14ac:dyDescent="0.3">
      <c r="B100" s="169">
        <f>B99+1</f>
        <v>95</v>
      </c>
      <c r="C100" s="168">
        <v>3.8339359616973004E-2</v>
      </c>
      <c r="D100" s="168">
        <v>2.0455551606543953E-2</v>
      </c>
    </row>
    <row r="101" spans="2:4" x14ac:dyDescent="0.3">
      <c r="B101" s="169">
        <f>B100+1</f>
        <v>96</v>
      </c>
      <c r="C101" s="168">
        <v>3.7189178828463815E-2</v>
      </c>
      <c r="D101" s="168">
        <v>1.9637329542282193E-2</v>
      </c>
    </row>
    <row r="102" spans="2:4" x14ac:dyDescent="0.3">
      <c r="B102" s="169">
        <f>B101+1</f>
        <v>97</v>
      </c>
      <c r="C102" s="168">
        <v>3.60735034636099E-2</v>
      </c>
      <c r="D102" s="168">
        <v>1.8851836360590905E-2</v>
      </c>
    </row>
    <row r="103" spans="2:4" x14ac:dyDescent="0.3">
      <c r="B103" s="169">
        <f>B102+1</f>
        <v>98</v>
      </c>
      <c r="C103" s="168">
        <v>3.4991298359701599E-2</v>
      </c>
      <c r="D103" s="168">
        <v>1.8097762906167266E-2</v>
      </c>
    </row>
    <row r="104" spans="2:4" x14ac:dyDescent="0.3">
      <c r="B104" s="169">
        <f>B103+1</f>
        <v>99</v>
      </c>
      <c r="C104" s="168">
        <v>3.3941559408910547E-2</v>
      </c>
      <c r="D104" s="168">
        <v>1.7373852389920574E-2</v>
      </c>
    </row>
    <row r="105" spans="2:4" x14ac:dyDescent="0.3">
      <c r="B105" s="169">
        <f>B104+1</f>
        <v>100</v>
      </c>
      <c r="C105" s="168">
        <v>3.2923312626643227E-2</v>
      </c>
      <c r="D105" s="168">
        <v>1.667889829432375E-2</v>
      </c>
    </row>
    <row r="106" spans="2:4" x14ac:dyDescent="0.3">
      <c r="B106" s="169">
        <f>B105+1</f>
        <v>101</v>
      </c>
      <c r="C106" s="168">
        <v>3.1935613247843928E-2</v>
      </c>
      <c r="D106" s="168">
        <v>1.6011742362550801E-2</v>
      </c>
    </row>
    <row r="107" spans="2:4" x14ac:dyDescent="0.3">
      <c r="B107" s="169">
        <f>B106+1</f>
        <v>102</v>
      </c>
      <c r="C107" s="168">
        <v>3.0977544850408607E-2</v>
      </c>
      <c r="D107" s="168">
        <v>1.5371272668048767E-2</v>
      </c>
    </row>
    <row r="108" spans="2:4" x14ac:dyDescent="0.3">
      <c r="B108" s="169">
        <f>B107+1</f>
        <v>103</v>
      </c>
      <c r="C108" s="168">
        <v>3.0048218504896348E-2</v>
      </c>
      <c r="D108" s="168">
        <v>1.4756421761326816E-2</v>
      </c>
    </row>
    <row r="109" spans="2:4" x14ac:dyDescent="0.3">
      <c r="B109" s="169">
        <f>B108+1</f>
        <v>104</v>
      </c>
      <c r="C109" s="168">
        <v>2.9146771949749458E-2</v>
      </c>
      <c r="D109" s="168">
        <v>1.4166164890873743E-2</v>
      </c>
    </row>
    <row r="110" spans="2:4" x14ac:dyDescent="0.3">
      <c r="B110" s="169">
        <f>B109+1</f>
        <v>105</v>
      </c>
      <c r="C110" s="168">
        <v>2.8272368791256972E-2</v>
      </c>
      <c r="D110" s="168">
        <v>1.3599518295238793E-2</v>
      </c>
    </row>
    <row r="111" spans="2:4" x14ac:dyDescent="0.3">
      <c r="B111" s="169">
        <f>B110+1</f>
        <v>106</v>
      </c>
      <c r="C111" s="168">
        <v>2.7424197727519261E-2</v>
      </c>
      <c r="D111" s="168">
        <v>1.3055537563429242E-2</v>
      </c>
    </row>
    <row r="112" spans="2:4" x14ac:dyDescent="0.3">
      <c r="B112" s="169">
        <f>B111+1</f>
        <v>107</v>
      </c>
      <c r="C112" s="168">
        <v>2.6601471795693683E-2</v>
      </c>
      <c r="D112" s="168">
        <v>1.2533316060892072E-2</v>
      </c>
    </row>
    <row r="113" spans="2:4" x14ac:dyDescent="0.3">
      <c r="B113" s="169">
        <f>B112+1</f>
        <v>108</v>
      </c>
      <c r="C113" s="168">
        <v>2.5803427641822873E-2</v>
      </c>
      <c r="D113" s="168">
        <v>1.1969316838151929E-2</v>
      </c>
    </row>
    <row r="114" spans="2:4" x14ac:dyDescent="0.3">
      <c r="B114" s="169">
        <f>B113+1</f>
        <v>109</v>
      </c>
      <c r="C114" s="168">
        <v>2.5029324812568185E-2</v>
      </c>
      <c r="D114" s="168">
        <v>1.1430697580435092E-2</v>
      </c>
    </row>
    <row r="115" spans="2:4" x14ac:dyDescent="0.3">
      <c r="B115" s="169">
        <f>B114+1</f>
        <v>110</v>
      </c>
      <c r="C115" s="168">
        <v>2.4278445068191139E-2</v>
      </c>
      <c r="D115" s="168">
        <v>1.0916316189315513E-2</v>
      </c>
    </row>
    <row r="116" spans="2:4" x14ac:dyDescent="0.3">
      <c r="B116" s="169">
        <f>B115+1</f>
        <v>111</v>
      </c>
      <c r="C116" s="168">
        <v>2.3550091716145406E-2</v>
      </c>
      <c r="D116" s="168">
        <v>1.0425081960796317E-2</v>
      </c>
    </row>
    <row r="117" spans="2:4" x14ac:dyDescent="0.3">
      <c r="B117" s="169">
        <f>B116+1</f>
        <v>112</v>
      </c>
      <c r="C117" s="168">
        <v>2.2843588964661043E-2</v>
      </c>
      <c r="D117" s="168">
        <v>9.9559532725604829E-3</v>
      </c>
    </row>
    <row r="118" spans="2:4" x14ac:dyDescent="0.3">
      <c r="B118" s="169">
        <f>B117+1</f>
        <v>113</v>
      </c>
      <c r="C118" s="168">
        <v>2.2158281295721213E-2</v>
      </c>
      <c r="D118" s="168">
        <v>9.5079353752952622E-3</v>
      </c>
    </row>
    <row r="119" spans="2:4" x14ac:dyDescent="0.3">
      <c r="B119" s="169">
        <f>B118+1</f>
        <v>114</v>
      </c>
      <c r="C119" s="168">
        <v>2.1493532856849577E-2</v>
      </c>
      <c r="D119" s="168">
        <v>9.127617960283451E-3</v>
      </c>
    </row>
    <row r="120" spans="2:4" x14ac:dyDescent="0.3">
      <c r="B120" s="169">
        <f>B119+1</f>
        <v>115</v>
      </c>
      <c r="C120" s="168">
        <v>2.0848726871144089E-2</v>
      </c>
      <c r="D120" s="168">
        <v>8.716875152070697E-3</v>
      </c>
    </row>
    <row r="121" spans="2:4" x14ac:dyDescent="0.3">
      <c r="B121" s="169">
        <f>B120+1</f>
        <v>116</v>
      </c>
      <c r="C121" s="168">
        <v>2.0223265065009766E-2</v>
      </c>
      <c r="D121" s="168">
        <v>8.3246157702275159E-3</v>
      </c>
    </row>
    <row r="122" spans="2:4" x14ac:dyDescent="0.3">
      <c r="B122" s="169">
        <f>B121+1</f>
        <v>117</v>
      </c>
      <c r="C122" s="168">
        <v>1.9616567113059473E-2</v>
      </c>
      <c r="D122" s="168">
        <v>7.9500080605672784E-3</v>
      </c>
    </row>
    <row r="123" spans="2:4" x14ac:dyDescent="0.3">
      <c r="B123" s="169">
        <f>B122+1</f>
        <v>118</v>
      </c>
      <c r="C123" s="168">
        <v>1.9028070099667688E-2</v>
      </c>
      <c r="D123" s="168">
        <v>7.5922576978417512E-3</v>
      </c>
    </row>
    <row r="124" spans="2:4" x14ac:dyDescent="0.3">
      <c r="B124" s="169">
        <f>B123+1</f>
        <v>119</v>
      </c>
      <c r="C124" s="168">
        <v>1.8457227996677657E-2</v>
      </c>
      <c r="D124" s="168">
        <v>7.2506061014388726E-3</v>
      </c>
    </row>
    <row r="125" spans="2:4" x14ac:dyDescent="0.3">
      <c r="B125" s="169">
        <f>B124+1</f>
        <v>120</v>
      </c>
      <c r="C125" s="168">
        <v>1.7903511156777328E-2</v>
      </c>
      <c r="D125" s="168">
        <v>6.9243288268741243E-3</v>
      </c>
    </row>
    <row r="126" spans="2:4" x14ac:dyDescent="0.3">
      <c r="B126" s="167" t="s">
        <v>189</v>
      </c>
      <c r="C126" s="166">
        <v>0</v>
      </c>
      <c r="D126" s="166">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9ACA-3805-4B3C-9E47-245044C325E1}">
  <dimension ref="A1:S89"/>
  <sheetViews>
    <sheetView tabSelected="1" workbookViewId="0">
      <selection activeCell="B13" sqref="B13"/>
    </sheetView>
  </sheetViews>
  <sheetFormatPr defaultRowHeight="14.4" x14ac:dyDescent="0.3"/>
  <cols>
    <col min="2" max="2" width="30" bestFit="1" customWidth="1"/>
    <col min="3" max="3" width="14.44140625" bestFit="1" customWidth="1"/>
    <col min="4" max="4" width="15.5546875" bestFit="1" customWidth="1"/>
    <col min="5" max="5" width="16.77734375" bestFit="1" customWidth="1"/>
    <col min="6" max="6" width="13.77734375" bestFit="1" customWidth="1"/>
    <col min="7" max="7" width="9.77734375" bestFit="1" customWidth="1"/>
    <col min="9" max="9" width="27.21875" bestFit="1" customWidth="1"/>
    <col min="10" max="10" width="14.44140625" bestFit="1" customWidth="1"/>
    <col min="11" max="11" width="15.5546875" bestFit="1" customWidth="1"/>
    <col min="12" max="12" width="16.77734375" bestFit="1" customWidth="1"/>
    <col min="13" max="13" width="13.77734375" bestFit="1" customWidth="1"/>
  </cols>
  <sheetData>
    <row r="1" spans="1:19" ht="23.4" x14ac:dyDescent="0.45">
      <c r="A1" s="152" t="s">
        <v>192</v>
      </c>
      <c r="B1" s="127"/>
      <c r="C1" s="127"/>
      <c r="D1" s="127"/>
      <c r="E1" s="127"/>
      <c r="F1" s="127"/>
      <c r="G1" s="127"/>
      <c r="H1" s="127"/>
      <c r="I1" s="127"/>
      <c r="J1" s="127"/>
      <c r="K1" s="127"/>
      <c r="L1" s="127"/>
      <c r="M1" s="127"/>
      <c r="N1" s="127"/>
      <c r="O1" s="127"/>
      <c r="P1" s="127"/>
      <c r="Q1" s="127"/>
      <c r="R1" s="127"/>
      <c r="S1" s="127"/>
    </row>
    <row r="2" spans="1:19" ht="15.6" x14ac:dyDescent="0.3">
      <c r="A2" s="6"/>
      <c r="B2" s="134" t="s">
        <v>217</v>
      </c>
      <c r="C2" s="134"/>
      <c r="D2" s="134"/>
      <c r="E2" s="134"/>
      <c r="F2" s="2"/>
      <c r="G2" s="2"/>
      <c r="H2" s="2"/>
      <c r="I2" s="2"/>
      <c r="J2" s="2"/>
      <c r="K2" s="2"/>
      <c r="L2" s="2"/>
      <c r="M2" s="2"/>
      <c r="N2" s="2"/>
      <c r="O2" s="2"/>
      <c r="P2" s="2"/>
      <c r="Q2" s="2"/>
      <c r="R2" s="2"/>
      <c r="S2" s="2"/>
    </row>
    <row r="3" spans="1:19" ht="15.6" x14ac:dyDescent="0.3">
      <c r="A3" s="6"/>
      <c r="B3" s="134"/>
      <c r="C3" s="134"/>
      <c r="D3" s="134"/>
      <c r="E3" s="134"/>
      <c r="F3" s="2"/>
      <c r="G3" s="2"/>
      <c r="H3" s="2"/>
      <c r="I3" s="2"/>
      <c r="J3" s="2"/>
      <c r="K3" s="2"/>
      <c r="L3" s="2"/>
      <c r="M3" s="2"/>
      <c r="N3" s="2"/>
      <c r="O3" s="2"/>
      <c r="P3" s="2"/>
      <c r="Q3" s="2"/>
      <c r="R3" s="2"/>
      <c r="S3" s="2"/>
    </row>
    <row r="4" spans="1:19" ht="15.6" x14ac:dyDescent="0.3">
      <c r="A4" s="151"/>
      <c r="B4" s="4" t="s">
        <v>216</v>
      </c>
      <c r="C4" s="2"/>
      <c r="D4" s="2"/>
      <c r="E4" s="2"/>
      <c r="F4" s="2"/>
      <c r="G4" s="2"/>
      <c r="H4" s="2"/>
      <c r="I4" s="2"/>
      <c r="J4" s="2"/>
      <c r="K4" s="2"/>
      <c r="L4" s="2"/>
      <c r="M4" s="2"/>
      <c r="N4" s="2"/>
      <c r="O4" s="2"/>
      <c r="P4" s="2"/>
      <c r="Q4" s="2"/>
      <c r="R4" s="2"/>
      <c r="S4" s="2"/>
    </row>
    <row r="5" spans="1:19" ht="15.6" x14ac:dyDescent="0.3">
      <c r="A5" s="2"/>
      <c r="B5" s="129"/>
      <c r="C5" s="129" t="s">
        <v>200</v>
      </c>
      <c r="D5" s="129" t="s">
        <v>199</v>
      </c>
      <c r="E5" s="2"/>
      <c r="F5" s="2"/>
      <c r="G5" s="2"/>
      <c r="H5" s="2"/>
      <c r="I5" s="2"/>
      <c r="J5" s="2"/>
      <c r="K5" s="2"/>
      <c r="L5" s="2"/>
      <c r="M5" s="2"/>
      <c r="N5" s="2"/>
      <c r="O5" s="2"/>
      <c r="P5" s="2"/>
      <c r="Q5" s="2"/>
      <c r="R5" s="2"/>
      <c r="S5" s="2"/>
    </row>
    <row r="6" spans="1:19" ht="15.6" x14ac:dyDescent="0.3">
      <c r="A6" s="2"/>
      <c r="B6" s="129" t="s">
        <v>190</v>
      </c>
      <c r="C6" s="190">
        <v>77</v>
      </c>
      <c r="D6" s="190">
        <v>83</v>
      </c>
      <c r="E6" s="2"/>
      <c r="F6" s="2"/>
      <c r="G6" s="2"/>
      <c r="H6" s="2"/>
      <c r="I6" s="2"/>
      <c r="J6" s="2"/>
      <c r="K6" s="2"/>
      <c r="L6" s="2"/>
      <c r="M6" s="2"/>
      <c r="N6" s="2"/>
      <c r="O6" s="2"/>
      <c r="P6" s="2"/>
      <c r="Q6" s="2"/>
      <c r="R6" s="2"/>
      <c r="S6" s="2"/>
    </row>
    <row r="7" spans="1:19" ht="15.6" x14ac:dyDescent="0.3">
      <c r="A7" s="2"/>
      <c r="B7" s="129" t="s">
        <v>215</v>
      </c>
      <c r="C7" s="190">
        <v>79</v>
      </c>
      <c r="D7" s="190">
        <v>88.5</v>
      </c>
      <c r="E7" s="2"/>
      <c r="F7" s="2"/>
      <c r="G7" s="2"/>
      <c r="H7" s="2"/>
      <c r="I7" s="2"/>
      <c r="J7" s="2"/>
      <c r="K7" s="2"/>
      <c r="L7" s="2"/>
      <c r="M7" s="2"/>
      <c r="N7" s="2"/>
      <c r="O7" s="2"/>
      <c r="P7" s="2"/>
      <c r="Q7" s="2"/>
      <c r="R7" s="2"/>
      <c r="S7" s="2"/>
    </row>
    <row r="8" spans="1:19" ht="15.6" x14ac:dyDescent="0.3">
      <c r="A8" s="2"/>
      <c r="B8" s="129" t="s">
        <v>214</v>
      </c>
      <c r="C8" s="133">
        <v>6237</v>
      </c>
      <c r="D8" s="133">
        <v>4500</v>
      </c>
      <c r="E8" s="2"/>
      <c r="F8" s="2"/>
      <c r="G8" s="2"/>
      <c r="H8" s="2"/>
      <c r="I8" s="2"/>
      <c r="J8" s="2"/>
      <c r="K8" s="2"/>
      <c r="L8" s="2"/>
      <c r="M8" s="2"/>
      <c r="N8" s="2"/>
      <c r="O8" s="2"/>
      <c r="P8" s="2"/>
      <c r="Q8" s="2"/>
      <c r="R8" s="2"/>
      <c r="S8" s="2"/>
    </row>
    <row r="9" spans="1:19" ht="15.6" x14ac:dyDescent="0.3">
      <c r="A9" s="2"/>
      <c r="B9" s="129" t="s">
        <v>129</v>
      </c>
      <c r="C9" s="129" t="s">
        <v>213</v>
      </c>
      <c r="D9" s="129" t="s">
        <v>212</v>
      </c>
      <c r="E9" s="2"/>
      <c r="F9" s="2"/>
      <c r="G9" s="2"/>
      <c r="H9" s="2"/>
      <c r="I9" s="2"/>
      <c r="J9" s="2"/>
      <c r="K9" s="2"/>
      <c r="L9" s="2"/>
      <c r="M9" s="2"/>
      <c r="N9" s="2"/>
      <c r="O9" s="2"/>
      <c r="P9" s="2"/>
      <c r="Q9" s="2"/>
      <c r="R9" s="2"/>
      <c r="S9" s="2"/>
    </row>
    <row r="10" spans="1:19" ht="15.6" x14ac:dyDescent="0.3">
      <c r="A10" s="2"/>
      <c r="B10" s="129" t="s">
        <v>127</v>
      </c>
      <c r="C10" s="129" t="s">
        <v>211</v>
      </c>
      <c r="D10" s="129" t="s">
        <v>211</v>
      </c>
      <c r="E10" s="2"/>
      <c r="F10" s="2"/>
      <c r="G10" s="2"/>
      <c r="H10" s="2"/>
      <c r="I10" s="2"/>
      <c r="J10" s="2"/>
      <c r="K10" s="2"/>
      <c r="L10" s="2"/>
      <c r="M10" s="2"/>
      <c r="N10" s="2"/>
      <c r="O10" s="2"/>
      <c r="P10" s="2"/>
      <c r="Q10" s="2"/>
      <c r="R10" s="2"/>
      <c r="S10" s="2"/>
    </row>
    <row r="11" spans="1:19" ht="15.6" x14ac:dyDescent="0.3">
      <c r="A11" s="2"/>
      <c r="B11" s="129" t="s">
        <v>210</v>
      </c>
      <c r="C11" s="131">
        <v>0.05</v>
      </c>
      <c r="D11" s="131">
        <v>0</v>
      </c>
      <c r="E11" s="2"/>
      <c r="F11" s="2"/>
      <c r="G11" s="2"/>
      <c r="H11" s="2"/>
      <c r="I11" s="2"/>
      <c r="J11" s="2"/>
      <c r="K11" s="2"/>
      <c r="L11" s="2"/>
      <c r="M11" s="2"/>
      <c r="N11" s="2"/>
      <c r="O11" s="2"/>
      <c r="P11" s="2"/>
      <c r="Q11" s="2"/>
      <c r="R11" s="2"/>
      <c r="S11" s="2"/>
    </row>
    <row r="12" spans="1:19" ht="15.6" x14ac:dyDescent="0.3">
      <c r="A12" s="6"/>
      <c r="B12" s="188"/>
      <c r="C12" s="188"/>
      <c r="D12" s="188"/>
      <c r="E12" s="2"/>
      <c r="F12" s="132"/>
      <c r="G12" s="2"/>
      <c r="H12" s="2"/>
      <c r="I12" s="2"/>
      <c r="J12" s="2"/>
      <c r="K12" s="2"/>
      <c r="L12" s="2"/>
      <c r="M12" s="2"/>
      <c r="N12" s="2"/>
      <c r="O12" s="2"/>
      <c r="P12" s="2"/>
      <c r="Q12" s="2"/>
      <c r="R12" s="2"/>
      <c r="S12" s="2"/>
    </row>
    <row r="13" spans="1:19" ht="15.6" x14ac:dyDescent="0.3">
      <c r="A13" s="6"/>
      <c r="B13" s="189" t="s">
        <v>209</v>
      </c>
      <c r="C13" s="188"/>
      <c r="D13" s="188"/>
      <c r="E13" s="188"/>
      <c r="F13" s="2"/>
      <c r="G13" s="2"/>
      <c r="H13" s="2"/>
      <c r="I13" s="2"/>
      <c r="J13" s="2"/>
      <c r="K13" s="2"/>
      <c r="L13" s="2"/>
      <c r="M13" s="2"/>
      <c r="N13" s="2"/>
      <c r="O13" s="2"/>
      <c r="P13" s="2"/>
      <c r="Q13" s="2"/>
      <c r="R13" s="2"/>
      <c r="S13" s="2"/>
    </row>
    <row r="14" spans="1:19" ht="15.6" x14ac:dyDescent="0.3">
      <c r="A14" s="6"/>
      <c r="B14" s="128" t="s">
        <v>208</v>
      </c>
      <c r="C14" s="188"/>
      <c r="D14" s="188"/>
      <c r="E14" s="2"/>
      <c r="F14" s="132"/>
      <c r="G14" s="2"/>
      <c r="H14" s="2"/>
      <c r="I14" s="2"/>
      <c r="J14" s="2"/>
      <c r="K14" s="2"/>
      <c r="L14" s="2"/>
      <c r="M14" s="2"/>
      <c r="N14" s="2"/>
      <c r="O14" s="2"/>
      <c r="P14" s="2"/>
      <c r="Q14" s="2"/>
      <c r="R14" s="2"/>
      <c r="S14" s="2"/>
    </row>
    <row r="15" spans="1:19" ht="15.6" x14ac:dyDescent="0.3">
      <c r="A15" s="6"/>
      <c r="B15" s="128" t="s">
        <v>207</v>
      </c>
      <c r="C15" s="188"/>
      <c r="D15" s="188"/>
      <c r="E15" s="2"/>
      <c r="F15" s="132"/>
      <c r="G15" s="2"/>
      <c r="H15" s="2"/>
      <c r="I15" s="2"/>
      <c r="J15" s="2"/>
      <c r="K15" s="2"/>
      <c r="L15" s="2"/>
      <c r="M15" s="2"/>
      <c r="N15" s="2"/>
      <c r="O15" s="2"/>
      <c r="P15" s="2"/>
      <c r="Q15" s="2"/>
      <c r="R15" s="2"/>
      <c r="S15" s="2"/>
    </row>
    <row r="16" spans="1:19" ht="15.6" x14ac:dyDescent="0.3">
      <c r="A16" s="6"/>
      <c r="B16" s="128" t="s">
        <v>206</v>
      </c>
      <c r="C16" s="188"/>
      <c r="D16" s="188"/>
      <c r="E16" s="2"/>
      <c r="F16" s="132"/>
      <c r="G16" s="2"/>
      <c r="H16" s="2"/>
      <c r="I16" s="2"/>
      <c r="J16" s="2"/>
      <c r="K16" s="2"/>
      <c r="L16" s="2"/>
      <c r="M16" s="2"/>
      <c r="N16" s="2"/>
      <c r="O16" s="2"/>
      <c r="P16" s="2"/>
      <c r="Q16" s="2"/>
      <c r="R16" s="2"/>
      <c r="S16" s="2"/>
    </row>
    <row r="17" spans="1:19" ht="15.6" x14ac:dyDescent="0.3">
      <c r="A17" s="6"/>
      <c r="B17" s="128" t="s">
        <v>205</v>
      </c>
      <c r="C17" s="188"/>
      <c r="D17" s="188"/>
      <c r="E17" s="2"/>
      <c r="F17" s="132"/>
      <c r="G17" s="2"/>
      <c r="H17" s="2"/>
      <c r="I17" s="2"/>
      <c r="J17" s="2"/>
      <c r="K17" s="2"/>
      <c r="L17" s="2"/>
      <c r="M17" s="2"/>
      <c r="N17" s="2"/>
      <c r="O17" s="2"/>
      <c r="P17" s="2"/>
      <c r="Q17" s="2"/>
      <c r="R17" s="2"/>
      <c r="S17" s="2"/>
    </row>
    <row r="18" spans="1:19" ht="15.6" x14ac:dyDescent="0.3">
      <c r="A18" s="6"/>
      <c r="B18" s="2"/>
      <c r="C18" s="2"/>
      <c r="D18" s="2"/>
      <c r="E18" s="2"/>
      <c r="F18" s="2"/>
      <c r="G18" s="2"/>
      <c r="H18" s="2"/>
      <c r="I18" s="2"/>
      <c r="J18" s="2"/>
      <c r="K18" s="2"/>
      <c r="L18" s="2"/>
      <c r="M18" s="2"/>
      <c r="N18" s="2"/>
      <c r="O18" s="2"/>
      <c r="P18" s="2"/>
      <c r="Q18" s="2"/>
      <c r="R18" s="2"/>
      <c r="S18" s="2"/>
    </row>
    <row r="19" spans="1:19" ht="15.6" x14ac:dyDescent="0.3">
      <c r="A19" s="6" t="s">
        <v>204</v>
      </c>
      <c r="B19" s="128"/>
      <c r="C19" s="2"/>
      <c r="D19" s="2"/>
      <c r="E19" s="2"/>
      <c r="F19" s="2"/>
      <c r="G19" s="2"/>
      <c r="H19" s="2"/>
      <c r="I19" s="2"/>
      <c r="J19" s="2"/>
      <c r="K19" s="2"/>
      <c r="L19" s="2"/>
      <c r="M19" s="2"/>
      <c r="N19" s="2"/>
      <c r="O19" s="2"/>
      <c r="P19" s="2"/>
      <c r="Q19" s="2"/>
      <c r="R19" s="2"/>
      <c r="S19" s="2"/>
    </row>
    <row r="20" spans="1:19" ht="15.6" x14ac:dyDescent="0.3">
      <c r="A20" s="3" t="s">
        <v>117</v>
      </c>
    </row>
    <row r="21" spans="1:19" ht="15.6" x14ac:dyDescent="0.3">
      <c r="A21" s="3"/>
      <c r="B21" s="187" t="s">
        <v>203</v>
      </c>
    </row>
    <row r="22" spans="1:19" ht="15.6" x14ac:dyDescent="0.3">
      <c r="A22" s="3"/>
      <c r="B22" t="s">
        <v>202</v>
      </c>
    </row>
    <row r="23" spans="1:19" ht="15.6" x14ac:dyDescent="0.3">
      <c r="A23" s="3"/>
      <c r="B23" t="s">
        <v>201</v>
      </c>
    </row>
    <row r="24" spans="1:19" ht="15.6" x14ac:dyDescent="0.3">
      <c r="A24" s="3"/>
    </row>
    <row r="25" spans="1:19" x14ac:dyDescent="0.3">
      <c r="A25" s="186" t="s">
        <v>200</v>
      </c>
      <c r="B25" s="185"/>
      <c r="C25" s="185"/>
      <c r="D25" s="185"/>
      <c r="E25" s="185"/>
      <c r="F25" s="184"/>
      <c r="H25" s="186" t="s">
        <v>199</v>
      </c>
      <c r="I25" s="185"/>
      <c r="J25" s="185"/>
      <c r="K25" s="185"/>
      <c r="L25" s="185"/>
      <c r="M25" s="184"/>
    </row>
    <row r="26" spans="1:19" x14ac:dyDescent="0.3">
      <c r="A26" t="s">
        <v>198</v>
      </c>
      <c r="H26" t="s">
        <v>197</v>
      </c>
    </row>
    <row r="27" spans="1:19" x14ac:dyDescent="0.3">
      <c r="A27" t="s">
        <v>196</v>
      </c>
      <c r="H27" t="s">
        <v>195</v>
      </c>
    </row>
    <row r="28" spans="1:19" x14ac:dyDescent="0.3">
      <c r="A28" t="s">
        <v>194</v>
      </c>
      <c r="B28" t="s">
        <v>110</v>
      </c>
      <c r="C28" t="s">
        <v>107</v>
      </c>
      <c r="D28" t="s">
        <v>106</v>
      </c>
      <c r="E28" t="s">
        <v>193</v>
      </c>
      <c r="F28" t="s">
        <v>105</v>
      </c>
      <c r="H28" t="s">
        <v>194</v>
      </c>
      <c r="I28" t="s">
        <v>110</v>
      </c>
      <c r="J28" t="s">
        <v>107</v>
      </c>
      <c r="K28" t="s">
        <v>106</v>
      </c>
      <c r="L28" t="s">
        <v>193</v>
      </c>
      <c r="M28" t="s">
        <v>105</v>
      </c>
    </row>
    <row r="29" spans="1:19" x14ac:dyDescent="0.3">
      <c r="A29">
        <v>0</v>
      </c>
      <c r="B29">
        <v>24</v>
      </c>
      <c r="F29" s="183">
        <f>SUMPRODUCT(E30:E53,D30:D53,C30:C53)</f>
        <v>104674.49004497862</v>
      </c>
      <c r="H29">
        <v>0</v>
      </c>
      <c r="I29">
        <v>66</v>
      </c>
      <c r="M29" s="183">
        <f>SUMPRODUCT(L30:L85,K30:K85,J30:J85)</f>
        <v>94224.332285416531</v>
      </c>
    </row>
    <row r="30" spans="1:19" x14ac:dyDescent="0.3">
      <c r="A30">
        <f>A29+1</f>
        <v>1</v>
      </c>
      <c r="B30">
        <f>B29+1</f>
        <v>25</v>
      </c>
      <c r="C30" s="118">
        <f>(1+4%)^((0.5-A30)/12)</f>
        <v>0.99836713819043665</v>
      </c>
      <c r="D30" s="182">
        <f>$C$8</f>
        <v>6237</v>
      </c>
      <c r="E30" s="180">
        <f>AVERAGE('Continuance Rates'!C29:C30)/'Continuance Rates'!$C$29</f>
        <v>0.98499999999999999</v>
      </c>
      <c r="H30">
        <f>H29+1</f>
        <v>1</v>
      </c>
      <c r="I30">
        <f>I29+1</f>
        <v>67</v>
      </c>
      <c r="J30" s="118">
        <f>(1+4%)^((0.5-H30)/12)</f>
        <v>0.99836713819043665</v>
      </c>
      <c r="K30" s="117">
        <f>$D$8</f>
        <v>4500</v>
      </c>
      <c r="L30" s="180">
        <f>AVERAGE('Continuance Rates'!D71:D72)/'Continuance Rates'!$D$71</f>
        <v>0.98249999999999993</v>
      </c>
    </row>
    <row r="31" spans="1:19" x14ac:dyDescent="0.3">
      <c r="A31">
        <f>A30+1</f>
        <v>2</v>
      </c>
      <c r="B31">
        <f>B30+1</f>
        <v>26</v>
      </c>
      <c r="C31" s="118">
        <f>(1+4%)^((0.5-A31)/12)</f>
        <v>0.99510940893077959</v>
      </c>
      <c r="D31" s="182">
        <f>$C$8</f>
        <v>6237</v>
      </c>
      <c r="E31" s="180">
        <f>AVERAGE('Continuance Rates'!C30:C31)/'Continuance Rates'!$C$29</f>
        <v>0.95544999999999991</v>
      </c>
      <c r="H31">
        <f>H30+1</f>
        <v>2</v>
      </c>
      <c r="I31">
        <f>I30+1</f>
        <v>68</v>
      </c>
      <c r="J31" s="118">
        <f>(1+4%)^((0.5-H31)/12)</f>
        <v>0.99510940893077959</v>
      </c>
      <c r="K31" s="117">
        <f>$D$8</f>
        <v>4500</v>
      </c>
      <c r="L31" s="180">
        <f>AVERAGE('Continuance Rates'!D72:D73)/'Continuance Rates'!$D$71</f>
        <v>0.94811249999999991</v>
      </c>
    </row>
    <row r="32" spans="1:19" x14ac:dyDescent="0.3">
      <c r="A32">
        <f>A31+1</f>
        <v>3</v>
      </c>
      <c r="B32">
        <f>B31+1</f>
        <v>27</v>
      </c>
      <c r="C32" s="118">
        <f>(1+4%)^((0.5-A32)/12)</f>
        <v>0.99186230982862988</v>
      </c>
      <c r="D32" s="182">
        <f>$C$8</f>
        <v>6237</v>
      </c>
      <c r="E32" s="180">
        <f>AVERAGE('Continuance Rates'!C31:C32)/'Continuance Rates'!$C$29</f>
        <v>0.92678649999999974</v>
      </c>
      <c r="H32">
        <f>H31+1</f>
        <v>3</v>
      </c>
      <c r="I32">
        <f>I31+1</f>
        <v>69</v>
      </c>
      <c r="J32" s="118">
        <f>(1+4%)^((0.5-H32)/12)</f>
        <v>0.99186230982862988</v>
      </c>
      <c r="K32" s="117">
        <f>$D$8</f>
        <v>4500</v>
      </c>
      <c r="L32" s="180">
        <f>AVERAGE('Continuance Rates'!D73:D74)/'Continuance Rates'!$D$71</f>
        <v>0.91492856249999988</v>
      </c>
    </row>
    <row r="33" spans="1:12" x14ac:dyDescent="0.3">
      <c r="A33">
        <f>A32+1</f>
        <v>4</v>
      </c>
      <c r="B33">
        <f>B32+1</f>
        <v>28</v>
      </c>
      <c r="C33" s="118">
        <f>(1+4%)^((0.5-A33)/12)</f>
        <v>0.98862580619717366</v>
      </c>
      <c r="D33" s="182">
        <f>$C$8</f>
        <v>6237</v>
      </c>
      <c r="E33" s="180">
        <f>AVERAGE('Continuance Rates'!C32:C33)/'Continuance Rates'!$C$29</f>
        <v>0.89898290499999978</v>
      </c>
      <c r="H33">
        <f>H32+1</f>
        <v>4</v>
      </c>
      <c r="I33">
        <f>I32+1</f>
        <v>70</v>
      </c>
      <c r="J33" s="118">
        <f>(1+4%)^((0.5-H33)/12)</f>
        <v>0.98862580619717366</v>
      </c>
      <c r="K33" s="117">
        <f>$D$8</f>
        <v>4500</v>
      </c>
      <c r="L33" s="180">
        <f>AVERAGE('Continuance Rates'!D74:D75)/'Continuance Rates'!$D$71</f>
        <v>0.88290606281249984</v>
      </c>
    </row>
    <row r="34" spans="1:12" x14ac:dyDescent="0.3">
      <c r="A34">
        <f>A33+1</f>
        <v>5</v>
      </c>
      <c r="B34">
        <f>B33+1</f>
        <v>29</v>
      </c>
      <c r="C34" s="118">
        <f>(1+4%)^((0.5-A34)/12)</f>
        <v>0.9853998634627823</v>
      </c>
      <c r="D34" s="182">
        <f>$C$8</f>
        <v>6237</v>
      </c>
      <c r="E34" s="180">
        <f>AVERAGE('Continuance Rates'!C33:C34)/'Continuance Rates'!$C$29</f>
        <v>0.87201341784999986</v>
      </c>
      <c r="H34">
        <f>H33+1</f>
        <v>5</v>
      </c>
      <c r="I34">
        <f>I33+1</f>
        <v>71</v>
      </c>
      <c r="J34" s="118">
        <f>(1+4%)^((0.5-H34)/12)</f>
        <v>0.9853998634627823</v>
      </c>
      <c r="K34" s="117">
        <f>$D$8</f>
        <v>4500</v>
      </c>
      <c r="L34" s="180">
        <f>AVERAGE('Continuance Rates'!D75:D76)/'Continuance Rates'!$D$71</f>
        <v>0.84983640061249976</v>
      </c>
    </row>
    <row r="35" spans="1:12" x14ac:dyDescent="0.3">
      <c r="A35">
        <f>A34+1</f>
        <v>6</v>
      </c>
      <c r="B35">
        <f>B34+1</f>
        <v>30</v>
      </c>
      <c r="C35" s="118">
        <f>(1+4%)^((0.5-A35)/12)</f>
        <v>0.98218444716464237</v>
      </c>
      <c r="D35" s="182">
        <f>$C$8</f>
        <v>6237</v>
      </c>
      <c r="E35" s="180">
        <f>AVERAGE('Continuance Rates'!C34:C35)/'Continuance Rates'!$C$29</f>
        <v>0.84585301531449986</v>
      </c>
      <c r="H35">
        <f>H34+1</f>
        <v>6</v>
      </c>
      <c r="I35">
        <f>I34+1</f>
        <v>72</v>
      </c>
      <c r="J35" s="118">
        <f>(1+4%)^((0.5-H35)/12)</f>
        <v>0.98218444716464237</v>
      </c>
      <c r="K35" s="117">
        <f>$D$8</f>
        <v>4500</v>
      </c>
      <c r="L35" s="180">
        <f>AVERAGE('Continuance Rates'!D76:D77)/'Continuance Rates'!$D$71</f>
        <v>0.81584294458799977</v>
      </c>
    </row>
    <row r="36" spans="1:12" x14ac:dyDescent="0.3">
      <c r="A36">
        <f>A35+1</f>
        <v>7</v>
      </c>
      <c r="B36">
        <f>B35+1</f>
        <v>31</v>
      </c>
      <c r="C36" s="118">
        <f>(1+4%)^((0.5-A36)/12)</f>
        <v>0.9789795229543885</v>
      </c>
      <c r="D36" s="182">
        <f>$C$8</f>
        <v>6237</v>
      </c>
      <c r="E36" s="180">
        <f>AVERAGE('Continuance Rates'!C35:C36)/'Continuance Rates'!$C$29</f>
        <v>0.8204774248550647</v>
      </c>
      <c r="H36">
        <f>H35+1</f>
        <v>7</v>
      </c>
      <c r="I36">
        <f>I35+1</f>
        <v>73</v>
      </c>
      <c r="J36" s="118">
        <f>(1+4%)^((0.5-H36)/12)</f>
        <v>0.9789795229543885</v>
      </c>
      <c r="K36" s="117">
        <f>$D$8</f>
        <v>4500</v>
      </c>
      <c r="L36" s="180">
        <f>AVERAGE('Continuance Rates'!D77:D78)/'Continuance Rates'!$D$71</f>
        <v>0.7832092268044798</v>
      </c>
    </row>
    <row r="37" spans="1:12" x14ac:dyDescent="0.3">
      <c r="A37">
        <f>A36+1</f>
        <v>8</v>
      </c>
      <c r="B37">
        <f>B36+1</f>
        <v>32</v>
      </c>
      <c r="C37" s="118">
        <f>(1+4%)^((0.5-A37)/12)</f>
        <v>0.975785056595736</v>
      </c>
      <c r="D37" s="182">
        <f>$C$8</f>
        <v>6237</v>
      </c>
      <c r="E37" s="180">
        <f>AVERAGE('Continuance Rates'!C36:C37)/'Continuance Rates'!$C$29</f>
        <v>0.79586310210941269</v>
      </c>
      <c r="H37">
        <f>H36+1</f>
        <v>8</v>
      </c>
      <c r="I37">
        <f>I36+1</f>
        <v>74</v>
      </c>
      <c r="J37" s="118">
        <f>(1+4%)^((0.5-H37)/12)</f>
        <v>0.975785056595736</v>
      </c>
      <c r="K37" s="117">
        <f>$D$8</f>
        <v>4500</v>
      </c>
      <c r="L37" s="180">
        <f>AVERAGE('Continuance Rates'!D78:D79)/'Continuance Rates'!$D$71</f>
        <v>0.75188085773230051</v>
      </c>
    </row>
    <row r="38" spans="1:12" x14ac:dyDescent="0.3">
      <c r="A38">
        <f>A37+1</f>
        <v>9</v>
      </c>
      <c r="B38">
        <f>B37+1</f>
        <v>33</v>
      </c>
      <c r="C38" s="118">
        <f>(1+4%)^((0.5-A38)/12)</f>
        <v>0.97260101396411469</v>
      </c>
      <c r="D38" s="182">
        <f>$C$8</f>
        <v>6237</v>
      </c>
      <c r="E38" s="180">
        <f>AVERAGE('Continuance Rates'!C37:C38)/'Continuance Rates'!$C$29</f>
        <v>0.77198720904613027</v>
      </c>
      <c r="H38">
        <f>H37+1</f>
        <v>9</v>
      </c>
      <c r="I38">
        <f>I37+1</f>
        <v>75</v>
      </c>
      <c r="J38" s="118">
        <f>(1+4%)^((0.5-H38)/12)</f>
        <v>0.97260101396411469</v>
      </c>
      <c r="K38" s="117">
        <f>$D$8</f>
        <v>4500</v>
      </c>
      <c r="L38" s="180">
        <f>AVERAGE('Continuance Rates'!D79:D80)/'Continuance Rates'!$D$71</f>
        <v>0.72180562342300847</v>
      </c>
    </row>
    <row r="39" spans="1:12" x14ac:dyDescent="0.3">
      <c r="A39">
        <f>A38+1</f>
        <v>10</v>
      </c>
      <c r="B39">
        <f>B38+1</f>
        <v>34</v>
      </c>
      <c r="C39" s="118">
        <f>(1+4%)^((0.5-A39)/12)</f>
        <v>0.96942736104630534</v>
      </c>
      <c r="D39" s="182">
        <f>$C$8</f>
        <v>6237</v>
      </c>
      <c r="E39" s="180">
        <f>AVERAGE('Continuance Rates'!C38:C39)/'Continuance Rates'!$C$29</f>
        <v>0.74882759277474631</v>
      </c>
      <c r="H39">
        <f>H38+1</f>
        <v>10</v>
      </c>
      <c r="I39">
        <f>I38+1</f>
        <v>76</v>
      </c>
      <c r="J39" s="118">
        <f>(1+4%)^((0.5-H39)/12)</f>
        <v>0.96942736104630534</v>
      </c>
      <c r="K39" s="117">
        <f>$D$8</f>
        <v>4500</v>
      </c>
      <c r="L39" s="180">
        <f>AVERAGE('Continuance Rates'!D80:D81)/'Continuance Rates'!$D$71</f>
        <v>0.69293339848608793</v>
      </c>
    </row>
    <row r="40" spans="1:12" x14ac:dyDescent="0.3">
      <c r="A40">
        <f>A39+1</f>
        <v>11</v>
      </c>
      <c r="B40">
        <f>B39+1</f>
        <v>35</v>
      </c>
      <c r="C40" s="118">
        <f>(1+4%)^((0.5-A40)/12)</f>
        <v>0.96626406394007547</v>
      </c>
      <c r="D40" s="181">
        <f>$C$8</f>
        <v>6237</v>
      </c>
      <c r="E40" s="180">
        <f>AVERAGE('Continuance Rates'!C39:C40)/'Continuance Rates'!$C$29</f>
        <v>0.72636276499150398</v>
      </c>
      <c r="H40">
        <f>H39+1</f>
        <v>11</v>
      </c>
      <c r="I40">
        <f>I39+1</f>
        <v>77</v>
      </c>
      <c r="J40" s="118">
        <f>(1+4%)^((0.5-H40)/12)</f>
        <v>0.96626406394007547</v>
      </c>
      <c r="K40" s="117">
        <f>$D$8</f>
        <v>4500</v>
      </c>
      <c r="L40" s="180">
        <f>AVERAGE('Continuance Rates'!D81:D82)/'Continuance Rates'!$D$71</f>
        <v>0.66521606254664445</v>
      </c>
    </row>
    <row r="41" spans="1:12" x14ac:dyDescent="0.3">
      <c r="A41">
        <f>A40+1</f>
        <v>12</v>
      </c>
      <c r="B41">
        <f>B40+1</f>
        <v>36</v>
      </c>
      <c r="C41" s="118">
        <f>(1+4%)^((0.5-A41)/12)</f>
        <v>0.96311108885381791</v>
      </c>
      <c r="D41" s="181">
        <f>$C$8</f>
        <v>6237</v>
      </c>
      <c r="E41" s="180">
        <f>AVERAGE('Continuance Rates'!C40:C41)/'Continuance Rates'!$C$29</f>
        <v>0.7045718820417588</v>
      </c>
      <c r="H41">
        <f>H40+1</f>
        <v>12</v>
      </c>
      <c r="I41">
        <f>I40+1</f>
        <v>78</v>
      </c>
      <c r="J41" s="118">
        <f>(1+4%)^((0.5-H41)/12)</f>
        <v>0.96311108885381791</v>
      </c>
      <c r="K41" s="117">
        <f>$D$8</f>
        <v>4500</v>
      </c>
      <c r="L41" s="180">
        <f>AVERAGE('Continuance Rates'!D82:D83)/'Continuance Rates'!$D$71</f>
        <v>0.63860742004477866</v>
      </c>
    </row>
    <row r="42" spans="1:12" x14ac:dyDescent="0.3">
      <c r="A42">
        <f>A41+1</f>
        <v>13</v>
      </c>
      <c r="B42">
        <f>B41+1</f>
        <v>37</v>
      </c>
      <c r="C42" s="118">
        <f>(1+4%)^((0.5-A42)/12)</f>
        <v>0.95996840210618894</v>
      </c>
      <c r="D42" s="181">
        <f>$C$8*(1+$C$11)</f>
        <v>6548.85</v>
      </c>
      <c r="E42" s="180">
        <f>AVERAGE('Continuance Rates'!C41:C42)/'Continuance Rates'!$C$29</f>
        <v>0.683434725580506</v>
      </c>
      <c r="H42">
        <f>H41+1</f>
        <v>13</v>
      </c>
      <c r="I42">
        <f>I41+1</f>
        <v>79</v>
      </c>
      <c r="J42" s="118">
        <f>(1+4%)^((0.5-H42)/12)</f>
        <v>0.95996840210618894</v>
      </c>
      <c r="K42" s="117">
        <f>$D$8</f>
        <v>4500</v>
      </c>
      <c r="L42" s="180">
        <f>AVERAGE('Continuance Rates'!D83:D84)/'Continuance Rates'!$D$71</f>
        <v>0.6130631232429874</v>
      </c>
    </row>
    <row r="43" spans="1:12" x14ac:dyDescent="0.3">
      <c r="A43">
        <f>A42+1</f>
        <v>14</v>
      </c>
      <c r="B43">
        <f>B42+1</f>
        <v>38</v>
      </c>
      <c r="C43" s="118">
        <f>(1+4%)^((0.5-A43)/12)</f>
        <v>0.9568359701257495</v>
      </c>
      <c r="D43" s="181">
        <f>$C$8*(1+$C$11)</f>
        <v>6548.85</v>
      </c>
      <c r="E43" s="180">
        <f>AVERAGE('Continuance Rates'!C42:C43)/'Continuance Rates'!$C$29</f>
        <v>0.66293168381309076</v>
      </c>
      <c r="H43">
        <f>H42+1</f>
        <v>14</v>
      </c>
      <c r="I43">
        <f>I42+1</f>
        <v>80</v>
      </c>
      <c r="J43" s="118">
        <f>(1+4%)^((0.5-H43)/12)</f>
        <v>0.9568359701257495</v>
      </c>
      <c r="K43" s="117">
        <f>$D$8</f>
        <v>4500</v>
      </c>
      <c r="L43" s="180">
        <f>AVERAGE('Continuance Rates'!D84:D85)/'Continuance Rates'!$D$71</f>
        <v>0.58854059831326788</v>
      </c>
    </row>
    <row r="44" spans="1:12" x14ac:dyDescent="0.3">
      <c r="A44">
        <f>A43+1</f>
        <v>15</v>
      </c>
      <c r="B44">
        <f>B43+1</f>
        <v>39</v>
      </c>
      <c r="C44" s="118">
        <f>(1+4%)^((0.5-A44)/12)</f>
        <v>0.95371375945060555</v>
      </c>
      <c r="D44" s="181">
        <f>$C$8*(1+$C$11)</f>
        <v>6548.85</v>
      </c>
      <c r="E44" s="180">
        <f>AVERAGE('Continuance Rates'!C43:C44)/'Continuance Rates'!$C$29</f>
        <v>0.64304373329869802</v>
      </c>
      <c r="H44">
        <f>H43+1</f>
        <v>15</v>
      </c>
      <c r="I44">
        <f>I43+1</f>
        <v>81</v>
      </c>
      <c r="J44" s="118">
        <f>(1+4%)^((0.5-H44)/12)</f>
        <v>0.95371375945060555</v>
      </c>
      <c r="K44" s="117">
        <f>$D$8</f>
        <v>4500</v>
      </c>
      <c r="L44" s="180">
        <f>AVERAGE('Continuance Rates'!D85:D86)/'Continuance Rates'!$D$71</f>
        <v>0.5649989743807371</v>
      </c>
    </row>
    <row r="45" spans="1:12" x14ac:dyDescent="0.3">
      <c r="A45">
        <f>A44+1</f>
        <v>16</v>
      </c>
      <c r="B45">
        <f>B44+1</f>
        <v>40</v>
      </c>
      <c r="C45" s="118">
        <f>(1+4%)^((0.5-A45)/12)</f>
        <v>0.9506017367280517</v>
      </c>
      <c r="D45" s="181">
        <f>$C$8*(1+$C$11)</f>
        <v>6548.85</v>
      </c>
      <c r="E45" s="180">
        <f>AVERAGE('Continuance Rates'!C44:C45)/'Continuance Rates'!$C$29</f>
        <v>0.62375242129973707</v>
      </c>
      <c r="H45">
        <f>H44+1</f>
        <v>16</v>
      </c>
      <c r="I45">
        <f>I44+1</f>
        <v>82</v>
      </c>
      <c r="J45" s="118">
        <f>(1+4%)^((0.5-H45)/12)</f>
        <v>0.9506017367280517</v>
      </c>
      <c r="K45" s="117">
        <f>$D$8</f>
        <v>4500</v>
      </c>
      <c r="L45" s="180">
        <f>AVERAGE('Continuance Rates'!D86:D87)/'Continuance Rates'!$D$71</f>
        <v>0.54239901540550761</v>
      </c>
    </row>
    <row r="46" spans="1:12" x14ac:dyDescent="0.3">
      <c r="A46">
        <f>A45+1</f>
        <v>17</v>
      </c>
      <c r="B46">
        <f>B45+1</f>
        <v>41</v>
      </c>
      <c r="C46" s="118">
        <f>(1+4%)^((0.5-A46)/12)</f>
        <v>0.94749986871421366</v>
      </c>
      <c r="D46" s="181">
        <f>$C$8*(1+$C$11)</f>
        <v>6548.85</v>
      </c>
      <c r="E46" s="180">
        <f>AVERAGE('Continuance Rates'!C45:C46)/'Continuance Rates'!$C$29</f>
        <v>0.60503984866074489</v>
      </c>
      <c r="H46">
        <f>H45+1</f>
        <v>17</v>
      </c>
      <c r="I46">
        <f>I45+1</f>
        <v>83</v>
      </c>
      <c r="J46" s="118">
        <f>(1+4%)^((0.5-H46)/12)</f>
        <v>0.94749986871421366</v>
      </c>
      <c r="K46" s="117">
        <f>$D$8</f>
        <v>4500</v>
      </c>
      <c r="L46" s="180">
        <f>AVERAGE('Continuance Rates'!D87:D88)/'Continuance Rates'!$D$71</f>
        <v>0.52070305478928736</v>
      </c>
    </row>
    <row r="47" spans="1:12" x14ac:dyDescent="0.3">
      <c r="A47">
        <f>A46+1</f>
        <v>18</v>
      </c>
      <c r="B47">
        <f>B46+1</f>
        <v>42</v>
      </c>
      <c r="C47" s="118">
        <f>(1+4%)^((0.5-A47)/12)</f>
        <v>0.94440812227369464</v>
      </c>
      <c r="D47" s="181">
        <f>$C$8*(1+$C$11)</f>
        <v>6548.85</v>
      </c>
      <c r="E47" s="180">
        <f>AVERAGE('Continuance Rates'!C46:C47)/'Continuance Rates'!$C$29</f>
        <v>0.58688865320092254</v>
      </c>
      <c r="H47">
        <f>H46+1</f>
        <v>18</v>
      </c>
      <c r="I47">
        <f>I46+1</f>
        <v>84</v>
      </c>
      <c r="J47" s="118">
        <f>(1+4%)^((0.5-H47)/12)</f>
        <v>0.94440812227369464</v>
      </c>
      <c r="K47" s="117">
        <f>$D$8</f>
        <v>4500</v>
      </c>
      <c r="L47" s="180">
        <f>AVERAGE('Continuance Rates'!D88:D89)/'Continuance Rates'!$D$71</f>
        <v>0.49987493259771582</v>
      </c>
    </row>
    <row r="48" spans="1:12" x14ac:dyDescent="0.3">
      <c r="A48">
        <f>A47+1</f>
        <v>19</v>
      </c>
      <c r="B48">
        <f>B47+1</f>
        <v>43</v>
      </c>
      <c r="C48" s="118">
        <f>(1+4%)^((0.5-A48)/12)</f>
        <v>0.94132646437921963</v>
      </c>
      <c r="D48" s="181">
        <f>$C$8*(1+$C$11)</f>
        <v>6548.85</v>
      </c>
      <c r="E48" s="180">
        <f>AVERAGE('Continuance Rates'!C47:C48)/'Continuance Rates'!$C$29</f>
        <v>0.56928199360489484</v>
      </c>
      <c r="H48">
        <f>H47+1</f>
        <v>19</v>
      </c>
      <c r="I48">
        <f>I47+1</f>
        <v>85</v>
      </c>
      <c r="J48" s="118">
        <f>(1+4%)^((0.5-H48)/12)</f>
        <v>0.94132646437921963</v>
      </c>
      <c r="K48" s="117">
        <f>$D$8</f>
        <v>4500</v>
      </c>
      <c r="L48" s="180">
        <f>AVERAGE('Continuance Rates'!D89:D90)/'Continuance Rates'!$D$71</f>
        <v>0.47987993529380712</v>
      </c>
    </row>
    <row r="49" spans="1:12" x14ac:dyDescent="0.3">
      <c r="A49">
        <f>A48+1</f>
        <v>20</v>
      </c>
      <c r="B49">
        <f>B48+1</f>
        <v>44</v>
      </c>
      <c r="C49" s="118">
        <f>(1+4%)^((0.5-A49)/12)</f>
        <v>0.93825486211128462</v>
      </c>
      <c r="D49" s="181">
        <f>$C$8*(1+$C$11)</f>
        <v>6548.85</v>
      </c>
      <c r="E49" s="180">
        <f>AVERAGE('Continuance Rates'!C48:C49)/'Continuance Rates'!$C$29</f>
        <v>0.55220353379674803</v>
      </c>
      <c r="H49">
        <f>H48+1</f>
        <v>20</v>
      </c>
      <c r="I49">
        <f>I48+1</f>
        <v>86</v>
      </c>
      <c r="J49" s="118">
        <f>(1+4%)^((0.5-H49)/12)</f>
        <v>0.93825486211128462</v>
      </c>
      <c r="K49" s="117">
        <f>$D$8</f>
        <v>4500</v>
      </c>
      <c r="L49" s="180">
        <f>AVERAGE('Continuance Rates'!D90:D91)/'Continuance Rates'!$D$71</f>
        <v>0.46068473788205488</v>
      </c>
    </row>
    <row r="50" spans="1:12" x14ac:dyDescent="0.3">
      <c r="A50">
        <f>A49+1</f>
        <v>21</v>
      </c>
      <c r="B50">
        <f>B49+1</f>
        <v>45</v>
      </c>
      <c r="C50" s="118">
        <f>(1+4%)^((0.5-A50)/12)</f>
        <v>0.93519328265780244</v>
      </c>
      <c r="D50" s="181">
        <f>$C$8*(1+$C$11)</f>
        <v>6548.85</v>
      </c>
      <c r="E50" s="180">
        <f>AVERAGE('Continuance Rates'!C49:C50)/'Continuance Rates'!$C$29</f>
        <v>0.53563742778284551</v>
      </c>
      <c r="H50">
        <f>H49+1</f>
        <v>21</v>
      </c>
      <c r="I50">
        <f>I49+1</f>
        <v>87</v>
      </c>
      <c r="J50" s="118">
        <f>(1+4%)^((0.5-H50)/12)</f>
        <v>0.93519328265780244</v>
      </c>
      <c r="K50" s="117">
        <f>$D$8</f>
        <v>4500</v>
      </c>
      <c r="L50" s="180">
        <f>AVERAGE('Continuance Rates'!D91:D92)/'Continuance Rates'!$D$71</f>
        <v>0.44112914084542887</v>
      </c>
    </row>
    <row r="51" spans="1:12" x14ac:dyDescent="0.3">
      <c r="A51">
        <f>A50+1</f>
        <v>22</v>
      </c>
      <c r="B51">
        <f>B50+1</f>
        <v>46</v>
      </c>
      <c r="C51" s="118">
        <f>(1+4%)^((0.5-A51)/12)</f>
        <v>0.93214169331375507</v>
      </c>
      <c r="D51" s="181">
        <f>$C$8*(1+$C$11)</f>
        <v>6548.85</v>
      </c>
      <c r="E51" s="180">
        <f>AVERAGE('Continuance Rates'!C50:C51)/'Continuance Rates'!$C$29</f>
        <v>0.51956830494936013</v>
      </c>
      <c r="H51">
        <f>H50+1</f>
        <v>22</v>
      </c>
      <c r="I51">
        <f>I50+1</f>
        <v>88</v>
      </c>
      <c r="J51" s="118">
        <f>(1+4%)^((0.5-H51)/12)</f>
        <v>0.93214169331375507</v>
      </c>
      <c r="K51" s="117">
        <f>$D$8</f>
        <v>4500</v>
      </c>
      <c r="L51" s="180">
        <f>AVERAGE('Continuance Rates'!D92:D93)/'Continuance Rates'!$D$71</f>
        <v>0.42235576769026789</v>
      </c>
    </row>
    <row r="52" spans="1:12" x14ac:dyDescent="0.3">
      <c r="A52">
        <f>A51+1</f>
        <v>23</v>
      </c>
      <c r="B52">
        <f>B51+1</f>
        <v>47</v>
      </c>
      <c r="C52" s="118">
        <f>(1+4%)^((0.5-A52)/12)</f>
        <v>0.92910006148084179</v>
      </c>
      <c r="D52" s="181">
        <f>$C$8*(1+$C$11)</f>
        <v>6548.85</v>
      </c>
      <c r="E52" s="180">
        <f>AVERAGE('Continuance Rates'!C51:C52)/'Continuance Rates'!$C$29</f>
        <v>0.50398125580087927</v>
      </c>
      <c r="H52">
        <f>H51+1</f>
        <v>23</v>
      </c>
      <c r="I52">
        <f>I51+1</f>
        <v>89</v>
      </c>
      <c r="J52" s="118">
        <f>(1+4%)^((0.5-H52)/12)</f>
        <v>0.92910006148084179</v>
      </c>
      <c r="K52" s="117">
        <f>$D$8</f>
        <v>4500</v>
      </c>
      <c r="L52" s="180">
        <f>AVERAGE('Continuance Rates'!D93:D94)/'Continuance Rates'!$D$71</f>
        <v>0.40546153698265713</v>
      </c>
    </row>
    <row r="53" spans="1:12" x14ac:dyDescent="0.3">
      <c r="A53">
        <f>A52+1</f>
        <v>24</v>
      </c>
      <c r="B53">
        <f>B52+1</f>
        <v>48</v>
      </c>
      <c r="C53" s="118">
        <f>(1+4%)^((0.5-A53)/12)</f>
        <v>0.92606835466713266</v>
      </c>
      <c r="D53" s="181">
        <f>$C$8*(1+$C$11)</f>
        <v>6548.85</v>
      </c>
      <c r="E53" s="180">
        <f>AVERAGE('Continuance Rates'!C52:C53)/'Continuance Rates'!$C$29</f>
        <v>0.48886181812685303</v>
      </c>
      <c r="H53">
        <f>H52+1</f>
        <v>24</v>
      </c>
      <c r="I53">
        <f>I52+1</f>
        <v>90</v>
      </c>
      <c r="J53" s="118">
        <f>(1+4%)^((0.5-H53)/12)</f>
        <v>0.92606835466713266</v>
      </c>
      <c r="K53" s="117">
        <f>$D$8</f>
        <v>4500</v>
      </c>
      <c r="L53" s="180">
        <f>AVERAGE('Continuance Rates'!D94:D95)/'Continuance Rates'!$D$71</f>
        <v>0.3892430755033508</v>
      </c>
    </row>
    <row r="54" spans="1:12" x14ac:dyDescent="0.3">
      <c r="H54">
        <f>H53+1</f>
        <v>25</v>
      </c>
      <c r="I54">
        <f>I53+1</f>
        <v>91</v>
      </c>
      <c r="J54" s="118">
        <f>(1+4%)^((0.5-H54)/12)</f>
        <v>0.92304654048672019</v>
      </c>
      <c r="K54" s="117">
        <f>$D$8</f>
        <v>4500</v>
      </c>
      <c r="L54" s="180">
        <f>AVERAGE('Continuance Rates'!D95:D96)/'Continuance Rates'!$D$71</f>
        <v>0.37367335248321676</v>
      </c>
    </row>
    <row r="55" spans="1:12" x14ac:dyDescent="0.3">
      <c r="H55">
        <f>H54+1</f>
        <v>26</v>
      </c>
      <c r="I55">
        <f>I54+1</f>
        <v>92</v>
      </c>
      <c r="J55" s="118">
        <f>(1+4%)^((0.5-H55)/12)</f>
        <v>0.92003458665937443</v>
      </c>
      <c r="K55" s="117">
        <f>$D$8</f>
        <v>4500</v>
      </c>
      <c r="L55" s="180">
        <f>AVERAGE('Continuance Rates'!D96:D97)/'Continuance Rates'!$D$71</f>
        <v>0.35872641838388808</v>
      </c>
    </row>
    <row r="56" spans="1:12" x14ac:dyDescent="0.3">
      <c r="H56">
        <f>H55+1</f>
        <v>27</v>
      </c>
      <c r="I56">
        <f>I55+1</f>
        <v>93</v>
      </c>
      <c r="J56" s="118">
        <f>(1+4%)^((0.5-H56)/12)</f>
        <v>0.91703246101019775</v>
      </c>
      <c r="K56" s="117">
        <f>$D$8</f>
        <v>4500</v>
      </c>
      <c r="L56" s="180">
        <f>AVERAGE('Continuance Rates'!D97:D98)/'Continuance Rates'!$D$71</f>
        <v>0.34437736164853261</v>
      </c>
    </row>
    <row r="57" spans="1:12" x14ac:dyDescent="0.3">
      <c r="H57">
        <f>H56+1</f>
        <v>28</v>
      </c>
      <c r="I57">
        <f>I56+1</f>
        <v>94</v>
      </c>
      <c r="J57" s="118">
        <f>(1+4%)^((0.5-H57)/12)</f>
        <v>0.91404013146928031</v>
      </c>
      <c r="K57" s="117">
        <f>$D$8</f>
        <v>4500</v>
      </c>
      <c r="L57" s="180">
        <f>AVERAGE('Continuance Rates'!D98:D99)/'Continuance Rates'!$D$71</f>
        <v>0.33060226718259123</v>
      </c>
    </row>
    <row r="58" spans="1:12" x14ac:dyDescent="0.3">
      <c r="H58">
        <f>H57+1</f>
        <v>29</v>
      </c>
      <c r="I58">
        <f>I57+1</f>
        <v>95</v>
      </c>
      <c r="J58" s="118">
        <f>(1+4%)^((0.5-H58)/12)</f>
        <v>0.91105756607135935</v>
      </c>
      <c r="K58" s="117">
        <f>$D$8</f>
        <v>4500</v>
      </c>
      <c r="L58" s="180">
        <f>AVERAGE('Continuance Rates'!D99:D100)/'Continuance Rates'!$D$71</f>
        <v>0.31737817649528766</v>
      </c>
    </row>
    <row r="59" spans="1:12" x14ac:dyDescent="0.3">
      <c r="H59">
        <f>H58+1</f>
        <v>30</v>
      </c>
      <c r="I59">
        <f>I58+1</f>
        <v>96</v>
      </c>
      <c r="J59" s="118">
        <f>(1+4%)^((0.5-H59)/12)</f>
        <v>0.90808473295547554</v>
      </c>
      <c r="K59" s="117">
        <f>$D$8</f>
        <v>4500</v>
      </c>
      <c r="L59" s="180">
        <f>AVERAGE('Continuance Rates'!D100:D101)/'Continuance Rates'!$D$71</f>
        <v>0.30468304943547608</v>
      </c>
    </row>
    <row r="60" spans="1:12" x14ac:dyDescent="0.3">
      <c r="H60">
        <f>H59+1</f>
        <v>31</v>
      </c>
      <c r="I60">
        <f>I59+1</f>
        <v>97</v>
      </c>
      <c r="J60" s="118">
        <f>(1+4%)^((0.5-H60)/12)</f>
        <v>0.90512160036463429</v>
      </c>
      <c r="K60" s="117">
        <f>$D$8</f>
        <v>4500</v>
      </c>
      <c r="L60" s="180">
        <f>AVERAGE('Continuance Rates'!D101:D102)/'Continuance Rates'!$D$71</f>
        <v>0.29249572745805708</v>
      </c>
    </row>
    <row r="61" spans="1:12" x14ac:dyDescent="0.3">
      <c r="H61">
        <f>H60+1</f>
        <v>32</v>
      </c>
      <c r="I61">
        <f>I60+1</f>
        <v>98</v>
      </c>
      <c r="J61" s="118">
        <f>(1+4%)^((0.5-H61)/12)</f>
        <v>0.90216813664546591</v>
      </c>
      <c r="K61" s="117">
        <f>$D$8</f>
        <v>4500</v>
      </c>
      <c r="L61" s="180">
        <f>AVERAGE('Continuance Rates'!D102:D103)/'Continuance Rates'!$D$71</f>
        <v>0.28079589835973473</v>
      </c>
    </row>
    <row r="62" spans="1:12" x14ac:dyDescent="0.3">
      <c r="H62">
        <f>H61+1</f>
        <v>33</v>
      </c>
      <c r="I62">
        <f>I61+1</f>
        <v>99</v>
      </c>
      <c r="J62" s="118">
        <f>(1+4%)^((0.5-H62)/12)</f>
        <v>0.89922431024788707</v>
      </c>
      <c r="K62" s="117">
        <f>$D$8</f>
        <v>4500</v>
      </c>
      <c r="L62" s="180">
        <f>AVERAGE('Continuance Rates'!D103:D104)/'Continuance Rates'!$D$71</f>
        <v>0.26956406242534531</v>
      </c>
    </row>
    <row r="63" spans="1:12" x14ac:dyDescent="0.3">
      <c r="H63">
        <f>H62+1</f>
        <v>34</v>
      </c>
      <c r="I63">
        <f>I62+1</f>
        <v>100</v>
      </c>
      <c r="J63" s="118">
        <f>(1+4%)^((0.5-H63)/12)</f>
        <v>0.89629008972476443</v>
      </c>
      <c r="K63" s="117">
        <f>$D$8</f>
        <v>4500</v>
      </c>
      <c r="L63" s="180">
        <f>AVERAGE('Continuance Rates'!D104:D105)/'Continuance Rates'!$D$71</f>
        <v>0.25878149992833144</v>
      </c>
    </row>
    <row r="64" spans="1:12" x14ac:dyDescent="0.3">
      <c r="H64">
        <f>H63+1</f>
        <v>35</v>
      </c>
      <c r="I64">
        <f>I63+1</f>
        <v>101</v>
      </c>
      <c r="J64" s="118">
        <f>(1+4%)^((0.5-H64)/12)</f>
        <v>0.89336544373157867</v>
      </c>
      <c r="K64" s="117">
        <f>$D$8</f>
        <v>4500</v>
      </c>
      <c r="L64" s="180">
        <f>AVERAGE('Continuance Rates'!D105:D106)/'Continuance Rates'!$D$71</f>
        <v>0.2484302399311982</v>
      </c>
    </row>
    <row r="65" spans="8:12" x14ac:dyDescent="0.3">
      <c r="H65">
        <f>H64+1</f>
        <v>36</v>
      </c>
      <c r="I65">
        <f>I64+1</f>
        <v>102</v>
      </c>
      <c r="J65" s="118">
        <f>(1+4%)^((0.5-H65)/12)</f>
        <v>0.89045034102608889</v>
      </c>
      <c r="K65" s="117">
        <f>$D$8</f>
        <v>4500</v>
      </c>
      <c r="L65" s="180">
        <f>AVERAGE('Continuance Rates'!D106:D107)/'Continuance Rates'!$D$71</f>
        <v>0.23849303033395025</v>
      </c>
    </row>
    <row r="66" spans="8:12" x14ac:dyDescent="0.3">
      <c r="H66">
        <f>H65+1</f>
        <v>37</v>
      </c>
      <c r="I66">
        <f>I65+1</f>
        <v>103</v>
      </c>
      <c r="J66" s="118">
        <f>(1+4%)^((0.5-H66)/12)</f>
        <v>0.88754475046800008</v>
      </c>
      <c r="K66" s="117">
        <f>$D$8</f>
        <v>4500</v>
      </c>
      <c r="L66" s="180">
        <f>AVERAGE('Continuance Rates'!D107:D108)/'Continuance Rates'!$D$71</f>
        <v>0.22895330912059225</v>
      </c>
    </row>
    <row r="67" spans="8:12" x14ac:dyDescent="0.3">
      <c r="H67">
        <f>H66+1</f>
        <v>38</v>
      </c>
      <c r="I67">
        <f>I66+1</f>
        <v>104</v>
      </c>
      <c r="J67" s="118">
        <f>(1+4%)^((0.5-H67)/12)</f>
        <v>0.88464864101862928</v>
      </c>
      <c r="K67" s="117">
        <f>$D$8</f>
        <v>4500</v>
      </c>
      <c r="L67" s="180">
        <f>AVERAGE('Continuance Rates'!D108:D109)/'Continuance Rates'!$D$71</f>
        <v>0.21979517675576854</v>
      </c>
    </row>
    <row r="68" spans="8:12" x14ac:dyDescent="0.3">
      <c r="H68">
        <f>H67+1</f>
        <v>39</v>
      </c>
      <c r="I68">
        <f>I67+1</f>
        <v>105</v>
      </c>
      <c r="J68" s="118">
        <f>(1+4%)^((0.5-H68)/12)</f>
        <v>0.88176198174057474</v>
      </c>
      <c r="K68" s="117">
        <f>$D$8</f>
        <v>4500</v>
      </c>
      <c r="L68" s="180">
        <f>AVERAGE('Continuance Rates'!D109:D110)/'Continuance Rates'!$D$71</f>
        <v>0.21100336968553779</v>
      </c>
    </row>
    <row r="69" spans="8:12" x14ac:dyDescent="0.3">
      <c r="H69">
        <f>H68+1</f>
        <v>40</v>
      </c>
      <c r="I69">
        <f>I68+1</f>
        <v>106</v>
      </c>
      <c r="J69" s="118">
        <f>(1+4%)^((0.5-H69)/12)</f>
        <v>0.87888474179738496</v>
      </c>
      <c r="K69" s="117">
        <f>$D$8</f>
        <v>4500</v>
      </c>
      <c r="L69" s="180">
        <f>AVERAGE('Continuance Rates'!D110:D111)/'Continuance Rates'!$D$71</f>
        <v>0.20256323489811631</v>
      </c>
    </row>
    <row r="70" spans="8:12" x14ac:dyDescent="0.3">
      <c r="H70">
        <f>H69+1</f>
        <v>41</v>
      </c>
      <c r="I70">
        <f>I69+1</f>
        <v>107</v>
      </c>
      <c r="J70" s="118">
        <f>(1+4%)^((0.5-H70)/12)</f>
        <v>0.87601689045323006</v>
      </c>
      <c r="K70" s="117">
        <f>$D$8</f>
        <v>4500</v>
      </c>
      <c r="L70" s="180">
        <f>AVERAGE('Continuance Rates'!D111:D112)/'Continuance Rates'!$D$71</f>
        <v>0.19446070550219163</v>
      </c>
    </row>
    <row r="71" spans="8:12" x14ac:dyDescent="0.3">
      <c r="H71">
        <f>H70+1</f>
        <v>42</v>
      </c>
      <c r="I71">
        <f>I70+1</f>
        <v>108</v>
      </c>
      <c r="J71" s="118">
        <f>(1+4%)^((0.5-H71)/12)</f>
        <v>0.87315839707257259</v>
      </c>
      <c r="K71" s="117">
        <f>$D$8</f>
        <v>4500</v>
      </c>
      <c r="L71" s="180">
        <f>AVERAGE('Continuance Rates'!D112:D113)/'Continuance Rates'!$D$71</f>
        <v>0.18620604698291496</v>
      </c>
    </row>
    <row r="72" spans="8:12" x14ac:dyDescent="0.3">
      <c r="H72">
        <f>H71+1</f>
        <v>43</v>
      </c>
      <c r="I72">
        <f>I71+1</f>
        <v>109</v>
      </c>
      <c r="J72" s="118">
        <f>(1+4%)^((0.5-H72)/12)</f>
        <v>0.87030923111984071</v>
      </c>
      <c r="K72" s="117">
        <f>$D$8</f>
        <v>4500</v>
      </c>
      <c r="L72" s="180">
        <f>AVERAGE('Continuance Rates'!D113:D114)/'Continuance Rates'!$D$71</f>
        <v>0.17782677486868378</v>
      </c>
    </row>
    <row r="73" spans="8:12" x14ac:dyDescent="0.3">
      <c r="H73">
        <f>H72+1</f>
        <v>44</v>
      </c>
      <c r="I73">
        <f>I72+1</f>
        <v>110</v>
      </c>
      <c r="J73" s="118">
        <f>(1+4%)^((0.5-H73)/12)</f>
        <v>0.86746936215910175</v>
      </c>
      <c r="K73" s="117">
        <f>$D$8</f>
        <v>4500</v>
      </c>
      <c r="L73" s="180">
        <f>AVERAGE('Continuance Rates'!D114:D115)/'Continuance Rates'!$D$71</f>
        <v>0.169824569999593</v>
      </c>
    </row>
    <row r="74" spans="8:12" x14ac:dyDescent="0.3">
      <c r="H74">
        <f>H73+1</f>
        <v>45</v>
      </c>
      <c r="I74">
        <f>I73+1</f>
        <v>111</v>
      </c>
      <c r="J74" s="118">
        <f>(1+4%)^((0.5-H74)/12)</f>
        <v>0.8646387598537375</v>
      </c>
      <c r="K74" s="117">
        <f>$D$8</f>
        <v>4500</v>
      </c>
      <c r="L74" s="180">
        <f>AVERAGE('Continuance Rates'!D115:D116)/'Continuance Rates'!$D$71</f>
        <v>0.16218246434961134</v>
      </c>
    </row>
    <row r="75" spans="8:12" x14ac:dyDescent="0.3">
      <c r="H75">
        <f>H74+1</f>
        <v>46</v>
      </c>
      <c r="I75">
        <f>I74+1</f>
        <v>112</v>
      </c>
      <c r="J75" s="118">
        <f>(1+4%)^((0.5-H75)/12)</f>
        <v>0.86181739396611967</v>
      </c>
      <c r="K75" s="117">
        <f>$D$8</f>
        <v>4500</v>
      </c>
      <c r="L75" s="180">
        <f>AVERAGE('Continuance Rates'!D116:D117)/'Continuance Rates'!$D$71</f>
        <v>0.15488425345387882</v>
      </c>
    </row>
    <row r="76" spans="8:12" x14ac:dyDescent="0.3">
      <c r="H76">
        <f>H75+1</f>
        <v>47</v>
      </c>
      <c r="I76">
        <f>I75+1</f>
        <v>113</v>
      </c>
      <c r="J76" s="118">
        <f>(1+4%)^((0.5-H76)/12)</f>
        <v>0.85900523435728715</v>
      </c>
      <c r="K76" s="117">
        <f>$D$8</f>
        <v>4500</v>
      </c>
      <c r="L76" s="180">
        <f>AVERAGE('Continuance Rates'!D117:D118)/'Continuance Rates'!$D$71</f>
        <v>0.14791446204845432</v>
      </c>
    </row>
    <row r="77" spans="8:12" x14ac:dyDescent="0.3">
      <c r="H77">
        <f>H76+1</f>
        <v>48</v>
      </c>
      <c r="I77">
        <f>I76+1</f>
        <v>114</v>
      </c>
      <c r="J77" s="118">
        <f>(1+4%)^((0.5-H77)/12)</f>
        <v>0.85620225098662395</v>
      </c>
      <c r="K77" s="117">
        <f>$D$8</f>
        <v>4500</v>
      </c>
      <c r="L77" s="180">
        <f>AVERAGE('Continuance Rates'!D118:D119)/'Continuance Rates'!$D$71</f>
        <v>0.14161958570961472</v>
      </c>
    </row>
    <row r="78" spans="8:12" x14ac:dyDescent="0.3">
      <c r="H78">
        <f>H77+1</f>
        <v>49</v>
      </c>
      <c r="I78">
        <f>I77+1</f>
        <v>115</v>
      </c>
      <c r="J78" s="118">
        <f>(1+4%)^((0.5-H78)/12)</f>
        <v>0.85340841391153865</v>
      </c>
      <c r="K78" s="117">
        <f>$D$8</f>
        <v>4500</v>
      </c>
      <c r="L78" s="180">
        <f>AVERAGE('Continuance Rates'!D119:D120)/'Continuance Rates'!$D$71</f>
        <v>0.13560797880602293</v>
      </c>
    </row>
    <row r="79" spans="8:12" x14ac:dyDescent="0.3">
      <c r="H79">
        <f>H78+1</f>
        <v>50</v>
      </c>
      <c r="I79">
        <f>I78+1</f>
        <v>116</v>
      </c>
      <c r="J79" s="118">
        <f>(1+4%)^((0.5-H79)/12)</f>
        <v>0.85062369328714349</v>
      </c>
      <c r="K79" s="117">
        <f>$D$8</f>
        <v>4500</v>
      </c>
      <c r="L79" s="180">
        <f>AVERAGE('Continuance Rates'!D120:D121)/'Continuance Rates'!$D$71</f>
        <v>0.12950561975975189</v>
      </c>
    </row>
    <row r="80" spans="8:12" x14ac:dyDescent="0.3">
      <c r="H80">
        <f>H79+1</f>
        <v>51</v>
      </c>
      <c r="I80">
        <f>I79+1</f>
        <v>117</v>
      </c>
      <c r="J80" s="118">
        <f>(1+4%)^((0.5-H80)/12)</f>
        <v>0.84784805936593721</v>
      </c>
      <c r="K80" s="117">
        <f>$D$8</f>
        <v>4500</v>
      </c>
      <c r="L80" s="180">
        <f>AVERAGE('Continuance Rates'!D121:D122)/'Continuance Rates'!$D$71</f>
        <v>0.12367786687056308</v>
      </c>
    </row>
    <row r="81" spans="8:12" x14ac:dyDescent="0.3">
      <c r="H81">
        <f>H80+1</f>
        <v>52</v>
      </c>
      <c r="I81">
        <f>I80+1</f>
        <v>118</v>
      </c>
      <c r="J81" s="118">
        <f>(1+4%)^((0.5-H81)/12)</f>
        <v>0.8450814824974856</v>
      </c>
      <c r="K81" s="117">
        <f>$D$8</f>
        <v>4500</v>
      </c>
      <c r="L81" s="180">
        <f>AVERAGE('Continuance Rates'!D122:D123)/'Continuance Rates'!$D$71</f>
        <v>0.11811236286138774</v>
      </c>
    </row>
    <row r="82" spans="8:12" x14ac:dyDescent="0.3">
      <c r="H82">
        <f>H81+1</f>
        <v>53</v>
      </c>
      <c r="I82">
        <f>I81+1</f>
        <v>119</v>
      </c>
      <c r="J82" s="118">
        <f>(1+4%)^((0.5-H82)/12)</f>
        <v>0.84232393312810583</v>
      </c>
      <c r="K82" s="117">
        <f>$D$8</f>
        <v>4500</v>
      </c>
      <c r="L82" s="180">
        <f>AVERAGE('Continuance Rates'!D123:D124)/'Continuance Rates'!$D$71</f>
        <v>0.11279730653262529</v>
      </c>
    </row>
    <row r="83" spans="8:12" x14ac:dyDescent="0.3">
      <c r="H83">
        <f>H82+1</f>
        <v>54</v>
      </c>
      <c r="I83">
        <f>I82+1</f>
        <v>120</v>
      </c>
      <c r="J83" s="118">
        <f>(1+4%)^((0.5-H83)/12)</f>
        <v>0.83957538180055047</v>
      </c>
      <c r="K83" s="117">
        <f>$D$8</f>
        <v>4500</v>
      </c>
      <c r="L83" s="180">
        <f>AVERAGE('Continuance Rates'!D124:D125)/'Continuance Rates'!$D$71</f>
        <v>0.10772142773865716</v>
      </c>
    </row>
    <row r="84" spans="8:12" x14ac:dyDescent="0.3">
      <c r="H84">
        <f>H83+1</f>
        <v>55</v>
      </c>
      <c r="I84">
        <f>I83+1</f>
        <v>121</v>
      </c>
      <c r="J84" s="118">
        <f>(1+4%)^((0.5-H84)/12)</f>
        <v>0.83683579915369288</v>
      </c>
      <c r="K84" s="117">
        <f>$D$8</f>
        <v>4500</v>
      </c>
      <c r="L84" s="180">
        <f>AVERAGE('Continuance Rates'!D125:D126)/'Continuance Rates'!$D$71</f>
        <v>5.262095319202946E-2</v>
      </c>
    </row>
    <row r="85" spans="8:12" x14ac:dyDescent="0.3">
      <c r="H85">
        <f>H84+1</f>
        <v>56</v>
      </c>
      <c r="I85">
        <f>I84+1</f>
        <v>122</v>
      </c>
      <c r="J85" s="118">
        <f>(1+4%)^((0.5-H85)/12)</f>
        <v>0.83410515592221324</v>
      </c>
      <c r="K85" s="117">
        <f>$D$8</f>
        <v>4500</v>
      </c>
      <c r="L85" s="179">
        <v>0</v>
      </c>
    </row>
    <row r="86" spans="8:12" x14ac:dyDescent="0.3">
      <c r="J86" s="118"/>
      <c r="K86" s="117"/>
      <c r="L86" s="178"/>
    </row>
    <row r="87" spans="8:12" x14ac:dyDescent="0.3">
      <c r="J87" s="118"/>
      <c r="K87" s="117"/>
      <c r="L87" s="178"/>
    </row>
    <row r="88" spans="8:12" x14ac:dyDescent="0.3">
      <c r="J88" s="118"/>
      <c r="K88" s="117"/>
      <c r="L88" s="178"/>
    </row>
    <row r="89" spans="8:12" x14ac:dyDescent="0.3">
      <c r="J89" s="118"/>
      <c r="K89" s="117"/>
      <c r="L89" s="1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showGridLines="0" workbookViewId="0">
      <selection activeCell="C1" sqref="C1"/>
    </sheetView>
  </sheetViews>
  <sheetFormatPr defaultColWidth="8.77734375" defaultRowHeight="15.6" x14ac:dyDescent="0.3"/>
  <cols>
    <col min="1" max="1" width="2.44140625" style="3" customWidth="1"/>
    <col min="2" max="3" width="24.109375" style="3" customWidth="1"/>
    <col min="4" max="4" width="46.6640625" style="3" bestFit="1" customWidth="1"/>
    <col min="5" max="6" width="24.109375" style="3" customWidth="1"/>
    <col min="7" max="16384" width="8.77734375" style="3"/>
  </cols>
  <sheetData>
    <row r="1" spans="1:6" s="2" customFormat="1" x14ac:dyDescent="0.3">
      <c r="A1" s="4" t="s">
        <v>13</v>
      </c>
    </row>
    <row r="2" spans="1:6" s="2" customFormat="1" x14ac:dyDescent="0.3">
      <c r="B2" s="2" t="s">
        <v>14</v>
      </c>
    </row>
    <row r="3" spans="1:6" s="2" customFormat="1" x14ac:dyDescent="0.3">
      <c r="A3" s="6"/>
      <c r="B3" s="1" t="s">
        <v>15</v>
      </c>
    </row>
    <row r="4" spans="1:6" s="2" customFormat="1" x14ac:dyDescent="0.3">
      <c r="A4" s="6"/>
      <c r="B4" s="1" t="s">
        <v>16</v>
      </c>
    </row>
    <row r="5" spans="1:6" x14ac:dyDescent="0.3">
      <c r="A5" s="5" t="s">
        <v>12</v>
      </c>
    </row>
    <row r="6" spans="1:6" ht="16.2" thickBot="1" x14ac:dyDescent="0.35">
      <c r="B6" s="3" t="s">
        <v>18</v>
      </c>
    </row>
    <row r="7" spans="1:6" ht="31.8" thickBot="1" x14ac:dyDescent="0.35">
      <c r="B7" s="18" t="s">
        <v>1</v>
      </c>
      <c r="C7" s="19" t="s">
        <v>2</v>
      </c>
      <c r="D7" s="19" t="s">
        <v>3</v>
      </c>
      <c r="E7" s="19" t="s">
        <v>4</v>
      </c>
      <c r="F7" s="19" t="s">
        <v>5</v>
      </c>
    </row>
    <row r="8" spans="1:6" ht="16.2" thickBot="1" x14ac:dyDescent="0.35">
      <c r="B8" s="8" t="s">
        <v>6</v>
      </c>
      <c r="C8" s="9">
        <v>4</v>
      </c>
      <c r="D8" s="10">
        <v>1.4999999999999999E-2</v>
      </c>
      <c r="E8" s="11">
        <v>300</v>
      </c>
      <c r="F8" s="10">
        <v>0.01</v>
      </c>
    </row>
    <row r="9" spans="1:6" ht="16.2" thickBot="1" x14ac:dyDescent="0.35">
      <c r="B9" s="8" t="s">
        <v>7</v>
      </c>
      <c r="C9" s="9">
        <v>3</v>
      </c>
      <c r="D9" s="10">
        <v>0.03</v>
      </c>
      <c r="E9" s="11">
        <v>600</v>
      </c>
      <c r="F9" s="10">
        <v>0.03</v>
      </c>
    </row>
    <row r="10" spans="1:6" ht="16.2" thickBot="1" x14ac:dyDescent="0.35">
      <c r="B10" s="8" t="s">
        <v>8</v>
      </c>
      <c r="C10" s="9">
        <v>2.5</v>
      </c>
      <c r="D10" s="10">
        <v>5.0000000000000001E-3</v>
      </c>
      <c r="E10" s="11">
        <v>10</v>
      </c>
      <c r="F10" s="10">
        <v>7.4999999999999997E-3</v>
      </c>
    </row>
    <row r="11" spans="1:6" ht="16.2" thickBot="1" x14ac:dyDescent="0.35">
      <c r="B11" s="8" t="s">
        <v>9</v>
      </c>
      <c r="C11" s="9">
        <v>2</v>
      </c>
      <c r="D11" s="10">
        <v>1E-3</v>
      </c>
      <c r="E11" s="11">
        <v>20</v>
      </c>
      <c r="F11" s="10">
        <v>3.0000000000000001E-3</v>
      </c>
    </row>
    <row r="13" spans="1:6" ht="16.2" thickBot="1" x14ac:dyDescent="0.35">
      <c r="B13" s="3" t="s">
        <v>17</v>
      </c>
    </row>
    <row r="14" spans="1:6" ht="31.2" x14ac:dyDescent="0.3">
      <c r="B14" s="16" t="s">
        <v>10</v>
      </c>
      <c r="C14" s="17" t="s">
        <v>11</v>
      </c>
    </row>
    <row r="15" spans="1:6" x14ac:dyDescent="0.3">
      <c r="B15" s="12">
        <v>0.85</v>
      </c>
      <c r="C15" s="13">
        <v>1.03</v>
      </c>
    </row>
    <row r="16" spans="1:6" x14ac:dyDescent="0.3">
      <c r="B16" s="12">
        <v>0.875</v>
      </c>
      <c r="C16" s="13">
        <v>1.1499999999999999</v>
      </c>
    </row>
    <row r="17" spans="2:4" x14ac:dyDescent="0.3">
      <c r="B17" s="12">
        <v>0.9</v>
      </c>
      <c r="C17" s="13">
        <v>1.28</v>
      </c>
    </row>
    <row r="18" spans="2:4" x14ac:dyDescent="0.3">
      <c r="B18" s="12">
        <v>0.92500000000000004</v>
      </c>
      <c r="C18" s="13">
        <v>1.44</v>
      </c>
    </row>
    <row r="19" spans="2:4" x14ac:dyDescent="0.3">
      <c r="B19" s="12">
        <v>0.95</v>
      </c>
      <c r="C19" s="13">
        <v>1.64</v>
      </c>
    </row>
    <row r="20" spans="2:4" ht="16.2" thickBot="1" x14ac:dyDescent="0.35">
      <c r="B20" s="14">
        <v>0.97499999999999998</v>
      </c>
      <c r="C20" s="15">
        <v>1.96</v>
      </c>
    </row>
    <row r="22" spans="2:4" x14ac:dyDescent="0.3">
      <c r="B22" s="3" t="s">
        <v>19</v>
      </c>
    </row>
    <row r="23" spans="2:4" x14ac:dyDescent="0.3">
      <c r="B23" s="3" t="s">
        <v>20</v>
      </c>
    </row>
    <row r="24" spans="2:4" x14ac:dyDescent="0.3">
      <c r="B24" s="3" t="s">
        <v>21</v>
      </c>
    </row>
    <row r="25" spans="2:4" ht="16.2" thickBot="1" x14ac:dyDescent="0.35">
      <c r="B25" s="3" t="s">
        <v>23</v>
      </c>
    </row>
    <row r="26" spans="2:4" ht="31.8" thickBot="1" x14ac:dyDescent="0.35">
      <c r="B26" s="18" t="s">
        <v>1</v>
      </c>
      <c r="C26" s="20" t="s">
        <v>2</v>
      </c>
      <c r="D26" s="22" t="s">
        <v>22</v>
      </c>
    </row>
    <row r="27" spans="2:4" ht="16.2" thickBot="1" x14ac:dyDescent="0.35">
      <c r="B27" s="8" t="s">
        <v>6</v>
      </c>
      <c r="C27" s="21">
        <v>4</v>
      </c>
      <c r="D27" s="23">
        <f>((1.64/0.03)^2)*C27</f>
        <v>11953.777777777777</v>
      </c>
    </row>
    <row r="28" spans="2:4" ht="16.2" thickBot="1" x14ac:dyDescent="0.35">
      <c r="B28" s="8" t="s">
        <v>7</v>
      </c>
      <c r="C28" s="21">
        <v>3</v>
      </c>
      <c r="D28" s="23">
        <f t="shared" ref="D28:D30" si="0">((1.64/0.03)^2)*C28</f>
        <v>8965.3333333333321</v>
      </c>
    </row>
    <row r="29" spans="2:4" ht="16.2" thickBot="1" x14ac:dyDescent="0.35">
      <c r="B29" s="8" t="s">
        <v>8</v>
      </c>
      <c r="C29" s="21">
        <v>2.5</v>
      </c>
      <c r="D29" s="23">
        <f t="shared" si="0"/>
        <v>7471.1111111111113</v>
      </c>
    </row>
    <row r="30" spans="2:4" ht="16.2" thickBot="1" x14ac:dyDescent="0.35">
      <c r="B30" s="8" t="s">
        <v>9</v>
      </c>
      <c r="C30" s="21">
        <v>2</v>
      </c>
      <c r="D30" s="23">
        <f t="shared" si="0"/>
        <v>5976.8888888888887</v>
      </c>
    </row>
    <row r="33" spans="2:6" ht="16.2" thickBot="1" x14ac:dyDescent="0.35">
      <c r="B33" s="3" t="s">
        <v>24</v>
      </c>
    </row>
    <row r="34" spans="2:6" ht="31.8" thickBot="1" x14ac:dyDescent="0.35">
      <c r="B34" s="18" t="s">
        <v>1</v>
      </c>
      <c r="C34" s="20" t="s">
        <v>2</v>
      </c>
      <c r="D34" s="24" t="str">
        <f>D26</f>
        <v>Expected number of claims required for full credibility</v>
      </c>
      <c r="E34" s="25" t="s">
        <v>25</v>
      </c>
      <c r="F34" s="22" t="s">
        <v>26</v>
      </c>
    </row>
    <row r="35" spans="2:6" ht="16.2" thickBot="1" x14ac:dyDescent="0.35">
      <c r="B35" s="8" t="s">
        <v>6</v>
      </c>
      <c r="C35" s="21">
        <v>4</v>
      </c>
      <c r="D35" s="24">
        <f t="shared" ref="D35:D38" si="1">D27</f>
        <v>11953.777777777777</v>
      </c>
      <c r="E35" s="26">
        <f>SQRT(E8/D35)</f>
        <v>0.15841928118008025</v>
      </c>
      <c r="F35" s="27">
        <f>E35*D8+(1-E35)*F8</f>
        <v>1.0792096405900401E-2</v>
      </c>
    </row>
    <row r="36" spans="2:6" ht="16.2" thickBot="1" x14ac:dyDescent="0.35">
      <c r="B36" s="8" t="s">
        <v>7</v>
      </c>
      <c r="C36" s="21">
        <v>3</v>
      </c>
      <c r="D36" s="24">
        <f t="shared" si="1"/>
        <v>8965.3333333333321</v>
      </c>
      <c r="E36" s="26">
        <f t="shared" ref="E36:E37" si="2">SQRT(E9/D36)</f>
        <v>0.25869760287312715</v>
      </c>
      <c r="F36" s="27">
        <f t="shared" ref="F36:F38" si="3">E36*D9+(1-E36)*F9</f>
        <v>0.03</v>
      </c>
    </row>
    <row r="37" spans="2:6" ht="16.2" thickBot="1" x14ac:dyDescent="0.35">
      <c r="B37" s="8" t="s">
        <v>8</v>
      </c>
      <c r="C37" s="21">
        <v>2.5</v>
      </c>
      <c r="D37" s="24">
        <f t="shared" si="1"/>
        <v>7471.1111111111113</v>
      </c>
      <c r="E37" s="26">
        <f t="shared" si="2"/>
        <v>3.6585365853658534E-2</v>
      </c>
      <c r="F37" s="27">
        <f t="shared" si="3"/>
        <v>7.4085365853658533E-3</v>
      </c>
    </row>
    <row r="38" spans="2:6" ht="16.2" thickBot="1" x14ac:dyDescent="0.35">
      <c r="B38" s="8" t="s">
        <v>9</v>
      </c>
      <c r="C38" s="21">
        <v>2</v>
      </c>
      <c r="D38" s="24">
        <f t="shared" si="1"/>
        <v>5976.8888888888887</v>
      </c>
      <c r="E38" s="26">
        <f>SQRT(E11/D38)</f>
        <v>5.784654256405572E-2</v>
      </c>
      <c r="F38" s="27">
        <f t="shared" si="3"/>
        <v>2.8843069148718884E-3</v>
      </c>
    </row>
    <row r="40" spans="2:6" x14ac:dyDescent="0.3">
      <c r="B40" s="7"/>
      <c r="C40" s="7"/>
      <c r="D40" s="7"/>
      <c r="E40" s="7"/>
    </row>
    <row r="41" spans="2:6" x14ac:dyDescent="0.3">
      <c r="B41" s="7"/>
      <c r="C41" s="7"/>
      <c r="D41" s="7"/>
      <c r="E41" s="7"/>
    </row>
    <row r="42" spans="2:6" x14ac:dyDescent="0.3">
      <c r="B42" s="7"/>
      <c r="C42" s="7"/>
      <c r="D42" s="7"/>
      <c r="E4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9941-F445-457A-A380-4C677099C890}">
  <sheetPr>
    <tabColor theme="4" tint="0.39997558519241921"/>
  </sheetPr>
  <dimension ref="A1:E16"/>
  <sheetViews>
    <sheetView showGridLines="0" workbookViewId="0"/>
  </sheetViews>
  <sheetFormatPr defaultColWidth="8.77734375" defaultRowHeight="13.8" x14ac:dyDescent="0.25"/>
  <cols>
    <col min="1" max="1" width="3.21875" style="28" customWidth="1"/>
    <col min="2" max="2" width="34.21875" style="28" customWidth="1"/>
    <col min="3" max="4" width="18" style="28" bestFit="1" customWidth="1"/>
    <col min="5" max="5" width="18.77734375" style="28" customWidth="1"/>
    <col min="6" max="16384" width="8.77734375" style="28"/>
  </cols>
  <sheetData>
    <row r="1" spans="1:5" x14ac:dyDescent="0.25">
      <c r="A1" s="52" t="s">
        <v>47</v>
      </c>
      <c r="B1" s="52"/>
    </row>
    <row r="3" spans="1:5" ht="14.4" thickBot="1" x14ac:dyDescent="0.3">
      <c r="B3" s="43" t="s">
        <v>46</v>
      </c>
    </row>
    <row r="4" spans="1:5" x14ac:dyDescent="0.25">
      <c r="B4" s="51" t="s">
        <v>45</v>
      </c>
      <c r="C4" s="50">
        <v>0.1</v>
      </c>
      <c r="D4" s="49" t="s">
        <v>43</v>
      </c>
    </row>
    <row r="5" spans="1:5" x14ac:dyDescent="0.25">
      <c r="B5" s="34" t="s">
        <v>44</v>
      </c>
      <c r="C5" s="48">
        <v>0.08</v>
      </c>
      <c r="D5" s="46" t="s">
        <v>43</v>
      </c>
    </row>
    <row r="6" spans="1:5" x14ac:dyDescent="0.25">
      <c r="B6" s="34" t="s">
        <v>42</v>
      </c>
      <c r="C6" s="48">
        <v>0.05</v>
      </c>
      <c r="D6" s="46" t="s">
        <v>40</v>
      </c>
    </row>
    <row r="7" spans="1:5" x14ac:dyDescent="0.25">
      <c r="B7" s="34" t="s">
        <v>41</v>
      </c>
      <c r="C7" s="48">
        <v>2.5000000000000001E-2</v>
      </c>
      <c r="D7" s="46" t="s">
        <v>40</v>
      </c>
    </row>
    <row r="8" spans="1:5" x14ac:dyDescent="0.25">
      <c r="B8" s="34" t="s">
        <v>39</v>
      </c>
      <c r="C8" s="47" t="s">
        <v>38</v>
      </c>
      <c r="D8" s="46"/>
    </row>
    <row r="9" spans="1:5" ht="14.4" thickBot="1" x14ac:dyDescent="0.3">
      <c r="B9" s="31" t="s">
        <v>37</v>
      </c>
      <c r="C9" s="45" t="s">
        <v>36</v>
      </c>
      <c r="D9" s="44"/>
    </row>
    <row r="11" spans="1:5" ht="14.4" thickBot="1" x14ac:dyDescent="0.3">
      <c r="B11" s="43" t="s">
        <v>35</v>
      </c>
      <c r="C11" s="42"/>
      <c r="D11" s="42"/>
      <c r="E11" s="42"/>
    </row>
    <row r="12" spans="1:5" ht="14.4" thickBot="1" x14ac:dyDescent="0.3">
      <c r="B12" s="41" t="s">
        <v>34</v>
      </c>
      <c r="C12" s="40" t="s">
        <v>33</v>
      </c>
      <c r="D12" s="40" t="s">
        <v>32</v>
      </c>
      <c r="E12" s="39" t="s">
        <v>31</v>
      </c>
    </row>
    <row r="13" spans="1:5" x14ac:dyDescent="0.25">
      <c r="B13" s="34" t="s">
        <v>30</v>
      </c>
      <c r="C13" s="38">
        <v>5000000</v>
      </c>
      <c r="D13" s="38">
        <v>7000000</v>
      </c>
      <c r="E13" s="37">
        <v>7000000</v>
      </c>
    </row>
    <row r="14" spans="1:5" x14ac:dyDescent="0.25">
      <c r="B14" s="34" t="s">
        <v>29</v>
      </c>
      <c r="C14" s="36">
        <v>10000</v>
      </c>
      <c r="D14" s="36">
        <v>12000</v>
      </c>
      <c r="E14" s="35">
        <v>13000</v>
      </c>
    </row>
    <row r="15" spans="1:5" x14ac:dyDescent="0.25">
      <c r="B15" s="34" t="s">
        <v>28</v>
      </c>
      <c r="C15" s="33">
        <v>44</v>
      </c>
      <c r="D15" s="33">
        <v>46</v>
      </c>
      <c r="E15" s="32">
        <v>48</v>
      </c>
    </row>
    <row r="16" spans="1:5" ht="14.4" thickBot="1" x14ac:dyDescent="0.3">
      <c r="B16" s="31" t="s">
        <v>27</v>
      </c>
      <c r="C16" s="30">
        <v>0.2</v>
      </c>
      <c r="D16" s="30">
        <v>0.3</v>
      </c>
      <c r="E16" s="29">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B1B17-CA60-4BCE-A4A2-AF57E6C6A869}">
  <sheetPr>
    <tabColor theme="9" tint="0.39997558519241921"/>
  </sheetPr>
  <dimension ref="A1:E18"/>
  <sheetViews>
    <sheetView showGridLines="0" workbookViewId="0">
      <selection activeCell="A17" sqref="A17"/>
    </sheetView>
  </sheetViews>
  <sheetFormatPr defaultColWidth="8.77734375" defaultRowHeight="13.8" x14ac:dyDescent="0.25"/>
  <cols>
    <col min="1" max="1" width="50.5546875" style="28" customWidth="1"/>
    <col min="2" max="4" width="14" style="28" customWidth="1"/>
    <col min="5" max="5" width="11.77734375" style="28" customWidth="1"/>
    <col min="6" max="6" width="8.77734375" style="28"/>
    <col min="7" max="7" width="30.77734375" style="28" customWidth="1"/>
    <col min="8" max="16384" width="8.77734375" style="28"/>
  </cols>
  <sheetData>
    <row r="1" spans="1:5" x14ac:dyDescent="0.25">
      <c r="A1" s="52" t="s">
        <v>47</v>
      </c>
    </row>
    <row r="3" spans="1:5" x14ac:dyDescent="0.25">
      <c r="A3" s="52" t="s">
        <v>34</v>
      </c>
      <c r="B3" s="62" t="s">
        <v>33</v>
      </c>
      <c r="C3" s="62" t="s">
        <v>32</v>
      </c>
      <c r="D3" s="62" t="s">
        <v>31</v>
      </c>
    </row>
    <row r="4" spans="1:5" x14ac:dyDescent="0.25">
      <c r="A4" s="28" t="s">
        <v>30</v>
      </c>
      <c r="B4" s="61">
        <f>'Question c'!C13</f>
        <v>5000000</v>
      </c>
      <c r="C4" s="61">
        <f>'Question c'!D13</f>
        <v>7000000</v>
      </c>
      <c r="D4" s="61">
        <f>'Question c'!E13</f>
        <v>7000000</v>
      </c>
    </row>
    <row r="5" spans="1:5" x14ac:dyDescent="0.25">
      <c r="A5" s="28" t="s">
        <v>29</v>
      </c>
      <c r="B5" s="60">
        <f>'Question c'!C14</f>
        <v>10000</v>
      </c>
      <c r="C5" s="60">
        <f>'Question c'!D14</f>
        <v>12000</v>
      </c>
      <c r="D5" s="60">
        <f>'Question c'!E14</f>
        <v>13000</v>
      </c>
    </row>
    <row r="6" spans="1:5" x14ac:dyDescent="0.25">
      <c r="A6" s="28" t="s">
        <v>56</v>
      </c>
      <c r="B6" s="28">
        <f>'Question c'!C15</f>
        <v>44</v>
      </c>
      <c r="C6" s="28">
        <f>'Question c'!D15</f>
        <v>46</v>
      </c>
      <c r="D6" s="28">
        <f>'Question c'!E15</f>
        <v>48</v>
      </c>
    </row>
    <row r="7" spans="1:5" x14ac:dyDescent="0.25">
      <c r="A7" s="28" t="s">
        <v>27</v>
      </c>
      <c r="B7" s="54">
        <f>'Question c'!C16</f>
        <v>0.2</v>
      </c>
      <c r="C7" s="54">
        <f>'Question c'!D16</f>
        <v>0.3</v>
      </c>
      <c r="D7" s="54">
        <f>'Question c'!E16</f>
        <v>0.5</v>
      </c>
    </row>
    <row r="8" spans="1:5" x14ac:dyDescent="0.25">
      <c r="B8" s="54"/>
      <c r="C8" s="54"/>
      <c r="D8" s="54"/>
    </row>
    <row r="9" spans="1:5" x14ac:dyDescent="0.25">
      <c r="A9" s="28" t="s">
        <v>55</v>
      </c>
      <c r="B9" s="59">
        <f>B4/B5</f>
        <v>500</v>
      </c>
      <c r="C9" s="59">
        <f>C4/C5</f>
        <v>583.33333333333337</v>
      </c>
      <c r="D9" s="59">
        <f>D4/D5</f>
        <v>538.46153846153845</v>
      </c>
    </row>
    <row r="10" spans="1:5" x14ac:dyDescent="0.25">
      <c r="A10" s="28" t="s">
        <v>54</v>
      </c>
      <c r="B10" s="59">
        <f>B9*(1+'Question c'!$C$4+'Question c'!$C$5)</f>
        <v>590.00000000000011</v>
      </c>
      <c r="C10" s="59">
        <f>C9*(1+'Question c'!$C$4+'Question c'!$C$5)</f>
        <v>688.33333333333348</v>
      </c>
      <c r="D10" s="59">
        <f>D9*(1+'Question c'!$C$4+'Question c'!$C$5)</f>
        <v>635.38461538461547</v>
      </c>
    </row>
    <row r="11" spans="1:5" x14ac:dyDescent="0.25">
      <c r="A11" s="28" t="s">
        <v>53</v>
      </c>
      <c r="B11" s="58">
        <f>(1+'Question c'!$C$7)^(65-B6)</f>
        <v>1.6795818512976552</v>
      </c>
      <c r="C11" s="58">
        <f>(1+'Question c'!$C$7)^(65-C6)</f>
        <v>1.5986501856491666</v>
      </c>
      <c r="D11" s="58">
        <f>(1+'Question c'!$C$7)^(65-D6)</f>
        <v>1.521618261177077</v>
      </c>
    </row>
    <row r="12" spans="1:5" x14ac:dyDescent="0.25">
      <c r="A12" s="28" t="s">
        <v>52</v>
      </c>
      <c r="B12" s="28">
        <v>4</v>
      </c>
      <c r="C12" s="28">
        <v>3</v>
      </c>
      <c r="D12" s="28">
        <v>2</v>
      </c>
      <c r="E12" s="28" t="s">
        <v>51</v>
      </c>
    </row>
    <row r="13" spans="1:5" x14ac:dyDescent="0.25">
      <c r="A13" s="28" t="s">
        <v>50</v>
      </c>
      <c r="B13" s="58">
        <f>(1+'Question c'!$C$6)^B12</f>
        <v>1.21550625</v>
      </c>
      <c r="C13" s="58">
        <f>(1+'Question c'!$C$6)^C12</f>
        <v>1.1576250000000001</v>
      </c>
      <c r="D13" s="58">
        <f>(1+'Question c'!$C$6)^D12</f>
        <v>1.1025</v>
      </c>
    </row>
    <row r="14" spans="1:5" x14ac:dyDescent="0.25">
      <c r="A14" s="28" t="s">
        <v>49</v>
      </c>
      <c r="B14" s="57">
        <f>B10*B11*B13</f>
        <v>1204.5099202069339</v>
      </c>
      <c r="C14" s="57">
        <f>C10*C11*C13</f>
        <v>1273.8554248999239</v>
      </c>
      <c r="D14" s="57">
        <f>D10*D11*D13</f>
        <v>1065.9111490883254</v>
      </c>
    </row>
    <row r="15" spans="1:5" x14ac:dyDescent="0.25">
      <c r="A15" s="56" t="s">
        <v>48</v>
      </c>
      <c r="B15" s="55">
        <f>SUMPRODUCT(B14:D14,B7:D7)</f>
        <v>1156.0141860555268</v>
      </c>
      <c r="E15" s="54"/>
    </row>
    <row r="16" spans="1:5" x14ac:dyDescent="0.25">
      <c r="E16" s="54"/>
    </row>
    <row r="18" spans="5:5" x14ac:dyDescent="0.25">
      <c r="E18" s="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E1E30-62F2-46B4-A5C0-3A6DE316869C}">
  <sheetPr>
    <tabColor theme="4" tint="0.39997558519241921"/>
  </sheetPr>
  <dimension ref="B1:T47"/>
  <sheetViews>
    <sheetView showGridLines="0" zoomScale="99" workbookViewId="0">
      <selection activeCell="B1" sqref="B1:F1"/>
    </sheetView>
  </sheetViews>
  <sheetFormatPr defaultColWidth="8.77734375" defaultRowHeight="13.8" x14ac:dyDescent="0.25"/>
  <cols>
    <col min="1" max="1" width="1.21875" style="28" customWidth="1"/>
    <col min="2" max="4" width="25.21875" style="28" customWidth="1"/>
    <col min="5" max="5" width="11" style="28" customWidth="1"/>
    <col min="6" max="6" width="19" style="28" customWidth="1"/>
    <col min="7" max="7" width="18.5546875" style="28" customWidth="1"/>
    <col min="8" max="8" width="18.77734375" style="28" customWidth="1"/>
    <col min="9" max="9" width="19.21875" style="28" customWidth="1"/>
    <col min="10" max="10" width="27" style="28" customWidth="1"/>
    <col min="11" max="11" width="22.77734375" style="28" customWidth="1"/>
    <col min="12" max="14" width="15.21875" style="28" customWidth="1"/>
    <col min="15" max="15" width="13.5546875" style="28" customWidth="1"/>
    <col min="16" max="16" width="23" style="28" customWidth="1"/>
    <col min="17" max="17" width="25.21875" style="28" customWidth="1"/>
    <col min="18" max="18" width="18" style="28" customWidth="1"/>
    <col min="19" max="19" width="28.77734375" style="28" customWidth="1"/>
    <col min="20" max="20" width="14.77734375" style="28" customWidth="1"/>
    <col min="21" max="22" width="8.77734375" style="28"/>
    <col min="23" max="23" width="17.77734375" style="28" customWidth="1"/>
    <col min="24" max="16384" width="8.77734375" style="28"/>
  </cols>
  <sheetData>
    <row r="1" spans="2:6" ht="59.55" customHeight="1" x14ac:dyDescent="0.25">
      <c r="B1" s="80" t="s">
        <v>77</v>
      </c>
      <c r="C1" s="79"/>
      <c r="D1" s="79"/>
      <c r="E1" s="79"/>
      <c r="F1" s="79"/>
    </row>
    <row r="2" spans="2:6" x14ac:dyDescent="0.25">
      <c r="B2" s="52"/>
    </row>
    <row r="3" spans="2:6" ht="14.4" thickBot="1" x14ac:dyDescent="0.3">
      <c r="B3" s="52" t="s">
        <v>76</v>
      </c>
    </row>
    <row r="4" spans="2:6" x14ac:dyDescent="0.25">
      <c r="B4" s="78" t="s">
        <v>75</v>
      </c>
      <c r="C4" s="77">
        <v>45</v>
      </c>
    </row>
    <row r="5" spans="2:6" x14ac:dyDescent="0.25">
      <c r="B5" s="76" t="s">
        <v>74</v>
      </c>
      <c r="C5" s="75">
        <v>15</v>
      </c>
    </row>
    <row r="6" spans="2:6" x14ac:dyDescent="0.25">
      <c r="B6" s="76" t="s">
        <v>73</v>
      </c>
      <c r="C6" s="75" t="s">
        <v>72</v>
      </c>
    </row>
    <row r="7" spans="2:6" ht="14.4" thickBot="1" x14ac:dyDescent="0.3">
      <c r="B7" s="74" t="s">
        <v>71</v>
      </c>
      <c r="C7" s="73" t="s">
        <v>70</v>
      </c>
    </row>
    <row r="8" spans="2:6" x14ac:dyDescent="0.25">
      <c r="B8" s="52"/>
    </row>
    <row r="9" spans="2:6" ht="14.4" thickBot="1" x14ac:dyDescent="0.3">
      <c r="B9" s="52" t="s">
        <v>69</v>
      </c>
    </row>
    <row r="10" spans="2:6" x14ac:dyDescent="0.25">
      <c r="B10" s="51" t="s">
        <v>68</v>
      </c>
      <c r="C10" s="72">
        <v>80</v>
      </c>
      <c r="D10" s="49"/>
    </row>
    <row r="11" spans="2:6" x14ac:dyDescent="0.25">
      <c r="B11" s="34" t="s">
        <v>42</v>
      </c>
      <c r="C11" s="48">
        <v>0.05</v>
      </c>
      <c r="D11" s="46" t="s">
        <v>40</v>
      </c>
    </row>
    <row r="12" spans="2:6" ht="27.6" x14ac:dyDescent="0.25">
      <c r="B12" s="34" t="s">
        <v>67</v>
      </c>
      <c r="C12" s="71" t="s">
        <v>66</v>
      </c>
      <c r="D12" s="46"/>
    </row>
    <row r="13" spans="2:6" x14ac:dyDescent="0.25">
      <c r="B13" s="34" t="s">
        <v>65</v>
      </c>
      <c r="C13" s="67">
        <v>65</v>
      </c>
      <c r="D13" s="46"/>
    </row>
    <row r="14" spans="2:6" x14ac:dyDescent="0.25">
      <c r="B14" s="34" t="s">
        <v>64</v>
      </c>
      <c r="C14" s="67">
        <v>65</v>
      </c>
      <c r="D14" s="46"/>
    </row>
    <row r="15" spans="2:6" x14ac:dyDescent="0.25">
      <c r="B15" s="34" t="s">
        <v>63</v>
      </c>
      <c r="C15" s="48">
        <v>4.4999999999999998E-2</v>
      </c>
      <c r="D15" s="46" t="s">
        <v>62</v>
      </c>
    </row>
    <row r="16" spans="2:6" x14ac:dyDescent="0.25">
      <c r="B16" s="34" t="s">
        <v>41</v>
      </c>
      <c r="C16" s="48">
        <v>2.5000000000000001E-2</v>
      </c>
      <c r="D16" s="46" t="s">
        <v>40</v>
      </c>
    </row>
    <row r="17" spans="2:4" ht="41.4" x14ac:dyDescent="0.25">
      <c r="B17" s="34" t="s">
        <v>61</v>
      </c>
      <c r="C17" s="70" t="s">
        <v>60</v>
      </c>
      <c r="D17" s="69" t="s">
        <v>59</v>
      </c>
    </row>
    <row r="18" spans="2:4" ht="14.4" thickBot="1" x14ac:dyDescent="0.3">
      <c r="B18" s="31" t="s">
        <v>58</v>
      </c>
      <c r="C18" s="68" t="s">
        <v>57</v>
      </c>
      <c r="D18" s="44"/>
    </row>
    <row r="31" spans="2:4" x14ac:dyDescent="0.25">
      <c r="B31" s="52"/>
    </row>
    <row r="32" spans="2:4" x14ac:dyDescent="0.25">
      <c r="B32" s="52"/>
    </row>
    <row r="33" spans="2:20" x14ac:dyDescent="0.25">
      <c r="B33" s="52"/>
    </row>
    <row r="37" spans="2:20" x14ac:dyDescent="0.25">
      <c r="D37" s="60"/>
      <c r="E37" s="67"/>
      <c r="F37" s="66"/>
      <c r="H37" s="67"/>
      <c r="I37" s="66"/>
      <c r="J37" s="66"/>
      <c r="K37" s="66"/>
      <c r="O37" s="67"/>
      <c r="P37" s="67"/>
      <c r="Q37" s="67"/>
      <c r="R37" s="66"/>
      <c r="S37" s="66"/>
      <c r="T37" s="66"/>
    </row>
    <row r="40" spans="2:20" x14ac:dyDescent="0.25">
      <c r="C40" s="65"/>
      <c r="D40" s="52"/>
    </row>
    <row r="41" spans="2:20" x14ac:dyDescent="0.25">
      <c r="C41" s="64"/>
    </row>
    <row r="42" spans="2:20" x14ac:dyDescent="0.25">
      <c r="C42" s="64"/>
    </row>
    <row r="43" spans="2:20" x14ac:dyDescent="0.25">
      <c r="C43" s="64"/>
    </row>
    <row r="44" spans="2:20" x14ac:dyDescent="0.25">
      <c r="C44" s="64"/>
    </row>
    <row r="45" spans="2:20" x14ac:dyDescent="0.25">
      <c r="C45" s="64"/>
    </row>
    <row r="46" spans="2:20" x14ac:dyDescent="0.25">
      <c r="C46" s="64"/>
    </row>
    <row r="47" spans="2:20" x14ac:dyDescent="0.25">
      <c r="C47" s="63"/>
    </row>
  </sheetData>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FC79-B615-49E2-8AE9-F0E2B2805F52}">
  <sheetPr>
    <tabColor theme="4" tint="0.39997558519241921"/>
  </sheetPr>
  <dimension ref="A1:D101"/>
  <sheetViews>
    <sheetView showGridLines="0" topLeftCell="A2" workbookViewId="0">
      <selection activeCell="E7" sqref="E7"/>
    </sheetView>
  </sheetViews>
  <sheetFormatPr defaultColWidth="8.77734375" defaultRowHeight="13.8" x14ac:dyDescent="0.25"/>
  <cols>
    <col min="1" max="1" width="4.21875" style="28" customWidth="1"/>
    <col min="2" max="16384" width="8.77734375" style="28"/>
  </cols>
  <sheetData>
    <row r="1" spans="1:4" x14ac:dyDescent="0.25">
      <c r="A1" s="52" t="s">
        <v>80</v>
      </c>
      <c r="B1" s="52"/>
    </row>
    <row r="3" spans="1:4" x14ac:dyDescent="0.25">
      <c r="B3" s="89" t="s">
        <v>79</v>
      </c>
      <c r="C3" s="88" t="s">
        <v>78</v>
      </c>
      <c r="D3" s="87" t="s">
        <v>72</v>
      </c>
    </row>
    <row r="4" spans="1:4" x14ac:dyDescent="0.25">
      <c r="B4" s="86">
        <v>18</v>
      </c>
      <c r="C4" s="85">
        <v>6.7000000000000002E-4</v>
      </c>
      <c r="D4" s="84">
        <v>1.4999999999999999E-4</v>
      </c>
    </row>
    <row r="5" spans="1:4" x14ac:dyDescent="0.25">
      <c r="B5" s="86">
        <v>19</v>
      </c>
      <c r="C5" s="85">
        <v>7.5000000000000002E-4</v>
      </c>
      <c r="D5" s="84">
        <v>1.7000000000000001E-4</v>
      </c>
    </row>
    <row r="6" spans="1:4" x14ac:dyDescent="0.25">
      <c r="B6" s="86">
        <v>20</v>
      </c>
      <c r="C6" s="85">
        <v>8.1999999999999998E-4</v>
      </c>
      <c r="D6" s="84">
        <v>1.8000000000000001E-4</v>
      </c>
    </row>
    <row r="7" spans="1:4" x14ac:dyDescent="0.25">
      <c r="B7" s="86">
        <v>21</v>
      </c>
      <c r="C7" s="85">
        <v>8.8999999999999995E-4</v>
      </c>
      <c r="D7" s="84">
        <v>1.9000000000000001E-4</v>
      </c>
    </row>
    <row r="8" spans="1:4" x14ac:dyDescent="0.25">
      <c r="B8" s="86">
        <v>22</v>
      </c>
      <c r="C8" s="85">
        <v>9.5E-4</v>
      </c>
      <c r="D8" s="84">
        <v>2.0000000000000001E-4</v>
      </c>
    </row>
    <row r="9" spans="1:4" x14ac:dyDescent="0.25">
      <c r="B9" s="86">
        <v>23</v>
      </c>
      <c r="C9" s="85">
        <v>1.01E-3</v>
      </c>
      <c r="D9" s="84">
        <v>2.2000000000000001E-4</v>
      </c>
    </row>
    <row r="10" spans="1:4" x14ac:dyDescent="0.25">
      <c r="B10" s="86">
        <v>24</v>
      </c>
      <c r="C10" s="85">
        <v>1.0499999999999999E-3</v>
      </c>
      <c r="D10" s="84">
        <v>2.3000000000000001E-4</v>
      </c>
    </row>
    <row r="11" spans="1:4" x14ac:dyDescent="0.25">
      <c r="B11" s="86">
        <v>25</v>
      </c>
      <c r="C11" s="85">
        <v>1.08E-3</v>
      </c>
      <c r="D11" s="84">
        <v>2.4000000000000001E-4</v>
      </c>
    </row>
    <row r="12" spans="1:4" x14ac:dyDescent="0.25">
      <c r="B12" s="86">
        <v>26</v>
      </c>
      <c r="C12" s="85">
        <v>1.1299999999999999E-3</v>
      </c>
      <c r="D12" s="84">
        <v>2.5000000000000001E-4</v>
      </c>
    </row>
    <row r="13" spans="1:4" x14ac:dyDescent="0.25">
      <c r="B13" s="86">
        <v>27</v>
      </c>
      <c r="C13" s="85">
        <v>1.16E-3</v>
      </c>
      <c r="D13" s="84">
        <v>2.7E-4</v>
      </c>
    </row>
    <row r="14" spans="1:4" x14ac:dyDescent="0.25">
      <c r="B14" s="86">
        <v>28</v>
      </c>
      <c r="C14" s="85">
        <v>1.17E-3</v>
      </c>
      <c r="D14" s="84">
        <v>2.7E-4</v>
      </c>
    </row>
    <row r="15" spans="1:4" x14ac:dyDescent="0.25">
      <c r="B15" s="86">
        <v>29</v>
      </c>
      <c r="C15" s="85">
        <v>1.1900000000000001E-3</v>
      </c>
      <c r="D15" s="84">
        <v>2.7999999999999998E-4</v>
      </c>
    </row>
    <row r="16" spans="1:4" x14ac:dyDescent="0.25">
      <c r="B16" s="86">
        <v>30</v>
      </c>
      <c r="C16" s="85">
        <v>1.1999999999999999E-3</v>
      </c>
      <c r="D16" s="84">
        <v>2.9999999999999997E-4</v>
      </c>
    </row>
    <row r="17" spans="2:4" x14ac:dyDescent="0.25">
      <c r="B17" s="86">
        <v>31</v>
      </c>
      <c r="C17" s="85">
        <v>1.2199999999999999E-3</v>
      </c>
      <c r="D17" s="84">
        <v>3.1E-4</v>
      </c>
    </row>
    <row r="18" spans="2:4" x14ac:dyDescent="0.25">
      <c r="B18" s="86">
        <v>32</v>
      </c>
      <c r="C18" s="85">
        <v>1.2199999999999999E-3</v>
      </c>
      <c r="D18" s="84">
        <v>3.4000000000000002E-4</v>
      </c>
    </row>
    <row r="19" spans="2:4" x14ac:dyDescent="0.25">
      <c r="B19" s="86">
        <v>33</v>
      </c>
      <c r="C19" s="85">
        <v>1.1999999999999999E-3</v>
      </c>
      <c r="D19" s="84">
        <v>3.6000000000000002E-4</v>
      </c>
    </row>
    <row r="20" spans="2:4" x14ac:dyDescent="0.25">
      <c r="B20" s="86">
        <v>34</v>
      </c>
      <c r="C20" s="85">
        <v>1.1999999999999999E-3</v>
      </c>
      <c r="D20" s="84">
        <v>3.8999999999999999E-4</v>
      </c>
    </row>
    <row r="21" spans="2:4" x14ac:dyDescent="0.25">
      <c r="B21" s="86">
        <v>35</v>
      </c>
      <c r="C21" s="85">
        <v>1.1999999999999999E-3</v>
      </c>
      <c r="D21" s="84">
        <v>4.2000000000000002E-4</v>
      </c>
    </row>
    <row r="22" spans="2:4" x14ac:dyDescent="0.25">
      <c r="B22" s="86">
        <v>36</v>
      </c>
      <c r="C22" s="85">
        <v>1.1999999999999999E-3</v>
      </c>
      <c r="D22" s="84">
        <v>4.4999999999999999E-4</v>
      </c>
    </row>
    <row r="23" spans="2:4" x14ac:dyDescent="0.25">
      <c r="B23" s="86">
        <v>37</v>
      </c>
      <c r="C23" s="85">
        <v>1.2199999999999999E-3</v>
      </c>
      <c r="D23" s="84">
        <v>4.8000000000000001E-4</v>
      </c>
    </row>
    <row r="24" spans="2:4" x14ac:dyDescent="0.25">
      <c r="B24" s="86">
        <v>38</v>
      </c>
      <c r="C24" s="85">
        <v>1.25E-3</v>
      </c>
      <c r="D24" s="84">
        <v>5.2999999999999998E-4</v>
      </c>
    </row>
    <row r="25" spans="2:4" x14ac:dyDescent="0.25">
      <c r="B25" s="86">
        <v>39</v>
      </c>
      <c r="C25" s="85">
        <v>1.2999999999999999E-3</v>
      </c>
      <c r="D25" s="84">
        <v>5.6999999999999998E-4</v>
      </c>
    </row>
    <row r="26" spans="2:4" x14ac:dyDescent="0.25">
      <c r="B26" s="86">
        <v>40</v>
      </c>
      <c r="C26" s="85">
        <v>1.3600000000000001E-3</v>
      </c>
      <c r="D26" s="84">
        <v>6.0999999999999997E-4</v>
      </c>
    </row>
    <row r="27" spans="2:4" x14ac:dyDescent="0.25">
      <c r="B27" s="86">
        <v>41</v>
      </c>
      <c r="C27" s="85">
        <v>1.4400000000000001E-3</v>
      </c>
      <c r="D27" s="84">
        <v>6.4999999999999997E-4</v>
      </c>
    </row>
    <row r="28" spans="2:4" x14ac:dyDescent="0.25">
      <c r="B28" s="86">
        <v>42</v>
      </c>
      <c r="C28" s="85">
        <v>1.5399999999999999E-3</v>
      </c>
      <c r="D28" s="84">
        <v>6.8999999999999997E-4</v>
      </c>
    </row>
    <row r="29" spans="2:4" x14ac:dyDescent="0.25">
      <c r="B29" s="86">
        <v>43</v>
      </c>
      <c r="C29" s="85">
        <v>1.65E-3</v>
      </c>
      <c r="D29" s="84">
        <v>7.5000000000000002E-4</v>
      </c>
    </row>
    <row r="30" spans="2:4" x14ac:dyDescent="0.25">
      <c r="B30" s="86">
        <v>44</v>
      </c>
      <c r="C30" s="85">
        <v>1.7799999999999999E-3</v>
      </c>
      <c r="D30" s="84">
        <v>8.0000000000000004E-4</v>
      </c>
    </row>
    <row r="31" spans="2:4" x14ac:dyDescent="0.25">
      <c r="B31" s="86">
        <v>45</v>
      </c>
      <c r="C31" s="85">
        <v>1.9E-3</v>
      </c>
      <c r="D31" s="84">
        <v>8.5999999999999998E-4</v>
      </c>
    </row>
    <row r="32" spans="2:4" x14ac:dyDescent="0.25">
      <c r="B32" s="86">
        <v>46</v>
      </c>
      <c r="C32" s="85">
        <v>2.0500000000000002E-3</v>
      </c>
      <c r="D32" s="84">
        <v>9.2000000000000003E-4</v>
      </c>
    </row>
    <row r="33" spans="2:4" x14ac:dyDescent="0.25">
      <c r="B33" s="86">
        <v>47</v>
      </c>
      <c r="C33" s="85">
        <v>2.1900000000000001E-3</v>
      </c>
      <c r="D33" s="84">
        <v>1.01E-3</v>
      </c>
    </row>
    <row r="34" spans="2:4" x14ac:dyDescent="0.25">
      <c r="B34" s="86">
        <v>48</v>
      </c>
      <c r="C34" s="85">
        <v>2.3400000000000001E-3</v>
      </c>
      <c r="D34" s="84">
        <v>1.09E-3</v>
      </c>
    </row>
    <row r="35" spans="2:4" x14ac:dyDescent="0.25">
      <c r="B35" s="86">
        <v>49</v>
      </c>
      <c r="C35" s="85">
        <v>2.5000000000000001E-3</v>
      </c>
      <c r="D35" s="84">
        <v>1.1900000000000001E-3</v>
      </c>
    </row>
    <row r="36" spans="2:4" x14ac:dyDescent="0.25">
      <c r="B36" s="86">
        <v>50</v>
      </c>
      <c r="C36" s="85">
        <v>2.66E-3</v>
      </c>
      <c r="D36" s="84">
        <v>1.2899999999999999E-3</v>
      </c>
    </row>
    <row r="37" spans="2:4" x14ac:dyDescent="0.25">
      <c r="B37" s="86">
        <v>51</v>
      </c>
      <c r="C37" s="85">
        <v>2.8500000000000001E-3</v>
      </c>
      <c r="D37" s="84">
        <v>1.41E-3</v>
      </c>
    </row>
    <row r="38" spans="2:4" x14ac:dyDescent="0.25">
      <c r="B38" s="86">
        <v>52</v>
      </c>
      <c r="C38" s="85">
        <v>3.0699999999999998E-3</v>
      </c>
      <c r="D38" s="84">
        <v>1.5299999999999999E-3</v>
      </c>
    </row>
    <row r="39" spans="2:4" x14ac:dyDescent="0.25">
      <c r="B39" s="86">
        <v>53</v>
      </c>
      <c r="C39" s="85">
        <v>3.3300000000000001E-3</v>
      </c>
      <c r="D39" s="84">
        <v>1.6800000000000001E-3</v>
      </c>
    </row>
    <row r="40" spans="2:4" x14ac:dyDescent="0.25">
      <c r="B40" s="86">
        <v>54</v>
      </c>
      <c r="C40" s="85">
        <v>3.65E-3</v>
      </c>
      <c r="D40" s="84">
        <v>1.8600000000000001E-3</v>
      </c>
    </row>
    <row r="41" spans="2:4" x14ac:dyDescent="0.25">
      <c r="B41" s="86">
        <v>55</v>
      </c>
      <c r="C41" s="85">
        <v>4.0299999999999997E-3</v>
      </c>
      <c r="D41" s="84">
        <v>2.0699999999999998E-3</v>
      </c>
    </row>
    <row r="42" spans="2:4" x14ac:dyDescent="0.25">
      <c r="B42" s="86">
        <v>56</v>
      </c>
      <c r="C42" s="85">
        <v>4.4799999999999996E-3</v>
      </c>
      <c r="D42" s="84">
        <v>2.31E-3</v>
      </c>
    </row>
    <row r="43" spans="2:4" x14ac:dyDescent="0.25">
      <c r="B43" s="86">
        <v>57</v>
      </c>
      <c r="C43" s="85">
        <v>4.9500000000000004E-3</v>
      </c>
      <c r="D43" s="84">
        <v>2.5799999999999998E-3</v>
      </c>
    </row>
    <row r="44" spans="2:4" x14ac:dyDescent="0.25">
      <c r="B44" s="86">
        <v>58</v>
      </c>
      <c r="C44" s="85">
        <v>5.4200000000000003E-3</v>
      </c>
      <c r="D44" s="84">
        <v>2.8700000000000002E-3</v>
      </c>
    </row>
    <row r="45" spans="2:4" x14ac:dyDescent="0.25">
      <c r="B45" s="86">
        <v>59</v>
      </c>
      <c r="C45" s="85">
        <v>5.8700000000000002E-3</v>
      </c>
      <c r="D45" s="84">
        <v>3.1800000000000001E-3</v>
      </c>
    </row>
    <row r="46" spans="2:4" x14ac:dyDescent="0.25">
      <c r="B46" s="86">
        <v>60</v>
      </c>
      <c r="C46" s="85">
        <v>6.28E-3</v>
      </c>
      <c r="D46" s="84">
        <v>3.5000000000000001E-3</v>
      </c>
    </row>
    <row r="47" spans="2:4" x14ac:dyDescent="0.25">
      <c r="B47" s="86">
        <v>61</v>
      </c>
      <c r="C47" s="85">
        <v>6.6600000000000001E-3</v>
      </c>
      <c r="D47" s="84">
        <v>3.8400000000000001E-3</v>
      </c>
    </row>
    <row r="48" spans="2:4" x14ac:dyDescent="0.25">
      <c r="B48" s="86">
        <v>62</v>
      </c>
      <c r="C48" s="85">
        <v>7.0200000000000002E-3</v>
      </c>
      <c r="D48" s="84">
        <v>4.2100000000000002E-3</v>
      </c>
    </row>
    <row r="49" spans="2:4" x14ac:dyDescent="0.25">
      <c r="B49" s="86">
        <v>63</v>
      </c>
      <c r="C49" s="85">
        <v>7.43E-3</v>
      </c>
      <c r="D49" s="84">
        <v>4.64E-3</v>
      </c>
    </row>
    <row r="50" spans="2:4" x14ac:dyDescent="0.25">
      <c r="B50" s="86">
        <v>64</v>
      </c>
      <c r="C50" s="85">
        <v>7.9000000000000008E-3</v>
      </c>
      <c r="D50" s="84">
        <v>5.11E-3</v>
      </c>
    </row>
    <row r="51" spans="2:4" x14ac:dyDescent="0.25">
      <c r="B51" s="86">
        <v>65</v>
      </c>
      <c r="C51" s="85">
        <v>8.4399999999999996E-3</v>
      </c>
      <c r="D51" s="84">
        <v>5.62E-3</v>
      </c>
    </row>
    <row r="52" spans="2:4" x14ac:dyDescent="0.25">
      <c r="B52" s="86">
        <v>66</v>
      </c>
      <c r="C52" s="85">
        <v>9.0799999999999995E-3</v>
      </c>
      <c r="D52" s="84">
        <v>6.1999999999999998E-3</v>
      </c>
    </row>
    <row r="53" spans="2:4" x14ac:dyDescent="0.25">
      <c r="B53" s="86">
        <v>67</v>
      </c>
      <c r="C53" s="85">
        <v>9.8300000000000002E-3</v>
      </c>
      <c r="D53" s="84">
        <v>6.8599999999999998E-3</v>
      </c>
    </row>
    <row r="54" spans="2:4" x14ac:dyDescent="0.25">
      <c r="B54" s="86">
        <v>68</v>
      </c>
      <c r="C54" s="85">
        <v>1.0710000000000001E-2</v>
      </c>
      <c r="D54" s="84">
        <v>7.6099999999999996E-3</v>
      </c>
    </row>
    <row r="55" spans="2:4" x14ac:dyDescent="0.25">
      <c r="B55" s="86">
        <v>69</v>
      </c>
      <c r="C55" s="85">
        <v>1.175E-2</v>
      </c>
      <c r="D55" s="84">
        <v>8.4399999999999996E-3</v>
      </c>
    </row>
    <row r="56" spans="2:4" x14ac:dyDescent="0.25">
      <c r="B56" s="86">
        <v>70</v>
      </c>
      <c r="C56" s="85">
        <v>1.2959999999999999E-2</v>
      </c>
      <c r="D56" s="84">
        <v>9.3399999999999993E-3</v>
      </c>
    </row>
    <row r="57" spans="2:4" x14ac:dyDescent="0.25">
      <c r="B57" s="86">
        <v>71</v>
      </c>
      <c r="C57" s="85">
        <v>1.4330000000000001E-2</v>
      </c>
      <c r="D57" s="84">
        <v>1.031E-2</v>
      </c>
    </row>
    <row r="58" spans="2:4" x14ac:dyDescent="0.25">
      <c r="B58" s="86">
        <v>72</v>
      </c>
      <c r="C58" s="85">
        <v>1.5900000000000001E-2</v>
      </c>
      <c r="D58" s="84">
        <v>1.1339999999999999E-2</v>
      </c>
    </row>
    <row r="59" spans="2:4" x14ac:dyDescent="0.25">
      <c r="B59" s="86">
        <v>73</v>
      </c>
      <c r="C59" s="85">
        <v>1.7670000000000002E-2</v>
      </c>
      <c r="D59" s="84">
        <v>1.244E-2</v>
      </c>
    </row>
    <row r="60" spans="2:4" x14ac:dyDescent="0.25">
      <c r="B60" s="86">
        <v>74</v>
      </c>
      <c r="C60" s="85">
        <v>1.9640000000000001E-2</v>
      </c>
      <c r="D60" s="84">
        <v>1.366E-2</v>
      </c>
    </row>
    <row r="61" spans="2:4" x14ac:dyDescent="0.25">
      <c r="B61" s="86">
        <v>75</v>
      </c>
      <c r="C61" s="85">
        <v>2.1819999999999999E-2</v>
      </c>
      <c r="D61" s="84">
        <v>1.502E-2</v>
      </c>
    </row>
    <row r="62" spans="2:4" x14ac:dyDescent="0.25">
      <c r="B62" s="86">
        <v>76</v>
      </c>
      <c r="C62" s="85">
        <v>2.4299999999999999E-2</v>
      </c>
      <c r="D62" s="84">
        <v>1.6559999999999998E-2</v>
      </c>
    </row>
    <row r="63" spans="2:4" x14ac:dyDescent="0.25">
      <c r="B63" s="86">
        <v>77</v>
      </c>
      <c r="C63" s="85">
        <v>2.7150000000000001E-2</v>
      </c>
      <c r="D63" s="84">
        <v>1.8339999999999999E-2</v>
      </c>
    </row>
    <row r="64" spans="2:4" x14ac:dyDescent="0.25">
      <c r="B64" s="86">
        <v>78</v>
      </c>
      <c r="C64" s="85">
        <v>3.0470000000000001E-2</v>
      </c>
      <c r="D64" s="84">
        <v>2.0410000000000001E-2</v>
      </c>
    </row>
    <row r="65" spans="2:4" x14ac:dyDescent="0.25">
      <c r="B65" s="86">
        <v>79</v>
      </c>
      <c r="C65" s="85">
        <v>3.4349999999999999E-2</v>
      </c>
      <c r="D65" s="84">
        <v>2.2839999999999999E-2</v>
      </c>
    </row>
    <row r="66" spans="2:4" x14ac:dyDescent="0.25">
      <c r="B66" s="86">
        <v>80</v>
      </c>
      <c r="C66" s="85">
        <v>3.8899999999999997E-2</v>
      </c>
      <c r="D66" s="84">
        <v>2.571E-2</v>
      </c>
    </row>
    <row r="67" spans="2:4" x14ac:dyDescent="0.25">
      <c r="B67" s="86">
        <v>81</v>
      </c>
      <c r="C67" s="85">
        <v>4.4220000000000002E-2</v>
      </c>
      <c r="D67" s="84">
        <v>2.913E-2</v>
      </c>
    </row>
    <row r="68" spans="2:4" x14ac:dyDescent="0.25">
      <c r="B68" s="86">
        <v>82</v>
      </c>
      <c r="C68" s="85">
        <v>5.0389999999999997E-2</v>
      </c>
      <c r="D68" s="84">
        <v>3.32E-2</v>
      </c>
    </row>
    <row r="69" spans="2:4" x14ac:dyDescent="0.25">
      <c r="B69" s="86">
        <v>83</v>
      </c>
      <c r="C69" s="85">
        <v>5.7489999999999999E-2</v>
      </c>
      <c r="D69" s="84">
        <v>3.805E-2</v>
      </c>
    </row>
    <row r="70" spans="2:4" x14ac:dyDescent="0.25">
      <c r="B70" s="86">
        <v>84</v>
      </c>
      <c r="C70" s="85">
        <v>6.5570000000000003E-2</v>
      </c>
      <c r="D70" s="84">
        <v>4.3770000000000003E-2</v>
      </c>
    </row>
    <row r="71" spans="2:4" x14ac:dyDescent="0.25">
      <c r="B71" s="86">
        <v>85</v>
      </c>
      <c r="C71" s="85">
        <v>7.4700000000000003E-2</v>
      </c>
      <c r="D71" s="84">
        <v>5.0500000000000003E-2</v>
      </c>
    </row>
    <row r="72" spans="2:4" x14ac:dyDescent="0.25">
      <c r="B72" s="86">
        <v>86</v>
      </c>
      <c r="C72" s="85">
        <v>8.4949999999999998E-2</v>
      </c>
      <c r="D72" s="84">
        <v>5.8319999999999997E-2</v>
      </c>
    </row>
    <row r="73" spans="2:4" x14ac:dyDescent="0.25">
      <c r="B73" s="86">
        <v>87</v>
      </c>
      <c r="C73" s="85">
        <v>9.6379999999999993E-2</v>
      </c>
      <c r="D73" s="84">
        <v>6.7339999999999997E-2</v>
      </c>
    </row>
    <row r="74" spans="2:4" x14ac:dyDescent="0.25">
      <c r="B74" s="86">
        <v>88</v>
      </c>
      <c r="C74" s="85">
        <v>0.1091</v>
      </c>
      <c r="D74" s="84">
        <v>7.7649999999999997E-2</v>
      </c>
    </row>
    <row r="75" spans="2:4" x14ac:dyDescent="0.25">
      <c r="B75" s="86">
        <v>89</v>
      </c>
      <c r="C75" s="85">
        <v>0.12317</v>
      </c>
      <c r="D75" s="84">
        <v>8.9319999999999997E-2</v>
      </c>
    </row>
    <row r="76" spans="2:4" x14ac:dyDescent="0.25">
      <c r="B76" s="86">
        <v>90</v>
      </c>
      <c r="C76" s="85">
        <v>0.13864000000000001</v>
      </c>
      <c r="D76" s="84">
        <v>0.10238</v>
      </c>
    </row>
    <row r="77" spans="2:4" x14ac:dyDescent="0.25">
      <c r="B77" s="86">
        <v>91</v>
      </c>
      <c r="C77" s="85">
        <v>0.1555</v>
      </c>
      <c r="D77" s="84">
        <v>0.11683</v>
      </c>
    </row>
    <row r="78" spans="2:4" x14ac:dyDescent="0.25">
      <c r="B78" s="86">
        <v>92</v>
      </c>
      <c r="C78" s="85">
        <v>0.17369999999999999</v>
      </c>
      <c r="D78" s="84">
        <v>0.13261000000000001</v>
      </c>
    </row>
    <row r="79" spans="2:4" x14ac:dyDescent="0.25">
      <c r="B79" s="86">
        <v>93</v>
      </c>
      <c r="C79" s="85">
        <v>0.19311</v>
      </c>
      <c r="D79" s="84">
        <v>0.14960999999999999</v>
      </c>
    </row>
    <row r="80" spans="2:4" x14ac:dyDescent="0.25">
      <c r="B80" s="86">
        <v>94</v>
      </c>
      <c r="C80" s="85">
        <v>0.21354000000000001</v>
      </c>
      <c r="D80" s="84">
        <v>0.16771</v>
      </c>
    </row>
    <row r="81" spans="2:4" x14ac:dyDescent="0.25">
      <c r="B81" s="86">
        <v>95</v>
      </c>
      <c r="C81" s="85">
        <v>0.23477000000000001</v>
      </c>
      <c r="D81" s="84">
        <v>0.18670999999999999</v>
      </c>
    </row>
    <row r="82" spans="2:4" x14ac:dyDescent="0.25">
      <c r="B82" s="86">
        <v>96</v>
      </c>
      <c r="C82" s="85">
        <v>0.25653999999999999</v>
      </c>
      <c r="D82" s="84">
        <v>0.20644000000000001</v>
      </c>
    </row>
    <row r="83" spans="2:4" x14ac:dyDescent="0.25">
      <c r="B83" s="86">
        <v>97</v>
      </c>
      <c r="C83" s="85">
        <v>0.27857999999999999</v>
      </c>
      <c r="D83" s="84">
        <v>0.22670000000000001</v>
      </c>
    </row>
    <row r="84" spans="2:4" x14ac:dyDescent="0.25">
      <c r="B84" s="86">
        <v>98</v>
      </c>
      <c r="C84" s="85">
        <v>0.30062</v>
      </c>
      <c r="D84" s="84">
        <v>0.24728</v>
      </c>
    </row>
    <row r="85" spans="2:4" x14ac:dyDescent="0.25">
      <c r="B85" s="86">
        <v>99</v>
      </c>
      <c r="C85" s="85">
        <v>0.32328000000000001</v>
      </c>
      <c r="D85" s="84">
        <v>0.26871</v>
      </c>
    </row>
    <row r="86" spans="2:4" x14ac:dyDescent="0.25">
      <c r="B86" s="86">
        <v>100</v>
      </c>
      <c r="C86" s="85">
        <v>0.34692000000000001</v>
      </c>
      <c r="D86" s="84">
        <v>0.29127999999999998</v>
      </c>
    </row>
    <row r="87" spans="2:4" x14ac:dyDescent="0.25">
      <c r="B87" s="86">
        <v>101</v>
      </c>
      <c r="C87" s="85">
        <v>0.37169000000000002</v>
      </c>
      <c r="D87" s="84">
        <v>0.31508000000000003</v>
      </c>
    </row>
    <row r="88" spans="2:4" x14ac:dyDescent="0.25">
      <c r="B88" s="86">
        <v>102</v>
      </c>
      <c r="C88" s="85">
        <v>0.39744000000000002</v>
      </c>
      <c r="D88" s="84">
        <v>0.33994999999999997</v>
      </c>
    </row>
    <row r="89" spans="2:4" x14ac:dyDescent="0.25">
      <c r="B89" s="86">
        <v>103</v>
      </c>
      <c r="C89" s="85">
        <v>0.42381999999999997</v>
      </c>
      <c r="D89" s="84">
        <v>0.36552000000000001</v>
      </c>
    </row>
    <row r="90" spans="2:4" x14ac:dyDescent="0.25">
      <c r="B90" s="86">
        <v>104</v>
      </c>
      <c r="C90" s="85">
        <v>0.45019999999999999</v>
      </c>
      <c r="D90" s="84">
        <v>0.39119999999999999</v>
      </c>
    </row>
    <row r="91" spans="2:4" x14ac:dyDescent="0.25">
      <c r="B91" s="86">
        <v>105</v>
      </c>
      <c r="C91" s="85">
        <v>0.47572999999999999</v>
      </c>
      <c r="D91" s="84">
        <v>0.41615999999999997</v>
      </c>
    </row>
    <row r="92" spans="2:4" x14ac:dyDescent="0.25">
      <c r="B92" s="86">
        <v>106</v>
      </c>
      <c r="C92" s="85">
        <v>0.49928</v>
      </c>
      <c r="D92" s="84">
        <v>0.43936999999999998</v>
      </c>
    </row>
    <row r="93" spans="2:4" x14ac:dyDescent="0.25">
      <c r="B93" s="86">
        <v>107</v>
      </c>
      <c r="C93" s="85">
        <v>0.51949999999999996</v>
      </c>
      <c r="D93" s="84">
        <v>0.45956000000000002</v>
      </c>
    </row>
    <row r="94" spans="2:4" x14ac:dyDescent="0.25">
      <c r="B94" s="86">
        <v>108</v>
      </c>
      <c r="C94" s="85">
        <v>0.53969999999999996</v>
      </c>
      <c r="D94" s="84">
        <v>0.47972999999999999</v>
      </c>
    </row>
    <row r="95" spans="2:4" x14ac:dyDescent="0.25">
      <c r="B95" s="86">
        <v>109</v>
      </c>
      <c r="C95" s="85">
        <v>0.55986999999999998</v>
      </c>
      <c r="D95" s="84">
        <v>0.50988</v>
      </c>
    </row>
    <row r="96" spans="2:4" x14ac:dyDescent="0.25">
      <c r="B96" s="86">
        <v>110</v>
      </c>
      <c r="C96" s="85">
        <v>0.57999999999999996</v>
      </c>
      <c r="D96" s="84">
        <v>0.53</v>
      </c>
    </row>
    <row r="97" spans="2:4" x14ac:dyDescent="0.25">
      <c r="B97" s="86">
        <v>111</v>
      </c>
      <c r="C97" s="85">
        <v>0.6</v>
      </c>
      <c r="D97" s="84">
        <v>0.55000000000000004</v>
      </c>
    </row>
    <row r="98" spans="2:4" x14ac:dyDescent="0.25">
      <c r="B98" s="86">
        <v>112</v>
      </c>
      <c r="C98" s="85">
        <v>0.62</v>
      </c>
      <c r="D98" s="84">
        <v>0.56999999999999995</v>
      </c>
    </row>
    <row r="99" spans="2:4" x14ac:dyDescent="0.25">
      <c r="B99" s="86">
        <v>113</v>
      </c>
      <c r="C99" s="85">
        <v>0.64</v>
      </c>
      <c r="D99" s="84">
        <v>0.59</v>
      </c>
    </row>
    <row r="100" spans="2:4" x14ac:dyDescent="0.25">
      <c r="B100" s="86">
        <v>114</v>
      </c>
      <c r="C100" s="85">
        <v>0.66</v>
      </c>
      <c r="D100" s="84">
        <v>0.61</v>
      </c>
    </row>
    <row r="101" spans="2:4" x14ac:dyDescent="0.25">
      <c r="B101" s="83">
        <v>115</v>
      </c>
      <c r="C101" s="82">
        <v>1</v>
      </c>
      <c r="D101" s="81">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B3D5-9C8E-4D27-B2CE-8726D75026CB}">
  <sheetPr>
    <tabColor theme="4" tint="0.39997558519241921"/>
  </sheetPr>
  <dimension ref="A1:D101"/>
  <sheetViews>
    <sheetView showGridLines="0" workbookViewId="0">
      <selection activeCell="E5" sqref="E5"/>
    </sheetView>
  </sheetViews>
  <sheetFormatPr defaultColWidth="8.77734375" defaultRowHeight="13.8" x14ac:dyDescent="0.25"/>
  <cols>
    <col min="1" max="1" width="4.21875" style="28" customWidth="1"/>
    <col min="2" max="16384" width="8.77734375" style="28"/>
  </cols>
  <sheetData>
    <row r="1" spans="1:4" x14ac:dyDescent="0.25">
      <c r="A1" s="52" t="s">
        <v>82</v>
      </c>
      <c r="B1" s="52"/>
    </row>
    <row r="3" spans="1:4" x14ac:dyDescent="0.25">
      <c r="B3" s="89" t="s">
        <v>79</v>
      </c>
      <c r="C3" s="92" t="s">
        <v>81</v>
      </c>
      <c r="D3" s="52"/>
    </row>
    <row r="4" spans="1:4" x14ac:dyDescent="0.25">
      <c r="B4" s="86">
        <v>18</v>
      </c>
      <c r="C4" s="91">
        <v>0.05</v>
      </c>
    </row>
    <row r="5" spans="1:4" x14ac:dyDescent="0.25">
      <c r="B5" s="86">
        <v>19</v>
      </c>
      <c r="C5" s="91">
        <v>0.05</v>
      </c>
    </row>
    <row r="6" spans="1:4" x14ac:dyDescent="0.25">
      <c r="B6" s="86">
        <v>20</v>
      </c>
      <c r="C6" s="91">
        <v>0.05</v>
      </c>
    </row>
    <row r="7" spans="1:4" x14ac:dyDescent="0.25">
      <c r="B7" s="86">
        <v>21</v>
      </c>
      <c r="C7" s="91">
        <v>0.05</v>
      </c>
    </row>
    <row r="8" spans="1:4" x14ac:dyDescent="0.25">
      <c r="B8" s="86">
        <v>22</v>
      </c>
      <c r="C8" s="91">
        <v>0.05</v>
      </c>
    </row>
    <row r="9" spans="1:4" x14ac:dyDescent="0.25">
      <c r="B9" s="86">
        <v>23</v>
      </c>
      <c r="C9" s="91">
        <v>0.05</v>
      </c>
    </row>
    <row r="10" spans="1:4" x14ac:dyDescent="0.25">
      <c r="B10" s="86">
        <v>24</v>
      </c>
      <c r="C10" s="91">
        <v>0.05</v>
      </c>
    </row>
    <row r="11" spans="1:4" x14ac:dyDescent="0.25">
      <c r="B11" s="86">
        <v>25</v>
      </c>
      <c r="C11" s="91">
        <v>0.05</v>
      </c>
      <c r="D11" s="85"/>
    </row>
    <row r="12" spans="1:4" x14ac:dyDescent="0.25">
      <c r="B12" s="86">
        <v>26</v>
      </c>
      <c r="C12" s="91">
        <v>0.05</v>
      </c>
      <c r="D12" s="85"/>
    </row>
    <row r="13" spans="1:4" x14ac:dyDescent="0.25">
      <c r="B13" s="86">
        <v>27</v>
      </c>
      <c r="C13" s="91">
        <v>0.05</v>
      </c>
      <c r="D13" s="85"/>
    </row>
    <row r="14" spans="1:4" x14ac:dyDescent="0.25">
      <c r="B14" s="86">
        <v>28</v>
      </c>
      <c r="C14" s="91">
        <v>0.05</v>
      </c>
      <c r="D14" s="85"/>
    </row>
    <row r="15" spans="1:4" x14ac:dyDescent="0.25">
      <c r="B15" s="86">
        <v>29</v>
      </c>
      <c r="C15" s="91">
        <v>0.05</v>
      </c>
      <c r="D15" s="85"/>
    </row>
    <row r="16" spans="1:4" x14ac:dyDescent="0.25">
      <c r="B16" s="86">
        <v>30</v>
      </c>
      <c r="C16" s="91">
        <v>0.05</v>
      </c>
      <c r="D16" s="85"/>
    </row>
    <row r="17" spans="2:4" x14ac:dyDescent="0.25">
      <c r="B17" s="86">
        <v>31</v>
      </c>
      <c r="C17" s="91">
        <v>0.05</v>
      </c>
      <c r="D17" s="85"/>
    </row>
    <row r="18" spans="2:4" x14ac:dyDescent="0.25">
      <c r="B18" s="86">
        <v>32</v>
      </c>
      <c r="C18" s="91">
        <v>0.05</v>
      </c>
      <c r="D18" s="85"/>
    </row>
    <row r="19" spans="2:4" x14ac:dyDescent="0.25">
      <c r="B19" s="86">
        <v>33</v>
      </c>
      <c r="C19" s="91">
        <v>0.05</v>
      </c>
      <c r="D19" s="85"/>
    </row>
    <row r="20" spans="2:4" x14ac:dyDescent="0.25">
      <c r="B20" s="86">
        <v>34</v>
      </c>
      <c r="C20" s="91">
        <v>0.05</v>
      </c>
      <c r="D20" s="85"/>
    </row>
    <row r="21" spans="2:4" x14ac:dyDescent="0.25">
      <c r="B21" s="86">
        <v>35</v>
      </c>
      <c r="C21" s="91">
        <v>0.05</v>
      </c>
      <c r="D21" s="85"/>
    </row>
    <row r="22" spans="2:4" x14ac:dyDescent="0.25">
      <c r="B22" s="86">
        <v>36</v>
      </c>
      <c r="C22" s="91">
        <v>0.05</v>
      </c>
      <c r="D22" s="85"/>
    </row>
    <row r="23" spans="2:4" x14ac:dyDescent="0.25">
      <c r="B23" s="86">
        <v>37</v>
      </c>
      <c r="C23" s="91">
        <v>0.05</v>
      </c>
      <c r="D23" s="85"/>
    </row>
    <row r="24" spans="2:4" x14ac:dyDescent="0.25">
      <c r="B24" s="86">
        <v>38</v>
      </c>
      <c r="C24" s="91">
        <v>0.05</v>
      </c>
      <c r="D24" s="85"/>
    </row>
    <row r="25" spans="2:4" x14ac:dyDescent="0.25">
      <c r="B25" s="86">
        <v>39</v>
      </c>
      <c r="C25" s="91">
        <v>0.05</v>
      </c>
      <c r="D25" s="85"/>
    </row>
    <row r="26" spans="2:4" x14ac:dyDescent="0.25">
      <c r="B26" s="86">
        <v>40</v>
      </c>
      <c r="C26" s="91">
        <v>0.05</v>
      </c>
      <c r="D26" s="85"/>
    </row>
    <row r="27" spans="2:4" x14ac:dyDescent="0.25">
      <c r="B27" s="86">
        <v>41</v>
      </c>
      <c r="C27" s="91">
        <v>0.05</v>
      </c>
      <c r="D27" s="85"/>
    </row>
    <row r="28" spans="2:4" x14ac:dyDescent="0.25">
      <c r="B28" s="86">
        <v>42</v>
      </c>
      <c r="C28" s="91">
        <v>0.05</v>
      </c>
      <c r="D28" s="85"/>
    </row>
    <row r="29" spans="2:4" x14ac:dyDescent="0.25">
      <c r="B29" s="86">
        <v>43</v>
      </c>
      <c r="C29" s="91">
        <v>0.05</v>
      </c>
      <c r="D29" s="85"/>
    </row>
    <row r="30" spans="2:4" x14ac:dyDescent="0.25">
      <c r="B30" s="86">
        <v>44</v>
      </c>
      <c r="C30" s="91">
        <v>0.05</v>
      </c>
      <c r="D30" s="85"/>
    </row>
    <row r="31" spans="2:4" x14ac:dyDescent="0.25">
      <c r="B31" s="86">
        <v>45</v>
      </c>
      <c r="C31" s="91">
        <v>0.05</v>
      </c>
      <c r="D31" s="85"/>
    </row>
    <row r="32" spans="2:4" x14ac:dyDescent="0.25">
      <c r="B32" s="86">
        <v>46</v>
      </c>
      <c r="C32" s="91">
        <v>0.05</v>
      </c>
      <c r="D32" s="85"/>
    </row>
    <row r="33" spans="2:4" x14ac:dyDescent="0.25">
      <c r="B33" s="86">
        <v>47</v>
      </c>
      <c r="C33" s="91">
        <v>0.05</v>
      </c>
      <c r="D33" s="85"/>
    </row>
    <row r="34" spans="2:4" x14ac:dyDescent="0.25">
      <c r="B34" s="86">
        <v>48</v>
      </c>
      <c r="C34" s="91">
        <v>0.05</v>
      </c>
      <c r="D34" s="85"/>
    </row>
    <row r="35" spans="2:4" x14ac:dyDescent="0.25">
      <c r="B35" s="86">
        <v>49</v>
      </c>
      <c r="C35" s="91">
        <v>0.05</v>
      </c>
      <c r="D35" s="85"/>
    </row>
    <row r="36" spans="2:4" x14ac:dyDescent="0.25">
      <c r="B36" s="86">
        <v>50</v>
      </c>
      <c r="C36" s="91">
        <v>2.5000000000000001E-2</v>
      </c>
      <c r="D36" s="85"/>
    </row>
    <row r="37" spans="2:4" x14ac:dyDescent="0.25">
      <c r="B37" s="86">
        <v>51</v>
      </c>
      <c r="C37" s="91">
        <v>2.5000000000000001E-2</v>
      </c>
      <c r="D37" s="85"/>
    </row>
    <row r="38" spans="2:4" x14ac:dyDescent="0.25">
      <c r="B38" s="86">
        <v>52</v>
      </c>
      <c r="C38" s="91">
        <v>2.5000000000000001E-2</v>
      </c>
      <c r="D38" s="85"/>
    </row>
    <row r="39" spans="2:4" x14ac:dyDescent="0.25">
      <c r="B39" s="86">
        <v>53</v>
      </c>
      <c r="C39" s="91">
        <v>2.5000000000000001E-2</v>
      </c>
      <c r="D39" s="85"/>
    </row>
    <row r="40" spans="2:4" x14ac:dyDescent="0.25">
      <c r="B40" s="86">
        <v>54</v>
      </c>
      <c r="C40" s="91">
        <v>2.5000000000000001E-2</v>
      </c>
      <c r="D40" s="85"/>
    </row>
    <row r="41" spans="2:4" x14ac:dyDescent="0.25">
      <c r="B41" s="86">
        <v>55</v>
      </c>
      <c r="C41" s="91">
        <v>2.5000000000000001E-2</v>
      </c>
      <c r="D41" s="85"/>
    </row>
    <row r="42" spans="2:4" x14ac:dyDescent="0.25">
      <c r="B42" s="86">
        <v>56</v>
      </c>
      <c r="C42" s="91">
        <v>2.5000000000000001E-2</v>
      </c>
      <c r="D42" s="85"/>
    </row>
    <row r="43" spans="2:4" x14ac:dyDescent="0.25">
      <c r="B43" s="86">
        <v>57</v>
      </c>
      <c r="C43" s="91">
        <v>2.5000000000000001E-2</v>
      </c>
      <c r="D43" s="85"/>
    </row>
    <row r="44" spans="2:4" x14ac:dyDescent="0.25">
      <c r="B44" s="86">
        <v>58</v>
      </c>
      <c r="C44" s="91">
        <v>2.5000000000000001E-2</v>
      </c>
      <c r="D44" s="85"/>
    </row>
    <row r="45" spans="2:4" x14ac:dyDescent="0.25">
      <c r="B45" s="86">
        <v>59</v>
      </c>
      <c r="C45" s="91">
        <v>2.5000000000000001E-2</v>
      </c>
      <c r="D45" s="85"/>
    </row>
    <row r="46" spans="2:4" x14ac:dyDescent="0.25">
      <c r="B46" s="86">
        <v>60</v>
      </c>
      <c r="C46" s="91">
        <v>0.02</v>
      </c>
      <c r="D46" s="85"/>
    </row>
    <row r="47" spans="2:4" x14ac:dyDescent="0.25">
      <c r="B47" s="86">
        <v>61</v>
      </c>
      <c r="C47" s="91">
        <v>0.02</v>
      </c>
      <c r="D47" s="85"/>
    </row>
    <row r="48" spans="2:4" x14ac:dyDescent="0.25">
      <c r="B48" s="86">
        <v>62</v>
      </c>
      <c r="C48" s="91">
        <v>0.02</v>
      </c>
      <c r="D48" s="85"/>
    </row>
    <row r="49" spans="2:4" x14ac:dyDescent="0.25">
      <c r="B49" s="86">
        <v>63</v>
      </c>
      <c r="C49" s="91">
        <v>0.02</v>
      </c>
      <c r="D49" s="85"/>
    </row>
    <row r="50" spans="2:4" x14ac:dyDescent="0.25">
      <c r="B50" s="86">
        <v>64</v>
      </c>
      <c r="C50" s="91">
        <v>0.02</v>
      </c>
      <c r="D50" s="85"/>
    </row>
    <row r="51" spans="2:4" x14ac:dyDescent="0.25">
      <c r="B51" s="86">
        <v>65</v>
      </c>
      <c r="C51" s="91">
        <v>0.02</v>
      </c>
      <c r="D51" s="85"/>
    </row>
    <row r="52" spans="2:4" x14ac:dyDescent="0.25">
      <c r="B52" s="86">
        <v>66</v>
      </c>
      <c r="C52" s="91">
        <v>0.02</v>
      </c>
      <c r="D52" s="85"/>
    </row>
    <row r="53" spans="2:4" x14ac:dyDescent="0.25">
      <c r="B53" s="86">
        <v>67</v>
      </c>
      <c r="C53" s="91">
        <v>0.02</v>
      </c>
      <c r="D53" s="85"/>
    </row>
    <row r="54" spans="2:4" x14ac:dyDescent="0.25">
      <c r="B54" s="86">
        <v>68</v>
      </c>
      <c r="C54" s="91">
        <v>0.02</v>
      </c>
      <c r="D54" s="85"/>
    </row>
    <row r="55" spans="2:4" x14ac:dyDescent="0.25">
      <c r="B55" s="86">
        <v>69</v>
      </c>
      <c r="C55" s="91">
        <v>0.02</v>
      </c>
      <c r="D55" s="85"/>
    </row>
    <row r="56" spans="2:4" x14ac:dyDescent="0.25">
      <c r="B56" s="86">
        <v>70</v>
      </c>
      <c r="C56" s="91">
        <v>0.02</v>
      </c>
      <c r="D56" s="85"/>
    </row>
    <row r="57" spans="2:4" x14ac:dyDescent="0.25">
      <c r="B57" s="86">
        <v>71</v>
      </c>
      <c r="C57" s="91">
        <v>0.02</v>
      </c>
      <c r="D57" s="85"/>
    </row>
    <row r="58" spans="2:4" x14ac:dyDescent="0.25">
      <c r="B58" s="86">
        <v>72</v>
      </c>
      <c r="C58" s="91">
        <v>0.02</v>
      </c>
      <c r="D58" s="85"/>
    </row>
    <row r="59" spans="2:4" x14ac:dyDescent="0.25">
      <c r="B59" s="86">
        <v>73</v>
      </c>
      <c r="C59" s="91">
        <v>0.02</v>
      </c>
      <c r="D59" s="85"/>
    </row>
    <row r="60" spans="2:4" x14ac:dyDescent="0.25">
      <c r="B60" s="86">
        <v>74</v>
      </c>
      <c r="C60" s="91">
        <v>0.02</v>
      </c>
      <c r="D60" s="85"/>
    </row>
    <row r="61" spans="2:4" x14ac:dyDescent="0.25">
      <c r="B61" s="86">
        <v>75</v>
      </c>
      <c r="C61" s="91">
        <v>0.02</v>
      </c>
      <c r="D61" s="85"/>
    </row>
    <row r="62" spans="2:4" x14ac:dyDescent="0.25">
      <c r="B62" s="86">
        <v>76</v>
      </c>
      <c r="C62" s="91">
        <v>0.02</v>
      </c>
      <c r="D62" s="85"/>
    </row>
    <row r="63" spans="2:4" x14ac:dyDescent="0.25">
      <c r="B63" s="86">
        <v>77</v>
      </c>
      <c r="C63" s="91">
        <v>0.02</v>
      </c>
      <c r="D63" s="85"/>
    </row>
    <row r="64" spans="2:4" x14ac:dyDescent="0.25">
      <c r="B64" s="86">
        <v>78</v>
      </c>
      <c r="C64" s="91">
        <v>0.02</v>
      </c>
      <c r="D64" s="85"/>
    </row>
    <row r="65" spans="2:4" x14ac:dyDescent="0.25">
      <c r="B65" s="86">
        <v>79</v>
      </c>
      <c r="C65" s="91">
        <v>0.02</v>
      </c>
      <c r="D65" s="85"/>
    </row>
    <row r="66" spans="2:4" x14ac:dyDescent="0.25">
      <c r="B66" s="86">
        <v>80</v>
      </c>
      <c r="C66" s="91">
        <v>0.02</v>
      </c>
      <c r="D66" s="85"/>
    </row>
    <row r="67" spans="2:4" x14ac:dyDescent="0.25">
      <c r="B67" s="86">
        <v>81</v>
      </c>
      <c r="C67" s="91">
        <v>0.02</v>
      </c>
      <c r="D67" s="85"/>
    </row>
    <row r="68" spans="2:4" x14ac:dyDescent="0.25">
      <c r="B68" s="86">
        <v>82</v>
      </c>
      <c r="C68" s="91">
        <v>0.02</v>
      </c>
      <c r="D68" s="85"/>
    </row>
    <row r="69" spans="2:4" x14ac:dyDescent="0.25">
      <c r="B69" s="86">
        <v>83</v>
      </c>
      <c r="C69" s="91">
        <v>0.02</v>
      </c>
      <c r="D69" s="85"/>
    </row>
    <row r="70" spans="2:4" x14ac:dyDescent="0.25">
      <c r="B70" s="86">
        <v>84</v>
      </c>
      <c r="C70" s="91">
        <v>0.02</v>
      </c>
      <c r="D70" s="85"/>
    </row>
    <row r="71" spans="2:4" x14ac:dyDescent="0.25">
      <c r="B71" s="86">
        <v>85</v>
      </c>
      <c r="C71" s="91">
        <v>0.02</v>
      </c>
      <c r="D71" s="85"/>
    </row>
    <row r="72" spans="2:4" x14ac:dyDescent="0.25">
      <c r="B72" s="86">
        <v>86</v>
      </c>
      <c r="C72" s="91">
        <v>0.02</v>
      </c>
      <c r="D72" s="85"/>
    </row>
    <row r="73" spans="2:4" x14ac:dyDescent="0.25">
      <c r="B73" s="86">
        <v>87</v>
      </c>
      <c r="C73" s="91">
        <v>0.02</v>
      </c>
      <c r="D73" s="85"/>
    </row>
    <row r="74" spans="2:4" x14ac:dyDescent="0.25">
      <c r="B74" s="86">
        <v>88</v>
      </c>
      <c r="C74" s="91">
        <v>0.02</v>
      </c>
      <c r="D74" s="85"/>
    </row>
    <row r="75" spans="2:4" x14ac:dyDescent="0.25">
      <c r="B75" s="86">
        <v>89</v>
      </c>
      <c r="C75" s="91">
        <v>0.02</v>
      </c>
      <c r="D75" s="85"/>
    </row>
    <row r="76" spans="2:4" x14ac:dyDescent="0.25">
      <c r="B76" s="86">
        <v>90</v>
      </c>
      <c r="C76" s="91">
        <v>0.02</v>
      </c>
      <c r="D76" s="85"/>
    </row>
    <row r="77" spans="2:4" x14ac:dyDescent="0.25">
      <c r="B77" s="86">
        <v>91</v>
      </c>
      <c r="C77" s="91">
        <v>0.02</v>
      </c>
      <c r="D77" s="85"/>
    </row>
    <row r="78" spans="2:4" x14ac:dyDescent="0.25">
      <c r="B78" s="86">
        <v>92</v>
      </c>
      <c r="C78" s="91">
        <v>0.02</v>
      </c>
      <c r="D78" s="85"/>
    </row>
    <row r="79" spans="2:4" x14ac:dyDescent="0.25">
      <c r="B79" s="86">
        <v>93</v>
      </c>
      <c r="C79" s="91">
        <v>0.02</v>
      </c>
      <c r="D79" s="85"/>
    </row>
    <row r="80" spans="2:4" x14ac:dyDescent="0.25">
      <c r="B80" s="86">
        <v>94</v>
      </c>
      <c r="C80" s="91">
        <v>0.02</v>
      </c>
      <c r="D80" s="85"/>
    </row>
    <row r="81" spans="2:4" x14ac:dyDescent="0.25">
      <c r="B81" s="86">
        <v>95</v>
      </c>
      <c r="C81" s="91">
        <v>0.02</v>
      </c>
      <c r="D81" s="85"/>
    </row>
    <row r="82" spans="2:4" x14ac:dyDescent="0.25">
      <c r="B82" s="86">
        <v>96</v>
      </c>
      <c r="C82" s="91">
        <v>0.02</v>
      </c>
      <c r="D82" s="85"/>
    </row>
    <row r="83" spans="2:4" x14ac:dyDescent="0.25">
      <c r="B83" s="86">
        <v>97</v>
      </c>
      <c r="C83" s="91">
        <v>0.02</v>
      </c>
      <c r="D83" s="85"/>
    </row>
    <row r="84" spans="2:4" x14ac:dyDescent="0.25">
      <c r="B84" s="86">
        <v>98</v>
      </c>
      <c r="C84" s="91">
        <v>0.02</v>
      </c>
      <c r="D84" s="85"/>
    </row>
    <row r="85" spans="2:4" x14ac:dyDescent="0.25">
      <c r="B85" s="86">
        <v>99</v>
      </c>
      <c r="C85" s="91">
        <v>0.02</v>
      </c>
      <c r="D85" s="85"/>
    </row>
    <row r="86" spans="2:4" x14ac:dyDescent="0.25">
      <c r="B86" s="86">
        <v>100</v>
      </c>
      <c r="C86" s="91">
        <v>0.02</v>
      </c>
      <c r="D86" s="85"/>
    </row>
    <row r="87" spans="2:4" x14ac:dyDescent="0.25">
      <c r="B87" s="86">
        <v>101</v>
      </c>
      <c r="C87" s="91">
        <v>0.02</v>
      </c>
      <c r="D87" s="85"/>
    </row>
    <row r="88" spans="2:4" x14ac:dyDescent="0.25">
      <c r="B88" s="86">
        <v>102</v>
      </c>
      <c r="C88" s="91">
        <v>0.02</v>
      </c>
      <c r="D88" s="85"/>
    </row>
    <row r="89" spans="2:4" x14ac:dyDescent="0.25">
      <c r="B89" s="86">
        <v>103</v>
      </c>
      <c r="C89" s="91">
        <v>0.02</v>
      </c>
      <c r="D89" s="85"/>
    </row>
    <row r="90" spans="2:4" x14ac:dyDescent="0.25">
      <c r="B90" s="86">
        <v>104</v>
      </c>
      <c r="C90" s="91">
        <v>0.02</v>
      </c>
      <c r="D90" s="85"/>
    </row>
    <row r="91" spans="2:4" x14ac:dyDescent="0.25">
      <c r="B91" s="86">
        <v>105</v>
      </c>
      <c r="C91" s="91">
        <v>0.02</v>
      </c>
      <c r="D91" s="85"/>
    </row>
    <row r="92" spans="2:4" x14ac:dyDescent="0.25">
      <c r="B92" s="86">
        <v>106</v>
      </c>
      <c r="C92" s="91">
        <v>0.02</v>
      </c>
      <c r="D92" s="85"/>
    </row>
    <row r="93" spans="2:4" x14ac:dyDescent="0.25">
      <c r="B93" s="86">
        <v>107</v>
      </c>
      <c r="C93" s="91">
        <v>0.02</v>
      </c>
      <c r="D93" s="85"/>
    </row>
    <row r="94" spans="2:4" x14ac:dyDescent="0.25">
      <c r="B94" s="86">
        <v>108</v>
      </c>
      <c r="C94" s="91">
        <v>0.02</v>
      </c>
      <c r="D94" s="85"/>
    </row>
    <row r="95" spans="2:4" x14ac:dyDescent="0.25">
      <c r="B95" s="86">
        <v>109</v>
      </c>
      <c r="C95" s="91">
        <v>0.02</v>
      </c>
      <c r="D95" s="85"/>
    </row>
    <row r="96" spans="2:4" x14ac:dyDescent="0.25">
      <c r="B96" s="86">
        <v>110</v>
      </c>
      <c r="C96" s="91">
        <v>0.02</v>
      </c>
      <c r="D96" s="85"/>
    </row>
    <row r="97" spans="2:4" x14ac:dyDescent="0.25">
      <c r="B97" s="86">
        <v>111</v>
      </c>
      <c r="C97" s="91">
        <v>0.02</v>
      </c>
      <c r="D97" s="85"/>
    </row>
    <row r="98" spans="2:4" x14ac:dyDescent="0.25">
      <c r="B98" s="86">
        <v>112</v>
      </c>
      <c r="C98" s="91">
        <v>0.02</v>
      </c>
      <c r="D98" s="85"/>
    </row>
    <row r="99" spans="2:4" x14ac:dyDescent="0.25">
      <c r="B99" s="86">
        <v>113</v>
      </c>
      <c r="C99" s="91">
        <v>0.02</v>
      </c>
      <c r="D99" s="85"/>
    </row>
    <row r="100" spans="2:4" x14ac:dyDescent="0.25">
      <c r="B100" s="86">
        <v>114</v>
      </c>
      <c r="C100" s="91">
        <v>0.02</v>
      </c>
      <c r="D100" s="85"/>
    </row>
    <row r="101" spans="2:4" x14ac:dyDescent="0.25">
      <c r="B101" s="83">
        <v>115</v>
      </c>
      <c r="C101" s="90">
        <v>0.02</v>
      </c>
      <c r="D101" s="8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18C3-84C0-47E5-87E7-3A3EB9DCDCAF}">
  <sheetPr>
    <tabColor theme="9" tint="0.39997558519241921"/>
  </sheetPr>
  <dimension ref="A1:M54"/>
  <sheetViews>
    <sheetView showGridLines="0" workbookViewId="0">
      <selection activeCell="A7" sqref="A7"/>
    </sheetView>
  </sheetViews>
  <sheetFormatPr defaultColWidth="8.77734375" defaultRowHeight="13.8" x14ac:dyDescent="0.25"/>
  <cols>
    <col min="1" max="11" width="11.77734375" style="28" customWidth="1"/>
    <col min="12" max="14" width="13.21875" style="28" customWidth="1"/>
    <col min="15" max="16384" width="8.77734375" style="28"/>
  </cols>
  <sheetData>
    <row r="1" spans="1:13" ht="58.05" customHeight="1" x14ac:dyDescent="0.3">
      <c r="A1" s="80" t="s">
        <v>103</v>
      </c>
      <c r="B1" s="79"/>
      <c r="C1" s="79"/>
      <c r="D1" s="79"/>
      <c r="E1" s="79"/>
      <c r="F1" s="79"/>
      <c r="G1" s="79"/>
      <c r="H1" s="79"/>
      <c r="I1" s="116"/>
      <c r="J1" s="116"/>
      <c r="K1" s="116"/>
    </row>
    <row r="2" spans="1:13" ht="14.4" thickBot="1" x14ac:dyDescent="0.3"/>
    <row r="3" spans="1:13" ht="41.4" x14ac:dyDescent="0.25">
      <c r="A3" s="112"/>
      <c r="B3" s="115" t="s">
        <v>79</v>
      </c>
      <c r="C3" s="114" t="s">
        <v>102</v>
      </c>
      <c r="D3" s="114" t="s">
        <v>101</v>
      </c>
      <c r="E3" s="114" t="s">
        <v>100</v>
      </c>
      <c r="F3" s="114" t="s">
        <v>99</v>
      </c>
      <c r="G3" s="114" t="s">
        <v>98</v>
      </c>
      <c r="H3" s="113" t="s">
        <v>97</v>
      </c>
    </row>
    <row r="4" spans="1:13" ht="14.4" thickBot="1" x14ac:dyDescent="0.3">
      <c r="A4" s="112"/>
      <c r="B4" s="111">
        <f>'Question d'!$C$4</f>
        <v>45</v>
      </c>
      <c r="C4" s="110">
        <f>'Question d'!$C$5</f>
        <v>15</v>
      </c>
      <c r="D4" s="109">
        <f>C4+('Question d'!$C$13-B4)</f>
        <v>35</v>
      </c>
      <c r="E4" s="108">
        <f>SUM($M$9:$M$43)</f>
        <v>11098.726649171957</v>
      </c>
      <c r="F4" s="107">
        <f>E4*C4/D4</f>
        <v>4756.5971353594095</v>
      </c>
      <c r="G4" s="107">
        <f>E4/D4</f>
        <v>317.10647569062735</v>
      </c>
      <c r="H4" s="106">
        <f>'Question d'!$C$15*(F4+G4-K9/2)</f>
        <v>228.31666249725166</v>
      </c>
      <c r="I4" s="103" t="s">
        <v>96</v>
      </c>
    </row>
    <row r="5" spans="1:13" x14ac:dyDescent="0.25">
      <c r="E5" s="105"/>
      <c r="F5" s="104" t="s">
        <v>18</v>
      </c>
      <c r="G5" s="104" t="s">
        <v>24</v>
      </c>
      <c r="H5" s="104" t="s">
        <v>95</v>
      </c>
      <c r="I5" s="103" t="s">
        <v>94</v>
      </c>
    </row>
    <row r="8" spans="1:13" ht="41.55" customHeight="1" x14ac:dyDescent="0.25">
      <c r="A8" s="102" t="s">
        <v>34</v>
      </c>
      <c r="B8" s="101" t="s">
        <v>79</v>
      </c>
      <c r="C8" s="101" t="s">
        <v>93</v>
      </c>
      <c r="D8" s="101" t="s">
        <v>92</v>
      </c>
      <c r="E8" s="101" t="s">
        <v>91</v>
      </c>
      <c r="F8" s="101" t="s">
        <v>90</v>
      </c>
      <c r="G8" s="101" t="s">
        <v>89</v>
      </c>
      <c r="H8" s="101" t="s">
        <v>88</v>
      </c>
      <c r="I8" s="101" t="s">
        <v>87</v>
      </c>
      <c r="J8" s="101" t="s">
        <v>86</v>
      </c>
      <c r="K8" s="101" t="s">
        <v>85</v>
      </c>
      <c r="L8" s="101" t="s">
        <v>84</v>
      </c>
      <c r="M8" s="101" t="s">
        <v>83</v>
      </c>
    </row>
    <row r="9" spans="1:13" x14ac:dyDescent="0.25">
      <c r="A9" s="100">
        <v>1</v>
      </c>
      <c r="B9" s="67">
        <v>45</v>
      </c>
      <c r="C9" s="67">
        <f>IF(B9&gt;='Question d'!$C$13,1,0)</f>
        <v>0</v>
      </c>
      <c r="D9" s="85">
        <f>Mortality!D31</f>
        <v>8.5999999999999998E-4</v>
      </c>
      <c r="E9" s="48">
        <f>IF(C9=0,Termination!C31,0)</f>
        <v>0.05</v>
      </c>
      <c r="F9" s="48">
        <f>(1-D9)^0.5*(1-E9)^0.5</f>
        <v>0.97426023217618807</v>
      </c>
      <c r="G9" s="48">
        <v>0</v>
      </c>
      <c r="H9" s="99">
        <f>'Question d'!C11</f>
        <v>0.05</v>
      </c>
      <c r="I9" s="99">
        <f>'Question c'!$C$7</f>
        <v>2.5000000000000001E-2</v>
      </c>
      <c r="J9" s="98">
        <f>'Solution c'!$B$15/((1+'Question c'!$C$7)^(65-B9))</f>
        <v>705.48186728228973</v>
      </c>
      <c r="K9" s="57">
        <f>F9*G9*J9</f>
        <v>0</v>
      </c>
      <c r="L9" s="97">
        <f>1/((1+'Question d'!$C$15)^(A9-0.5))</f>
        <v>0.978231976089037</v>
      </c>
      <c r="M9" s="57">
        <f>K9*L9</f>
        <v>0</v>
      </c>
    </row>
    <row r="10" spans="1:13" x14ac:dyDescent="0.25">
      <c r="A10" s="96">
        <f>A9+1</f>
        <v>2</v>
      </c>
      <c r="B10" s="67">
        <f>B9+1</f>
        <v>46</v>
      </c>
      <c r="C10" s="67">
        <f>IF(B10&gt;='Question d'!$C$13,1,0)</f>
        <v>0</v>
      </c>
      <c r="D10" s="85">
        <f>Mortality!D32</f>
        <v>9.2000000000000003E-4</v>
      </c>
      <c r="E10" s="48">
        <f>IF(C10=0,Termination!C32,0)</f>
        <v>0.05</v>
      </c>
      <c r="F10" s="48">
        <f>F9*(1-D9)^0.5*(1-E9)^0.5*(1-D10)^0.5*(1-E10)^0.5</f>
        <v>0.92472348312420627</v>
      </c>
      <c r="G10" s="48">
        <v>0</v>
      </c>
      <c r="H10" s="48">
        <f>H9</f>
        <v>0.05</v>
      </c>
      <c r="I10" s="48">
        <f>'Question c'!$C$7</f>
        <v>2.5000000000000001E-2</v>
      </c>
      <c r="J10" s="57">
        <f>J9*(1+H10)*(1+I10)</f>
        <v>759.27485966256427</v>
      </c>
      <c r="K10" s="57">
        <f>F10*G10*J10</f>
        <v>0</v>
      </c>
      <c r="L10" s="66">
        <f>1/((1+'Question d'!$C$15)^(A10-0.5))</f>
        <v>0.9361071541521887</v>
      </c>
      <c r="M10" s="57">
        <f>K10*L10</f>
        <v>0</v>
      </c>
    </row>
    <row r="11" spans="1:13" x14ac:dyDescent="0.25">
      <c r="A11" s="96">
        <f>A10+1</f>
        <v>3</v>
      </c>
      <c r="B11" s="67">
        <f>B10+1</f>
        <v>47</v>
      </c>
      <c r="C11" s="67">
        <f>IF(B11&gt;='Question d'!$C$13,1,0)</f>
        <v>0</v>
      </c>
      <c r="D11" s="85">
        <f>Mortality!D33</f>
        <v>1.01E-3</v>
      </c>
      <c r="E11" s="48">
        <f>IF(C11=0,Termination!C33,0)</f>
        <v>0.05</v>
      </c>
      <c r="F11" s="48">
        <f>F10*(1-D10)^0.5*(1-E10)^0.5*(1-D11)^0.5*(1-E11)^0.5</f>
        <v>0.87763956782451424</v>
      </c>
      <c r="G11" s="48">
        <v>0</v>
      </c>
      <c r="H11" s="48">
        <f>H10</f>
        <v>0.05</v>
      </c>
      <c r="I11" s="48">
        <f>'Question c'!$C$7</f>
        <v>2.5000000000000001E-2</v>
      </c>
      <c r="J11" s="57">
        <f>J10*(1+H11)*(1+I11)</f>
        <v>817.1695677118347</v>
      </c>
      <c r="K11" s="57">
        <f>F11*G11*J11</f>
        <v>0</v>
      </c>
      <c r="L11" s="66">
        <f>1/((1+'Question d'!$C$15)^(A11-0.5))</f>
        <v>0.89579631976286</v>
      </c>
      <c r="M11" s="57">
        <f>K11*L11</f>
        <v>0</v>
      </c>
    </row>
    <row r="12" spans="1:13" x14ac:dyDescent="0.25">
      <c r="A12" s="96">
        <f>A11+1</f>
        <v>4</v>
      </c>
      <c r="B12" s="67">
        <f>B11+1</f>
        <v>48</v>
      </c>
      <c r="C12" s="67">
        <f>IF(B12&gt;='Question d'!$C$13,1,0)</f>
        <v>0</v>
      </c>
      <c r="D12" s="85">
        <f>Mortality!D34</f>
        <v>1.09E-3</v>
      </c>
      <c r="E12" s="48">
        <f>IF(C12=0,Termination!C34,0)</f>
        <v>0.05</v>
      </c>
      <c r="F12" s="48">
        <f>F11*(1-D11)^0.5*(1-E11)^0.5*(1-D12)^0.5*(1-E12)^0.5</f>
        <v>0.83288214329667631</v>
      </c>
      <c r="G12" s="48">
        <v>0</v>
      </c>
      <c r="H12" s="48">
        <f>H11</f>
        <v>0.05</v>
      </c>
      <c r="I12" s="48">
        <f>'Question c'!$C$7</f>
        <v>2.5000000000000001E-2</v>
      </c>
      <c r="J12" s="57">
        <f>J11*(1+H12)*(1+I12)</f>
        <v>879.47874724986207</v>
      </c>
      <c r="K12" s="57">
        <f>F12*G12*J12</f>
        <v>0</v>
      </c>
      <c r="L12" s="66">
        <f>1/((1+'Question d'!$C$15)^(A12-0.5))</f>
        <v>0.85722135862474647</v>
      </c>
      <c r="M12" s="57">
        <f>K12*L12</f>
        <v>0</v>
      </c>
    </row>
    <row r="13" spans="1:13" x14ac:dyDescent="0.25">
      <c r="A13" s="96">
        <f>A12+1</f>
        <v>5</v>
      </c>
      <c r="B13" s="67">
        <f>B12+1</f>
        <v>49</v>
      </c>
      <c r="C13" s="67">
        <f>IF(B13&gt;='Question d'!$C$13,1,0)</f>
        <v>0</v>
      </c>
      <c r="D13" s="85">
        <f>Mortality!D35</f>
        <v>1.1900000000000001E-3</v>
      </c>
      <c r="E13" s="48">
        <f>IF(C13=0,Termination!C35,0)</f>
        <v>0.05</v>
      </c>
      <c r="F13" s="48">
        <f>F12*(1-D12)^0.5*(1-E12)^0.5*(1-D13)^0.5*(1-E13)^0.5</f>
        <v>0.79033602378047574</v>
      </c>
      <c r="G13" s="48">
        <v>0</v>
      </c>
      <c r="H13" s="48">
        <f>H12</f>
        <v>0.05</v>
      </c>
      <c r="I13" s="48">
        <f>'Question c'!$C$7</f>
        <v>2.5000000000000001E-2</v>
      </c>
      <c r="J13" s="57">
        <f>J12*(1+H13)*(1+I13)</f>
        <v>946.53900172766407</v>
      </c>
      <c r="K13" s="57">
        <f>F13*G13*J13</f>
        <v>0</v>
      </c>
      <c r="L13" s="66">
        <f>1/((1+'Question d'!$C$15)^(A13-0.5))</f>
        <v>0.82030752021506836</v>
      </c>
      <c r="M13" s="57">
        <f>K13*L13</f>
        <v>0</v>
      </c>
    </row>
    <row r="14" spans="1:13" x14ac:dyDescent="0.25">
      <c r="A14" s="96">
        <f>A13+1</f>
        <v>6</v>
      </c>
      <c r="B14" s="67">
        <f>B13+1</f>
        <v>50</v>
      </c>
      <c r="C14" s="67">
        <f>IF(B14&gt;='Question d'!$C$13,1,0)</f>
        <v>0</v>
      </c>
      <c r="D14" s="85">
        <f>Mortality!D36</f>
        <v>1.2899999999999999E-3</v>
      </c>
      <c r="E14" s="48">
        <f>IF(C14=0,Termination!C36,0)</f>
        <v>2.5000000000000001E-2</v>
      </c>
      <c r="F14" s="48">
        <f>F13*(1-D13)^0.5*(1-E13)^0.5*(1-D14)^0.5*(1-E14)^0.5</f>
        <v>0.75969108208605307</v>
      </c>
      <c r="G14" s="48">
        <v>0</v>
      </c>
      <c r="H14" s="48">
        <f>H13</f>
        <v>0.05</v>
      </c>
      <c r="I14" s="48">
        <f>'Question c'!$C$7</f>
        <v>2.5000000000000001E-2</v>
      </c>
      <c r="J14" s="57">
        <f>J13*(1+H14)*(1+I14)</f>
        <v>1018.7126006093985</v>
      </c>
      <c r="K14" s="57">
        <f>F14*G14*J14</f>
        <v>0</v>
      </c>
      <c r="L14" s="66">
        <f>1/((1+'Question d'!$C$15)^(A14-0.5))</f>
        <v>0.78498327293307979</v>
      </c>
      <c r="M14" s="57">
        <f>K14*L14</f>
        <v>0</v>
      </c>
    </row>
    <row r="15" spans="1:13" x14ac:dyDescent="0.25">
      <c r="A15" s="96">
        <f>A14+1</f>
        <v>7</v>
      </c>
      <c r="B15" s="67">
        <f>B14+1</f>
        <v>51</v>
      </c>
      <c r="C15" s="67">
        <f>IF(B15&gt;='Question d'!$C$13,1,0)</f>
        <v>0</v>
      </c>
      <c r="D15" s="85">
        <f>Mortality!D37</f>
        <v>1.41E-3</v>
      </c>
      <c r="E15" s="48">
        <f>IF(C15=0,Termination!C37,0)</f>
        <v>2.5000000000000001E-2</v>
      </c>
      <c r="F15" s="48">
        <f>F14*(1-D14)^0.5*(1-E14)^0.5*(1-D15)^0.5*(1-E15)^0.5</f>
        <v>0.73969886031204568</v>
      </c>
      <c r="G15" s="48">
        <v>0</v>
      </c>
      <c r="H15" s="48">
        <f>H14</f>
        <v>0.05</v>
      </c>
      <c r="I15" s="48">
        <f>'Question c'!$C$7</f>
        <v>2.5000000000000001E-2</v>
      </c>
      <c r="J15" s="57">
        <f>J14*(1+H15)*(1+I15)</f>
        <v>1096.3894364058651</v>
      </c>
      <c r="K15" s="57">
        <f>F15*G15*J15</f>
        <v>0</v>
      </c>
      <c r="L15" s="66">
        <f>1/((1+'Question d'!$C$15)^(A15-0.5))</f>
        <v>0.75118016548620081</v>
      </c>
      <c r="M15" s="57">
        <f>K15*L15</f>
        <v>0</v>
      </c>
    </row>
    <row r="16" spans="1:13" x14ac:dyDescent="0.25">
      <c r="A16" s="96">
        <f>A15+1</f>
        <v>8</v>
      </c>
      <c r="B16" s="67">
        <f>B15+1</f>
        <v>52</v>
      </c>
      <c r="C16" s="67">
        <f>IF(B16&gt;='Question d'!$C$13,1,0)</f>
        <v>0</v>
      </c>
      <c r="D16" s="85">
        <f>Mortality!D38</f>
        <v>1.5299999999999999E-3</v>
      </c>
      <c r="E16" s="48">
        <f>IF(C16=0,Termination!C38,0)</f>
        <v>2.5000000000000001E-2</v>
      </c>
      <c r="F16" s="48">
        <f>F15*(1-D15)^0.5*(1-E15)^0.5*(1-D16)^0.5*(1-E16)^0.5</f>
        <v>0.72014621411261959</v>
      </c>
      <c r="G16" s="48">
        <v>0</v>
      </c>
      <c r="H16" s="48">
        <f>H15</f>
        <v>0.05</v>
      </c>
      <c r="I16" s="48">
        <f>'Question c'!$C$7</f>
        <v>2.5000000000000001E-2</v>
      </c>
      <c r="J16" s="57">
        <f>J15*(1+H16)*(1+I16)</f>
        <v>1179.9891309318123</v>
      </c>
      <c r="K16" s="57">
        <f>F16*G16*J16</f>
        <v>0</v>
      </c>
      <c r="L16" s="66">
        <f>1/((1+'Question d'!$C$15)^(A16-0.5))</f>
        <v>0.71883269424516838</v>
      </c>
      <c r="M16" s="57">
        <f>K16*L16</f>
        <v>0</v>
      </c>
    </row>
    <row r="17" spans="1:13" x14ac:dyDescent="0.25">
      <c r="A17" s="96">
        <f>A16+1</f>
        <v>9</v>
      </c>
      <c r="B17" s="67">
        <f>B16+1</f>
        <v>53</v>
      </c>
      <c r="C17" s="67">
        <f>IF(B17&gt;='Question d'!$C$13,1,0)</f>
        <v>0</v>
      </c>
      <c r="D17" s="85">
        <f>Mortality!D39</f>
        <v>1.6800000000000001E-3</v>
      </c>
      <c r="E17" s="48">
        <f>IF(C17=0,Termination!C39,0)</f>
        <v>2.5000000000000001E-2</v>
      </c>
      <c r="F17" s="48">
        <f>F16*(1-D16)^0.5*(1-E16)^0.5*(1-D17)^0.5*(1-E17)^0.5</f>
        <v>0.70101561797504397</v>
      </c>
      <c r="G17" s="48">
        <v>0</v>
      </c>
      <c r="H17" s="48">
        <f>H16</f>
        <v>0.05</v>
      </c>
      <c r="I17" s="48">
        <f>'Question c'!$C$7</f>
        <v>2.5000000000000001E-2</v>
      </c>
      <c r="J17" s="57">
        <f>J16*(1+H17)*(1+I17)</f>
        <v>1269.9633021653628</v>
      </c>
      <c r="K17" s="57">
        <f>F17*G17*J17</f>
        <v>0</v>
      </c>
      <c r="L17" s="66">
        <f>1/((1+'Question d'!$C$15)^(A17-0.5))</f>
        <v>0.68787817631116599</v>
      </c>
      <c r="M17" s="57">
        <f>K17*L17</f>
        <v>0</v>
      </c>
    </row>
    <row r="18" spans="1:13" x14ac:dyDescent="0.25">
      <c r="A18" s="96">
        <f>A17+1</f>
        <v>10</v>
      </c>
      <c r="B18" s="67">
        <f>B17+1</f>
        <v>54</v>
      </c>
      <c r="C18" s="67">
        <f>IF(B18&gt;='Question d'!$C$13,1,0)</f>
        <v>0</v>
      </c>
      <c r="D18" s="85">
        <f>Mortality!D40</f>
        <v>1.8600000000000001E-3</v>
      </c>
      <c r="E18" s="48">
        <f>IF(C18=0,Termination!C40,0)</f>
        <v>2.5000000000000001E-2</v>
      </c>
      <c r="F18" s="48">
        <f>F17*(1-D17)^0.5*(1-E17)^0.5*(1-D18)^0.5*(1-E18)^0.5</f>
        <v>0.68228044704990365</v>
      </c>
      <c r="G18" s="48">
        <v>0</v>
      </c>
      <c r="H18" s="48">
        <f>H17</f>
        <v>0.05</v>
      </c>
      <c r="I18" s="48">
        <f>'Question c'!$C$7</f>
        <v>2.5000000000000001E-2</v>
      </c>
      <c r="J18" s="57">
        <f>J17*(1+H18)*(1+I18)</f>
        <v>1366.7980039554718</v>
      </c>
      <c r="K18" s="57">
        <f>F18*G18*J18</f>
        <v>0</v>
      </c>
      <c r="L18" s="66">
        <f>1/((1+'Question d'!$C$15)^(A18-0.5))</f>
        <v>0.65825662804896268</v>
      </c>
      <c r="M18" s="57">
        <f>K18*L18</f>
        <v>0</v>
      </c>
    </row>
    <row r="19" spans="1:13" x14ac:dyDescent="0.25">
      <c r="A19" s="96">
        <f>A18+1</f>
        <v>11</v>
      </c>
      <c r="B19" s="67">
        <f>B18+1</f>
        <v>55</v>
      </c>
      <c r="C19" s="67">
        <f>IF(B19&gt;='Question d'!$C$13,1,0)</f>
        <v>0</v>
      </c>
      <c r="D19" s="85">
        <f>Mortality!D41</f>
        <v>2.0699999999999998E-3</v>
      </c>
      <c r="E19" s="48">
        <f>IF(C19=0,Termination!C41,0)</f>
        <v>2.5000000000000001E-2</v>
      </c>
      <c r="F19" s="48">
        <f>F18*(1-D18)^0.5*(1-E18)^0.5*(1-D19)^0.5*(1-E19)^0.5</f>
        <v>0.66391626814790017</v>
      </c>
      <c r="G19" s="48">
        <v>0</v>
      </c>
      <c r="H19" s="48">
        <f>H18</f>
        <v>0.05</v>
      </c>
      <c r="I19" s="48">
        <f>'Question c'!$C$7</f>
        <v>2.5000000000000001E-2</v>
      </c>
      <c r="J19" s="57">
        <f>J18*(1+H19)*(1+I19)</f>
        <v>1471.0163517570766</v>
      </c>
      <c r="K19" s="57">
        <f>F19*G19*J19</f>
        <v>0</v>
      </c>
      <c r="L19" s="66">
        <f>1/((1+'Question d'!$C$15)^(A19-0.5))</f>
        <v>0.62991064885068193</v>
      </c>
      <c r="M19" s="57">
        <f>K19*L19</f>
        <v>0</v>
      </c>
    </row>
    <row r="20" spans="1:13" x14ac:dyDescent="0.25">
      <c r="A20" s="96">
        <f>A19+1</f>
        <v>12</v>
      </c>
      <c r="B20" s="67">
        <f>B19+1</f>
        <v>56</v>
      </c>
      <c r="C20" s="67">
        <f>IF(B20&gt;='Question d'!$C$13,1,0)</f>
        <v>0</v>
      </c>
      <c r="D20" s="85">
        <f>Mortality!D42</f>
        <v>2.31E-3</v>
      </c>
      <c r="E20" s="48">
        <f>IF(C20=0,Termination!C42,0)</f>
        <v>2.5000000000000001E-2</v>
      </c>
      <c r="F20" s="48">
        <f>F19*(1-D19)^0.5*(1-E19)^0.5*(1-D20)^0.5*(1-E20)^0.5</f>
        <v>0.64590072956171818</v>
      </c>
      <c r="G20" s="48">
        <v>0</v>
      </c>
      <c r="H20" s="48">
        <f>H19</f>
        <v>0.05</v>
      </c>
      <c r="I20" s="48">
        <f>'Question c'!$C$7</f>
        <v>2.5000000000000001E-2</v>
      </c>
      <c r="J20" s="57">
        <f>J19*(1+H20)*(1+I20)</f>
        <v>1583.1813485785538</v>
      </c>
      <c r="K20" s="57">
        <f>F20*G20*J20</f>
        <v>0</v>
      </c>
      <c r="L20" s="66">
        <f>1/((1+'Question d'!$C$15)^(A20-0.5))</f>
        <v>0.60278530990495882</v>
      </c>
      <c r="M20" s="57">
        <f>K20*L20</f>
        <v>0</v>
      </c>
    </row>
    <row r="21" spans="1:13" x14ac:dyDescent="0.25">
      <c r="A21" s="96">
        <f>A20+1</f>
        <v>13</v>
      </c>
      <c r="B21" s="67">
        <f>B20+1</f>
        <v>57</v>
      </c>
      <c r="C21" s="67">
        <f>IF(B21&gt;='Question d'!$C$13,1,0)</f>
        <v>0</v>
      </c>
      <c r="D21" s="85">
        <f>Mortality!D43</f>
        <v>2.5799999999999998E-3</v>
      </c>
      <c r="E21" s="48">
        <f>IF(C21=0,Termination!C43,0)</f>
        <v>2.5000000000000001E-2</v>
      </c>
      <c r="F21" s="48">
        <f>F20*(1-D20)^0.5*(1-E20)^0.5*(1-D21)^0.5*(1-E21)^0.5</f>
        <v>0.62821345896829972</v>
      </c>
      <c r="G21" s="48">
        <v>0</v>
      </c>
      <c r="H21" s="48">
        <f>H20</f>
        <v>0.05</v>
      </c>
      <c r="I21" s="48">
        <f>'Question c'!$C$7</f>
        <v>2.5000000000000001E-2</v>
      </c>
      <c r="J21" s="57">
        <f>J20*(1+H21)*(1+I21)</f>
        <v>1703.8989264076683</v>
      </c>
      <c r="K21" s="57">
        <f>F21*G21*J21</f>
        <v>0</v>
      </c>
      <c r="L21" s="66">
        <f>1/((1+'Question d'!$C$15)^(A21-0.5))</f>
        <v>0.57682804775594154</v>
      </c>
      <c r="M21" s="57">
        <f>K21*L21</f>
        <v>0</v>
      </c>
    </row>
    <row r="22" spans="1:13" x14ac:dyDescent="0.25">
      <c r="A22" s="96">
        <f>A21+1</f>
        <v>14</v>
      </c>
      <c r="B22" s="67">
        <f>B21+1</f>
        <v>58</v>
      </c>
      <c r="C22" s="67">
        <f>IF(B22&gt;='Question d'!$C$13,1,0)</f>
        <v>0</v>
      </c>
      <c r="D22" s="85">
        <f>Mortality!D44</f>
        <v>2.8700000000000002E-3</v>
      </c>
      <c r="E22" s="48">
        <f>IF(C22=0,Termination!C44,0)</f>
        <v>2.5000000000000001E-2</v>
      </c>
      <c r="F22" s="48">
        <f>F21*(1-D21)^0.5*(1-E21)^0.5*(1-D22)^0.5*(1-E22)^0.5</f>
        <v>0.61083903140370999</v>
      </c>
      <c r="G22" s="48">
        <v>0</v>
      </c>
      <c r="H22" s="48">
        <f>H21</f>
        <v>0.05</v>
      </c>
      <c r="I22" s="48">
        <f>'Question c'!$C$7</f>
        <v>2.5000000000000001E-2</v>
      </c>
      <c r="J22" s="57">
        <f>J21*(1+H22)*(1+I22)</f>
        <v>1833.8212195462529</v>
      </c>
      <c r="K22" s="57">
        <f>F22*G22*J22</f>
        <v>0</v>
      </c>
      <c r="L22" s="66">
        <f>1/((1+'Question d'!$C$15)^(A22-0.5))</f>
        <v>0.55198856244587713</v>
      </c>
      <c r="M22" s="57">
        <f>K22*L22</f>
        <v>0</v>
      </c>
    </row>
    <row r="23" spans="1:13" x14ac:dyDescent="0.25">
      <c r="A23" s="96">
        <f>A22+1</f>
        <v>15</v>
      </c>
      <c r="B23" s="67">
        <f>B22+1</f>
        <v>59</v>
      </c>
      <c r="C23" s="67">
        <f>IF(B23&gt;='Question d'!$C$13,1,0)</f>
        <v>0</v>
      </c>
      <c r="D23" s="85">
        <f>Mortality!D45</f>
        <v>3.1800000000000001E-3</v>
      </c>
      <c r="E23" s="48">
        <f>IF(C23=0,Termination!C45,0)</f>
        <v>2.5000000000000001E-2</v>
      </c>
      <c r="F23" s="48">
        <f>F22*(1-D22)^0.5*(1-E22)^0.5*(1-D23)^0.5*(1-E23)^0.5</f>
        <v>0.59376645507440229</v>
      </c>
      <c r="G23" s="48">
        <v>0</v>
      </c>
      <c r="H23" s="48">
        <f>H22</f>
        <v>0.05</v>
      </c>
      <c r="I23" s="48">
        <f>'Question c'!$C$7</f>
        <v>2.5000000000000001E-2</v>
      </c>
      <c r="J23" s="57">
        <f>J22*(1+H23)*(1+I23)</f>
        <v>1973.6500875366546</v>
      </c>
      <c r="K23" s="57">
        <f>F23*G23*J23</f>
        <v>0</v>
      </c>
      <c r="L23" s="66">
        <f>1/((1+'Question d'!$C$15)^(A23-0.5))</f>
        <v>0.52821872004390158</v>
      </c>
      <c r="M23" s="57">
        <f>K23*L23</f>
        <v>0</v>
      </c>
    </row>
    <row r="24" spans="1:13" x14ac:dyDescent="0.25">
      <c r="A24" s="96">
        <f>A23+1</f>
        <v>16</v>
      </c>
      <c r="B24" s="67">
        <f>B23+1</f>
        <v>60</v>
      </c>
      <c r="C24" s="67">
        <f>IF(B24&gt;='Question d'!$C$13,1,0)</f>
        <v>0</v>
      </c>
      <c r="D24" s="85">
        <f>Mortality!D46</f>
        <v>3.5000000000000001E-3</v>
      </c>
      <c r="E24" s="48">
        <f>IF(C24=0,Termination!C46,0)</f>
        <v>0.02</v>
      </c>
      <c r="F24" s="48">
        <f>F23*(1-D23)^0.5*(1-E23)^0.5*(1-D24)^0.5*(1-E24)^0.5</f>
        <v>0.57846625207694091</v>
      </c>
      <c r="G24" s="48">
        <v>0</v>
      </c>
      <c r="H24" s="48">
        <f>H23</f>
        <v>0.05</v>
      </c>
      <c r="I24" s="48">
        <f>'Question c'!$C$7</f>
        <v>2.5000000000000001E-2</v>
      </c>
      <c r="J24" s="57">
        <f>J23*(1+H24)*(1+I24)</f>
        <v>2124.1409067113241</v>
      </c>
      <c r="K24" s="57">
        <f>F24*G24*J24</f>
        <v>0</v>
      </c>
      <c r="L24" s="66">
        <f>1/((1+'Question d'!$C$15)^(A24-0.5))</f>
        <v>0.50547245937215468</v>
      </c>
      <c r="M24" s="57">
        <f>K24*L24</f>
        <v>0</v>
      </c>
    </row>
    <row r="25" spans="1:13" x14ac:dyDescent="0.25">
      <c r="A25" s="96">
        <f>A24+1</f>
        <v>17</v>
      </c>
      <c r="B25" s="67">
        <f>B24+1</f>
        <v>61</v>
      </c>
      <c r="C25" s="67">
        <f>IF(B25&gt;='Question d'!$C$13,1,0)</f>
        <v>0</v>
      </c>
      <c r="D25" s="85">
        <f>Mortality!D47</f>
        <v>3.8400000000000001E-3</v>
      </c>
      <c r="E25" s="48">
        <f>IF(C25=0,Termination!C47,0)</f>
        <v>0.02</v>
      </c>
      <c r="F25" s="48">
        <f>F24*(1-D24)^0.5*(1-E24)^0.5*(1-D25)^0.5*(1-E25)^0.5</f>
        <v>0.56481640709134739</v>
      </c>
      <c r="G25" s="48">
        <v>0</v>
      </c>
      <c r="H25" s="48">
        <f>H24</f>
        <v>0.05</v>
      </c>
      <c r="I25" s="48">
        <f>'Question c'!$C$7</f>
        <v>2.5000000000000001E-2</v>
      </c>
      <c r="J25" s="57">
        <f>J24*(1+H25)*(1+I25)</f>
        <v>2286.1066508480626</v>
      </c>
      <c r="K25" s="57">
        <f>F25*G25*J25</f>
        <v>0</v>
      </c>
      <c r="L25" s="66">
        <f>1/((1+'Question d'!$C$15)^(A25-0.5))</f>
        <v>0.48370570274847341</v>
      </c>
      <c r="M25" s="57">
        <f>K25*L25</f>
        <v>0</v>
      </c>
    </row>
    <row r="26" spans="1:13" x14ac:dyDescent="0.25">
      <c r="A26" s="96">
        <f>A25+1</f>
        <v>18</v>
      </c>
      <c r="B26" s="67">
        <f>B25+1</f>
        <v>62</v>
      </c>
      <c r="C26" s="67">
        <f>IF(B26&gt;='Question d'!$C$13,1,0)</f>
        <v>0</v>
      </c>
      <c r="D26" s="85">
        <f>Mortality!D48</f>
        <v>4.2100000000000002E-3</v>
      </c>
      <c r="E26" s="48">
        <f>IF(C26=0,Termination!C48,0)</f>
        <v>0.02</v>
      </c>
      <c r="F26" s="48">
        <f>F25*(1-D25)^0.5*(1-E25)^0.5*(1-D26)^0.5*(1-E26)^0.5</f>
        <v>0.55129215112135688</v>
      </c>
      <c r="G26" s="48">
        <v>0</v>
      </c>
      <c r="H26" s="48">
        <f>H25</f>
        <v>0.05</v>
      </c>
      <c r="I26" s="48">
        <f>'Question c'!$C$7</f>
        <v>2.5000000000000001E-2</v>
      </c>
      <c r="J26" s="57">
        <f>J25*(1+H26)*(1+I26)</f>
        <v>2460.4222829752275</v>
      </c>
      <c r="K26" s="57">
        <f>F26*G26*J26</f>
        <v>0</v>
      </c>
      <c r="L26" s="66">
        <f>1/((1+'Question d'!$C$15)^(A26-0.5))</f>
        <v>0.46287627057270186</v>
      </c>
      <c r="M26" s="57">
        <f>K26*L26</f>
        <v>0</v>
      </c>
    </row>
    <row r="27" spans="1:13" x14ac:dyDescent="0.25">
      <c r="A27" s="96">
        <f>A26+1</f>
        <v>19</v>
      </c>
      <c r="B27" s="67">
        <f>B26+1</f>
        <v>63</v>
      </c>
      <c r="C27" s="67">
        <f>IF(B27&gt;='Question d'!$C$13,1,0)</f>
        <v>0</v>
      </c>
      <c r="D27" s="85">
        <f>Mortality!D49</f>
        <v>4.64E-3</v>
      </c>
      <c r="E27" s="48">
        <f>IF(C27=0,Termination!C49,0)</f>
        <v>0.02</v>
      </c>
      <c r="F27" s="48">
        <f>F26*(1-D26)^0.5*(1-E26)^0.5*(1-D27)^0.5*(1-E27)^0.5</f>
        <v>0.53787561714318666</v>
      </c>
      <c r="G27" s="48">
        <v>0</v>
      </c>
      <c r="H27" s="48">
        <f>H26</f>
        <v>0.05</v>
      </c>
      <c r="I27" s="48">
        <f>'Question c'!$C$7</f>
        <v>2.5000000000000001E-2</v>
      </c>
      <c r="J27" s="57">
        <f>J26*(1+H27)*(1+I27)</f>
        <v>2648.0294820520885</v>
      </c>
      <c r="K27" s="57">
        <f>F27*G27*J27</f>
        <v>0</v>
      </c>
      <c r="L27" s="66">
        <f>1/((1+'Question d'!$C$15)^(A27-0.5))</f>
        <v>0.44294379959110225</v>
      </c>
      <c r="M27" s="57">
        <f>K27*L27</f>
        <v>0</v>
      </c>
    </row>
    <row r="28" spans="1:13" x14ac:dyDescent="0.25">
      <c r="A28" s="96">
        <f>A27+1</f>
        <v>20</v>
      </c>
      <c r="B28" s="67">
        <f>B27+1</f>
        <v>64</v>
      </c>
      <c r="C28" s="67">
        <f>IF(B28&gt;='Question d'!$C$13,1,0)</f>
        <v>0</v>
      </c>
      <c r="D28" s="85">
        <f>Mortality!D50</f>
        <v>5.11E-3</v>
      </c>
      <c r="E28" s="48">
        <f>IF(C28=0,Termination!C50,0)</f>
        <v>0.02</v>
      </c>
      <c r="F28" s="48">
        <f>F27*(1-D27)^0.5*(1-E27)^0.5*(1-D28)^0.5*(1-E28)^0.5</f>
        <v>0.52454838941306914</v>
      </c>
      <c r="G28" s="48">
        <v>0</v>
      </c>
      <c r="H28" s="48">
        <f>H27</f>
        <v>0.05</v>
      </c>
      <c r="I28" s="48">
        <f>'Question c'!$C$7</f>
        <v>2.5000000000000001E-2</v>
      </c>
      <c r="J28" s="57">
        <f>J27*(1+H28)*(1+I28)</f>
        <v>2849.9417300585601</v>
      </c>
      <c r="K28" s="57">
        <f>F28*G28*J28</f>
        <v>0</v>
      </c>
      <c r="L28" s="66">
        <f>1/((1+'Question d'!$C$15)^(A28-0.5))</f>
        <v>0.42386966468048071</v>
      </c>
      <c r="M28" s="57">
        <f>K28*L28</f>
        <v>0</v>
      </c>
    </row>
    <row r="29" spans="1:13" x14ac:dyDescent="0.25">
      <c r="A29" s="96">
        <f>A28+1</f>
        <v>21</v>
      </c>
      <c r="B29" s="67">
        <f>B28+1</f>
        <v>65</v>
      </c>
      <c r="C29" s="67">
        <f>IF(B29&gt;='Question d'!$C$13,1,0)</f>
        <v>1</v>
      </c>
      <c r="D29" s="85">
        <f>Mortality!D51</f>
        <v>5.62E-3</v>
      </c>
      <c r="E29" s="48">
        <f>IF(C29=0,Termination!C51,0)</f>
        <v>0</v>
      </c>
      <c r="F29" s="48">
        <f>F28*(1-D28)^0.5*(1-E28)^0.5*(1-D29)^0.5*(1-E29)^0.5</f>
        <v>0.51649047757314404</v>
      </c>
      <c r="G29" s="48">
        <v>1</v>
      </c>
      <c r="H29" s="48">
        <f>H28</f>
        <v>0.05</v>
      </c>
      <c r="I29" s="48">
        <f>'Question c'!$C$7</f>
        <v>2.5000000000000001E-2</v>
      </c>
      <c r="J29" s="57">
        <f>J28*(1+H29)*(1+I29)</f>
        <v>3067.2497869755252</v>
      </c>
      <c r="K29" s="57">
        <f>F29*G29*J29</f>
        <v>1584.2053073111133</v>
      </c>
      <c r="L29" s="66">
        <f>1/((1+'Question d'!$C$15)^(A29-0.5))</f>
        <v>0.40561690400046008</v>
      </c>
      <c r="M29" s="57">
        <f>K29*L29</f>
        <v>642.58045205263124</v>
      </c>
    </row>
    <row r="30" spans="1:13" x14ac:dyDescent="0.25">
      <c r="A30" s="96">
        <f>A29+1</f>
        <v>22</v>
      </c>
      <c r="B30" s="67">
        <f>B29+1</f>
        <v>66</v>
      </c>
      <c r="C30" s="67">
        <f>IF(B30&gt;='Question d'!$C$13,1,0)</f>
        <v>1</v>
      </c>
      <c r="D30" s="85">
        <f>Mortality!D52</f>
        <v>6.1999999999999998E-3</v>
      </c>
      <c r="E30" s="48">
        <f>IF(C30=0,Termination!C52,0)</f>
        <v>0</v>
      </c>
      <c r="F30" s="48">
        <f>F29*(1-D29)^0.5*(1-E29)^0.5*(1-D30)^0.5*(1-E30)^0.5</f>
        <v>0.51343799700314274</v>
      </c>
      <c r="G30" s="48">
        <v>1</v>
      </c>
      <c r="H30" s="48">
        <f>H29</f>
        <v>0.05</v>
      </c>
      <c r="I30" s="48">
        <f>'Question c'!$C$7</f>
        <v>2.5000000000000001E-2</v>
      </c>
      <c r="J30" s="57">
        <f>J29*(1+H30)*(1+I30)</f>
        <v>3301.1275832324086</v>
      </c>
      <c r="K30" s="57">
        <f>F30*G30*J30</f>
        <v>1694.9243341866731</v>
      </c>
      <c r="L30" s="66">
        <f>1/((1+'Question d'!$C$15)^(A30-0.5))</f>
        <v>0.38815014736886128</v>
      </c>
      <c r="M30" s="57">
        <f>K30*L30</f>
        <v>657.88513009362623</v>
      </c>
    </row>
    <row r="31" spans="1:13" x14ac:dyDescent="0.25">
      <c r="A31" s="96">
        <f>A30+1</f>
        <v>23</v>
      </c>
      <c r="B31" s="67">
        <f>B30+1</f>
        <v>67</v>
      </c>
      <c r="C31" s="67">
        <f>IF(B31&gt;='Question d'!$C$13,1,0)</f>
        <v>1</v>
      </c>
      <c r="D31" s="85">
        <f>Mortality!D53</f>
        <v>6.8599999999999998E-3</v>
      </c>
      <c r="E31" s="48">
        <f>IF(C31=0,Termination!C53,0)</f>
        <v>0</v>
      </c>
      <c r="F31" s="48">
        <f>F30*(1-D30)^0.5*(1-E30)^0.5*(1-D31)^0.5*(1-E31)^0.5</f>
        <v>0.51008521874225532</v>
      </c>
      <c r="G31" s="48">
        <v>1</v>
      </c>
      <c r="H31" s="48">
        <f>H30</f>
        <v>0.05</v>
      </c>
      <c r="I31" s="48">
        <f>'Question c'!$C$7</f>
        <v>2.5000000000000001E-2</v>
      </c>
      <c r="J31" s="57">
        <f>J30*(1+H31)*(1+I31)</f>
        <v>3552.8385614538797</v>
      </c>
      <c r="K31" s="57">
        <f>F31*G31*J31</f>
        <v>1812.2504347751219</v>
      </c>
      <c r="L31" s="66">
        <f>1/((1+'Question d'!$C$15)^(A31-0.5))</f>
        <v>0.37143554772139836</v>
      </c>
      <c r="M31" s="57">
        <f>K31*L31</f>
        <v>673.13423284903968</v>
      </c>
    </row>
    <row r="32" spans="1:13" x14ac:dyDescent="0.25">
      <c r="A32" s="96">
        <f>A31+1</f>
        <v>24</v>
      </c>
      <c r="B32" s="67">
        <f>B31+1</f>
        <v>68</v>
      </c>
      <c r="C32" s="67">
        <f>IF(B32&gt;='Question d'!$C$13,1,0)</f>
        <v>1</v>
      </c>
      <c r="D32" s="85">
        <f>Mortality!D54</f>
        <v>7.6099999999999996E-3</v>
      </c>
      <c r="E32" s="48">
        <f>IF(C32=0,Termination!C54,0)</f>
        <v>0</v>
      </c>
      <c r="F32" s="48">
        <f>F31*(1-D31)^0.5*(1-E31)^0.5*(1-D32)^0.5*(1-E32)^0.5</f>
        <v>0.50639471605790987</v>
      </c>
      <c r="G32" s="48">
        <v>1</v>
      </c>
      <c r="H32" s="48">
        <f>H31</f>
        <v>0.05</v>
      </c>
      <c r="I32" s="48">
        <f>'Question c'!$C$7</f>
        <v>2.5000000000000001E-2</v>
      </c>
      <c r="J32" s="57">
        <f>J31*(1+H32)*(1+I32)</f>
        <v>3823.7425017647379</v>
      </c>
      <c r="K32" s="57">
        <f>F32*G32*J32</f>
        <v>1936.3229984597162</v>
      </c>
      <c r="L32" s="66">
        <f>1/((1+'Question d'!$C$15)^(A32-0.5))</f>
        <v>0.35544071552286927</v>
      </c>
      <c r="M32" s="57">
        <f>K32*L32</f>
        <v>688.24803205590922</v>
      </c>
    </row>
    <row r="33" spans="1:13" x14ac:dyDescent="0.25">
      <c r="A33" s="96">
        <f>A32+1</f>
        <v>25</v>
      </c>
      <c r="B33" s="67">
        <f>B32+1</f>
        <v>69</v>
      </c>
      <c r="C33" s="67">
        <f>IF(B33&gt;='Question d'!$C$13,1,0)</f>
        <v>1</v>
      </c>
      <c r="D33" s="85">
        <f>Mortality!D55</f>
        <v>8.4399999999999996E-3</v>
      </c>
      <c r="E33" s="48">
        <f>IF(C33=0,Termination!C55,0)</f>
        <v>0</v>
      </c>
      <c r="F33" s="48">
        <f>F32*(1-D32)^0.5*(1-E32)^0.5*(1-D33)^0.5*(1-E33)^0.5</f>
        <v>0.50233085450185166</v>
      </c>
      <c r="G33" s="48">
        <v>1</v>
      </c>
      <c r="H33" s="48">
        <f>H32</f>
        <v>0.05</v>
      </c>
      <c r="I33" s="48">
        <f>'Question c'!$C$7</f>
        <v>2.5000000000000001E-2</v>
      </c>
      <c r="J33" s="57">
        <f>J32*(1+H33)*(1+I33)</f>
        <v>4115.3028675242995</v>
      </c>
      <c r="K33" s="57">
        <f>F33*G33*J33</f>
        <v>2067.2436059774018</v>
      </c>
      <c r="L33" s="66">
        <f>1/((1+'Question d'!$C$15)^(A33-0.5))</f>
        <v>0.34013465600274578</v>
      </c>
      <c r="M33" s="57">
        <f>K33*L33</f>
        <v>703.14119279299928</v>
      </c>
    </row>
    <row r="34" spans="1:13" x14ac:dyDescent="0.25">
      <c r="A34" s="96">
        <f>A33+1</f>
        <v>26</v>
      </c>
      <c r="B34" s="67">
        <f>B33+1</f>
        <v>70</v>
      </c>
      <c r="C34" s="67">
        <f>IF(B34&gt;='Question d'!$C$13,1,0)</f>
        <v>1</v>
      </c>
      <c r="D34" s="85">
        <f>Mortality!D56</f>
        <v>9.3399999999999993E-3</v>
      </c>
      <c r="E34" s="48">
        <f>IF(C34=0,Termination!C56,0)</f>
        <v>0</v>
      </c>
      <c r="F34" s="48">
        <f>F33*(1-D33)^0.5*(1-E33)^0.5*(1-D34)^0.5*(1-E34)^0.5</f>
        <v>0.49786508188811851</v>
      </c>
      <c r="G34" s="48">
        <v>1</v>
      </c>
      <c r="H34" s="48">
        <f>H33</f>
        <v>0.05</v>
      </c>
      <c r="I34" s="48">
        <f>'Question c'!$C$7</f>
        <v>2.5000000000000001E-2</v>
      </c>
      <c r="J34" s="57">
        <f>J33*(1+H34)*(1+I34)</f>
        <v>4429.0947111730266</v>
      </c>
      <c r="K34" s="57">
        <f>F34*G34*J34</f>
        <v>2205.0916010683914</v>
      </c>
      <c r="L34" s="66">
        <f>1/((1+'Question d'!$C$15)^(A34-0.5))</f>
        <v>0.32548770909353658</v>
      </c>
      <c r="M34" s="57">
        <f>K34*L34</f>
        <v>717.7302135731494</v>
      </c>
    </row>
    <row r="35" spans="1:13" x14ac:dyDescent="0.25">
      <c r="A35" s="96">
        <f>A34+1</f>
        <v>27</v>
      </c>
      <c r="B35" s="67">
        <f>B34+1</f>
        <v>71</v>
      </c>
      <c r="C35" s="67">
        <f>IF(B35&gt;='Question d'!$C$13,1,0)</f>
        <v>1</v>
      </c>
      <c r="D35" s="85">
        <f>Mortality!D57</f>
        <v>1.031E-2</v>
      </c>
      <c r="E35" s="48">
        <f>IF(C35=0,Termination!C57,0)</f>
        <v>0</v>
      </c>
      <c r="F35" s="48">
        <f>F34*(1-D34)^0.5*(1-E34)^0.5*(1-D35)^0.5*(1-E35)^0.5</f>
        <v>0.4929734983223944</v>
      </c>
      <c r="G35" s="48">
        <v>1</v>
      </c>
      <c r="H35" s="48">
        <f>H34</f>
        <v>0.05</v>
      </c>
      <c r="I35" s="48">
        <f>'Question c'!$C$7</f>
        <v>2.5000000000000001E-2</v>
      </c>
      <c r="J35" s="57">
        <f>J34*(1+H35)*(1+I35)</f>
        <v>4766.8131828999703</v>
      </c>
      <c r="K35" s="57">
        <f>F35*G35*J35</f>
        <v>2349.9125706235059</v>
      </c>
      <c r="L35" s="66">
        <f>1/((1+'Question d'!$C$15)^(A35-0.5))</f>
        <v>0.31147149195553747</v>
      </c>
      <c r="M35" s="57">
        <f>K35*L35</f>
        <v>731.93077433717565</v>
      </c>
    </row>
    <row r="36" spans="1:13" x14ac:dyDescent="0.25">
      <c r="A36" s="96">
        <f>A35+1</f>
        <v>28</v>
      </c>
      <c r="B36" s="67">
        <f>B35+1</f>
        <v>72</v>
      </c>
      <c r="C36" s="67">
        <f>IF(B36&gt;='Question d'!$C$13,1,0)</f>
        <v>1</v>
      </c>
      <c r="D36" s="85">
        <f>Mortality!D58</f>
        <v>1.1339999999999999E-2</v>
      </c>
      <c r="E36" s="48">
        <f>IF(C36=0,Termination!C58,0)</f>
        <v>0</v>
      </c>
      <c r="F36" s="48">
        <f>F35*(1-D35)^0.5*(1-E35)^0.5*(1-D36)^0.5*(1-E36)^0.5</f>
        <v>0.48763699411317907</v>
      </c>
      <c r="G36" s="48">
        <v>1</v>
      </c>
      <c r="H36" s="48">
        <f>H35</f>
        <v>0.05</v>
      </c>
      <c r="I36" s="48">
        <f>'Question c'!$C$7</f>
        <v>2.5000000000000001E-2</v>
      </c>
      <c r="J36" s="57">
        <f>J35*(1+H36)*(1+I36)</f>
        <v>5130.2826880960929</v>
      </c>
      <c r="K36" s="57">
        <f>F36*G36*J36</f>
        <v>2501.7156289740587</v>
      </c>
      <c r="L36" s="66">
        <f>1/((1+'Question d'!$C$15)^(A36-0.5))</f>
        <v>0.29805884397659094</v>
      </c>
      <c r="M36" s="57">
        <f>K36*L36</f>
        <v>745.65846833017804</v>
      </c>
    </row>
    <row r="37" spans="1:13" x14ac:dyDescent="0.25">
      <c r="A37" s="96">
        <f>A36+1</f>
        <v>29</v>
      </c>
      <c r="B37" s="67">
        <f>B36+1</f>
        <v>73</v>
      </c>
      <c r="C37" s="67">
        <f>IF(B37&gt;='Question d'!$C$13,1,0)</f>
        <v>1</v>
      </c>
      <c r="D37" s="85">
        <f>Mortality!D59</f>
        <v>1.244E-2</v>
      </c>
      <c r="E37" s="48">
        <f>IF(C37=0,Termination!C59,0)</f>
        <v>0</v>
      </c>
      <c r="F37" s="48">
        <f>F36*(1-D36)^0.5*(1-E36)^0.5*(1-D37)^0.5*(1-E37)^0.5</f>
        <v>0.48183891561057174</v>
      </c>
      <c r="G37" s="48">
        <v>1</v>
      </c>
      <c r="H37" s="48">
        <f>H36</f>
        <v>0.05</v>
      </c>
      <c r="I37" s="48">
        <f>'Question c'!$C$7</f>
        <v>2.5000000000000001E-2</v>
      </c>
      <c r="J37" s="57">
        <f>J36*(1+H37)*(1+I37)</f>
        <v>5521.4667430634199</v>
      </c>
      <c r="K37" s="57">
        <f>F37*G37*J37</f>
        <v>2660.4575480575136</v>
      </c>
      <c r="L37" s="66">
        <f>1/((1+'Question d'!$C$15)^(A37-0.5))</f>
        <v>0.28522377414027839</v>
      </c>
      <c r="M37" s="57">
        <f>K37*L37</f>
        <v>758.82574279695507</v>
      </c>
    </row>
    <row r="38" spans="1:13" x14ac:dyDescent="0.25">
      <c r="A38" s="96">
        <f>A37+1</f>
        <v>30</v>
      </c>
      <c r="B38" s="67">
        <f>B37+1</f>
        <v>74</v>
      </c>
      <c r="C38" s="67">
        <f>IF(B38&gt;='Question d'!$C$13,1,0)</f>
        <v>1</v>
      </c>
      <c r="D38" s="85">
        <f>Mortality!D60</f>
        <v>1.366E-2</v>
      </c>
      <c r="E38" s="48">
        <f>IF(C38=0,Termination!C60,0)</f>
        <v>0</v>
      </c>
      <c r="F38" s="48">
        <f>F37*(1-D37)^0.5*(1-E37)^0.5*(1-D38)^0.5*(1-E38)^0.5</f>
        <v>0.47555082693036399</v>
      </c>
      <c r="G38" s="48">
        <v>1</v>
      </c>
      <c r="H38" s="48">
        <f>H37</f>
        <v>0.05</v>
      </c>
      <c r="I38" s="48">
        <f>'Question c'!$C$7</f>
        <v>2.5000000000000001E-2</v>
      </c>
      <c r="J38" s="57">
        <f>J37*(1+H38)*(1+I38)</f>
        <v>5942.4785822220056</v>
      </c>
      <c r="K38" s="57">
        <f>F38*G38*J38</f>
        <v>2825.9506037916517</v>
      </c>
      <c r="L38" s="66">
        <f>1/((1+'Question d'!$C$15)^(A38-0.5))</f>
        <v>0.2729414106605535</v>
      </c>
      <c r="M38" s="57">
        <f>K38*L38</f>
        <v>771.31894425593634</v>
      </c>
    </row>
    <row r="39" spans="1:13" x14ac:dyDescent="0.25">
      <c r="A39" s="96">
        <f>A38+1</f>
        <v>31</v>
      </c>
      <c r="B39" s="67">
        <f>B38+1</f>
        <v>75</v>
      </c>
      <c r="C39" s="67">
        <f>IF(B39&gt;='Question d'!$C$13,1,0)</f>
        <v>1</v>
      </c>
      <c r="D39" s="85">
        <f>Mortality!D61</f>
        <v>1.502E-2</v>
      </c>
      <c r="E39" s="48">
        <f>IF(C39=0,Termination!C61,0)</f>
        <v>0</v>
      </c>
      <c r="F39" s="48">
        <f>F38*(1-D38)^0.5*(1-E38)^0.5*(1-D39)^0.5*(1-E39)^0.5</f>
        <v>0.46873131652523503</v>
      </c>
      <c r="G39" s="48">
        <v>1</v>
      </c>
      <c r="H39" s="48">
        <f>H38</f>
        <v>0.05</v>
      </c>
      <c r="I39" s="48">
        <f>'Question c'!$C$7</f>
        <v>2.5000000000000001E-2</v>
      </c>
      <c r="J39" s="57">
        <f>J38*(1+H39)*(1+I39)</f>
        <v>6395.5925741164328</v>
      </c>
      <c r="K39" s="57">
        <f>F39*G39*J39</f>
        <v>2997.8145272246124</v>
      </c>
      <c r="L39" s="66">
        <f>1/((1+'Question d'!$C$15)^(A39-0.5))</f>
        <v>0.26118795278521872</v>
      </c>
      <c r="M39" s="57">
        <f>K39*L39</f>
        <v>782.99303919558486</v>
      </c>
    </row>
    <row r="40" spans="1:13" x14ac:dyDescent="0.25">
      <c r="A40" s="96">
        <f>A39+1</f>
        <v>32</v>
      </c>
      <c r="B40" s="67">
        <f>B39+1</f>
        <v>76</v>
      </c>
      <c r="C40" s="67">
        <f>IF(B40&gt;='Question d'!$C$13,1,0)</f>
        <v>1</v>
      </c>
      <c r="D40" s="85">
        <f>Mortality!D62</f>
        <v>1.6559999999999998E-2</v>
      </c>
      <c r="E40" s="48">
        <f>IF(C40=0,Termination!C62,0)</f>
        <v>0</v>
      </c>
      <c r="F40" s="48">
        <f>F39*(1-D39)^0.5*(1-E39)^0.5*(1-D40)^0.5*(1-E40)^0.5</f>
        <v>0.46132990785257466</v>
      </c>
      <c r="G40" s="48">
        <v>1</v>
      </c>
      <c r="H40" s="48">
        <f>H39</f>
        <v>0.05</v>
      </c>
      <c r="I40" s="48">
        <f>'Question c'!$C$7</f>
        <v>2.5000000000000001E-2</v>
      </c>
      <c r="J40" s="57">
        <f>J39*(1+H40)*(1+I40)</f>
        <v>6883.2565078928101</v>
      </c>
      <c r="K40" s="57">
        <f>F40*G40*J40</f>
        <v>3175.4520905118247</v>
      </c>
      <c r="L40" s="66">
        <f>1/((1+'Question d'!$C$15)^(A40-0.5))</f>
        <v>0.24994062467485043</v>
      </c>
      <c r="M40" s="57">
        <f>K40*L40</f>
        <v>793.67447912758519</v>
      </c>
    </row>
    <row r="41" spans="1:13" x14ac:dyDescent="0.25">
      <c r="A41" s="96">
        <f>A40+1</f>
        <v>33</v>
      </c>
      <c r="B41" s="67">
        <f>B40+1</f>
        <v>77</v>
      </c>
      <c r="C41" s="67">
        <f>IF(B41&gt;='Question d'!$C$13,1,0)</f>
        <v>1</v>
      </c>
      <c r="D41" s="85">
        <f>Mortality!D63</f>
        <v>1.8339999999999999E-2</v>
      </c>
      <c r="E41" s="48">
        <f>IF(C41=0,Termination!C63,0)</f>
        <v>0</v>
      </c>
      <c r="F41" s="48">
        <f>F40*(1-D40)^0.5*(1-E40)^0.5*(1-D41)^0.5*(1-E41)^0.5</f>
        <v>0.45327951500589098</v>
      </c>
      <c r="G41" s="48">
        <v>1</v>
      </c>
      <c r="H41" s="48">
        <f>H40</f>
        <v>0.05</v>
      </c>
      <c r="I41" s="48">
        <f>'Question c'!$C$7</f>
        <v>2.5000000000000001E-2</v>
      </c>
      <c r="J41" s="57">
        <f>J40*(1+H41)*(1+I41)</f>
        <v>7408.1048166196369</v>
      </c>
      <c r="K41" s="57">
        <f>F41*G41*J41</f>
        <v>3357.942158390154</v>
      </c>
      <c r="L41" s="66">
        <f>1/((1+'Question d'!$C$15)^(A41-0.5))</f>
        <v>0.23917763126779951</v>
      </c>
      <c r="M41" s="57">
        <f>K41*L41</f>
        <v>803.14465137803904</v>
      </c>
    </row>
    <row r="42" spans="1:13" x14ac:dyDescent="0.25">
      <c r="A42" s="96">
        <f>A41+1</f>
        <v>34</v>
      </c>
      <c r="B42" s="67">
        <f>B41+1</f>
        <v>78</v>
      </c>
      <c r="C42" s="67">
        <f>IF(B42&gt;='Question d'!$C$13,1,0)</f>
        <v>1</v>
      </c>
      <c r="D42" s="85">
        <f>Mortality!D64</f>
        <v>2.0410000000000001E-2</v>
      </c>
      <c r="E42" s="48">
        <f>IF(C42=0,Termination!C64,0)</f>
        <v>0</v>
      </c>
      <c r="F42" s="48">
        <f>F41*(1-D41)^0.5*(1-E41)^0.5*(1-D42)^0.5*(1-E42)^0.5</f>
        <v>0.4444969768235652</v>
      </c>
      <c r="G42" s="48">
        <v>1</v>
      </c>
      <c r="H42" s="48">
        <f>H41</f>
        <v>0.05</v>
      </c>
      <c r="I42" s="48">
        <f>'Question c'!$C$7</f>
        <v>2.5000000000000001E-2</v>
      </c>
      <c r="J42" s="57">
        <f>J41*(1+H42)*(1+I42)</f>
        <v>7972.9728088868842</v>
      </c>
      <c r="K42" s="57">
        <f>F42*G42*J42</f>
        <v>3543.9623098467091</v>
      </c>
      <c r="L42" s="66">
        <f>1/((1+'Question d'!$C$15)^(A42-0.5))</f>
        <v>0.2288781160457411</v>
      </c>
      <c r="M42" s="57">
        <f>K42*L42</f>
        <v>811.13541681482775</v>
      </c>
    </row>
    <row r="43" spans="1:13" x14ac:dyDescent="0.25">
      <c r="A43" s="96">
        <f>A42+1</f>
        <v>35</v>
      </c>
      <c r="B43" s="67">
        <f>B42+1</f>
        <v>79</v>
      </c>
      <c r="C43" s="67">
        <f>IF(B43&gt;='Question d'!$C$13,1,0)</f>
        <v>1</v>
      </c>
      <c r="D43" s="85">
        <f>Mortality!D65</f>
        <v>2.2839999999999999E-2</v>
      </c>
      <c r="E43" s="48">
        <f>IF(C43=0,Termination!C65,0)</f>
        <v>0</v>
      </c>
      <c r="F43" s="48">
        <f>F42*(1-D42)^0.5*(1-E42)^0.5*(1-D43)^0.5*(1-E43)^0.5</f>
        <v>0.43488439435911291</v>
      </c>
      <c r="G43" s="48">
        <v>1</v>
      </c>
      <c r="H43" s="48">
        <f>H42</f>
        <v>0.05</v>
      </c>
      <c r="I43" s="48">
        <f>'Question c'!$C$7</f>
        <v>2.5000000000000001E-2</v>
      </c>
      <c r="J43" s="57">
        <f>J42*(1+H43)*(1+I43)</f>
        <v>8580.9119855645095</v>
      </c>
      <c r="K43" s="57">
        <f>F43*G43*J43</f>
        <v>3731.7047118910746</v>
      </c>
      <c r="L43" s="66">
        <f>1/((1+'Question d'!$C$15)^(A43-0.5))</f>
        <v>0.21902212061793414</v>
      </c>
      <c r="M43" s="57">
        <f>K43*L43</f>
        <v>817.32587951832011</v>
      </c>
    </row>
    <row r="44" spans="1:13" x14ac:dyDescent="0.25">
      <c r="A44" s="95"/>
      <c r="B44" s="60"/>
      <c r="C44" s="60"/>
      <c r="D44" s="60"/>
      <c r="E44" s="60"/>
      <c r="F44" s="60"/>
      <c r="G44" s="60"/>
      <c r="H44" s="60"/>
      <c r="I44" s="60"/>
      <c r="J44" s="60"/>
      <c r="K44" s="66"/>
      <c r="L44" s="66"/>
      <c r="M44" s="66"/>
    </row>
    <row r="47" spans="1:13" x14ac:dyDescent="0.25">
      <c r="A47" s="65"/>
      <c r="B47" s="52"/>
      <c r="C47" s="52"/>
      <c r="D47" s="52"/>
      <c r="E47" s="52"/>
      <c r="F47" s="52"/>
      <c r="G47" s="52"/>
      <c r="H47" s="52"/>
      <c r="I47" s="52"/>
      <c r="J47" s="52"/>
      <c r="K47" s="93"/>
    </row>
    <row r="48" spans="1:13" x14ac:dyDescent="0.25">
      <c r="A48" s="64"/>
      <c r="K48" s="94"/>
    </row>
    <row r="49" spans="1:11" x14ac:dyDescent="0.25">
      <c r="A49" s="64"/>
      <c r="K49" s="94"/>
    </row>
    <row r="50" spans="1:11" x14ac:dyDescent="0.25">
      <c r="A50" s="64"/>
      <c r="K50" s="94"/>
    </row>
    <row r="51" spans="1:11" x14ac:dyDescent="0.25">
      <c r="A51" s="64"/>
      <c r="K51" s="94"/>
    </row>
    <row r="52" spans="1:11" x14ac:dyDescent="0.25">
      <c r="A52" s="64"/>
      <c r="K52" s="94"/>
    </row>
    <row r="53" spans="1:11" x14ac:dyDescent="0.25">
      <c r="A53" s="64"/>
      <c r="K53" s="94"/>
    </row>
    <row r="54" spans="1:11" x14ac:dyDescent="0.25">
      <c r="A54" s="63"/>
      <c r="K54" s="93"/>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53F4-CB46-43A9-A226-B3BAB33C1C4A}">
  <dimension ref="A1:U86"/>
  <sheetViews>
    <sheetView zoomScaleNormal="100" workbookViewId="0">
      <selection activeCell="B3" sqref="B3"/>
    </sheetView>
  </sheetViews>
  <sheetFormatPr defaultRowHeight="14.4" x14ac:dyDescent="0.3"/>
  <cols>
    <col min="2" max="2" width="20.5546875" bestFit="1" customWidth="1"/>
    <col min="3" max="3" width="22.21875" bestFit="1" customWidth="1"/>
    <col min="4" max="4" width="18.44140625" bestFit="1" customWidth="1"/>
    <col min="5" max="5" width="15.5546875" bestFit="1" customWidth="1"/>
    <col min="6" max="7" width="13.77734375" bestFit="1" customWidth="1"/>
    <col min="8" max="8" width="11" customWidth="1"/>
    <col min="9" max="9" width="13.5546875" bestFit="1" customWidth="1"/>
    <col min="10" max="10" width="22.21875" bestFit="1" customWidth="1"/>
    <col min="11" max="11" width="18.44140625" bestFit="1" customWidth="1"/>
    <col min="12" max="12" width="23.21875" bestFit="1" customWidth="1"/>
    <col min="13" max="13" width="15.5546875" bestFit="1" customWidth="1"/>
    <col min="14" max="14" width="23.21875" bestFit="1" customWidth="1"/>
  </cols>
  <sheetData>
    <row r="1" spans="1:21" ht="23.4" x14ac:dyDescent="0.45">
      <c r="A1" s="152" t="s">
        <v>147</v>
      </c>
      <c r="B1" s="127"/>
      <c r="C1" s="127"/>
      <c r="D1" s="127"/>
      <c r="E1" s="127"/>
      <c r="F1" s="127"/>
      <c r="G1" s="127"/>
      <c r="H1" s="127"/>
      <c r="I1" s="127"/>
      <c r="J1" s="127"/>
      <c r="K1" s="127"/>
      <c r="L1" s="127"/>
      <c r="M1" s="127"/>
      <c r="N1" s="127"/>
      <c r="O1" s="127"/>
      <c r="P1" s="127"/>
      <c r="Q1" s="127"/>
      <c r="R1" s="127"/>
      <c r="S1" s="127"/>
      <c r="T1" s="127"/>
      <c r="U1" s="127"/>
    </row>
    <row r="2" spans="1:21" ht="15.6" x14ac:dyDescent="0.3">
      <c r="A2" s="135" t="s">
        <v>146</v>
      </c>
      <c r="B2" s="2" t="s">
        <v>145</v>
      </c>
      <c r="C2" s="2"/>
      <c r="D2" s="2"/>
      <c r="E2" s="2"/>
      <c r="F2" s="2"/>
      <c r="G2" s="2"/>
      <c r="H2" s="2"/>
      <c r="I2" s="2"/>
      <c r="J2" s="2"/>
      <c r="K2" s="2"/>
      <c r="L2" s="2"/>
      <c r="M2" s="2"/>
      <c r="N2" s="2"/>
      <c r="O2" s="2"/>
      <c r="P2" s="2"/>
      <c r="Q2" s="2"/>
      <c r="R2" s="2"/>
      <c r="S2" s="2"/>
      <c r="T2" s="2"/>
      <c r="U2" s="2"/>
    </row>
    <row r="3" spans="1:21" ht="15.6" x14ac:dyDescent="0.3">
      <c r="A3" s="151"/>
      <c r="B3" s="134"/>
      <c r="C3" s="2"/>
      <c r="D3" s="2"/>
      <c r="E3" s="2"/>
      <c r="F3" s="2"/>
      <c r="G3" s="2"/>
      <c r="H3" s="2"/>
      <c r="I3" s="2"/>
      <c r="J3" s="2"/>
      <c r="K3" s="2"/>
      <c r="L3" s="2"/>
      <c r="M3" s="2"/>
      <c r="N3" s="2"/>
      <c r="O3" s="2"/>
      <c r="P3" s="2"/>
      <c r="Q3" s="2"/>
      <c r="R3" s="2"/>
      <c r="S3" s="2"/>
      <c r="T3" s="2"/>
      <c r="U3" s="2"/>
    </row>
    <row r="4" spans="1:21" ht="31.2" x14ac:dyDescent="0.3">
      <c r="A4" s="2"/>
      <c r="B4" s="148" t="s">
        <v>110</v>
      </c>
      <c r="C4" s="150" t="s">
        <v>144</v>
      </c>
      <c r="D4" s="150" t="s">
        <v>143</v>
      </c>
      <c r="E4" s="150" t="s">
        <v>139</v>
      </c>
      <c r="F4" s="2"/>
      <c r="G4" s="2"/>
      <c r="H4" s="2"/>
      <c r="I4" s="2"/>
      <c r="J4" s="2"/>
      <c r="K4" s="2"/>
      <c r="L4" s="2"/>
      <c r="M4" s="2"/>
      <c r="N4" s="2"/>
      <c r="O4" s="2"/>
      <c r="P4" s="2"/>
      <c r="Q4" s="2"/>
      <c r="R4" s="2"/>
      <c r="S4" s="2"/>
      <c r="T4" s="2"/>
      <c r="U4" s="2"/>
    </row>
    <row r="5" spans="1:21" ht="15.6" x14ac:dyDescent="0.3">
      <c r="A5" s="2"/>
      <c r="B5" s="149" t="s">
        <v>138</v>
      </c>
      <c r="C5" s="147">
        <v>0.111</v>
      </c>
      <c r="D5" s="147">
        <v>0.123</v>
      </c>
      <c r="E5" s="146">
        <v>0.9</v>
      </c>
      <c r="F5" s="145"/>
      <c r="G5" s="2"/>
      <c r="H5" s="2"/>
      <c r="I5" s="2"/>
      <c r="J5" s="2"/>
      <c r="K5" s="2"/>
      <c r="L5" s="2"/>
      <c r="M5" s="2"/>
      <c r="N5" s="2"/>
      <c r="O5" s="2"/>
      <c r="P5" s="2"/>
      <c r="Q5" s="2"/>
      <c r="R5" s="2"/>
      <c r="S5" s="2"/>
      <c r="T5" s="2"/>
      <c r="U5" s="2"/>
    </row>
    <row r="6" spans="1:21" ht="15.6" x14ac:dyDescent="0.3">
      <c r="A6" s="2"/>
      <c r="B6" s="149" t="s">
        <v>137</v>
      </c>
      <c r="C6" s="147">
        <v>6.8000000000000005E-2</v>
      </c>
      <c r="D6" s="147">
        <v>7.2999999999999995E-2</v>
      </c>
      <c r="E6" s="146">
        <v>0.93</v>
      </c>
      <c r="F6" s="145"/>
      <c r="G6" s="2"/>
      <c r="H6" s="2"/>
      <c r="I6" s="2"/>
      <c r="J6" s="2"/>
      <c r="K6" s="2"/>
      <c r="L6" s="2"/>
      <c r="M6" s="2"/>
      <c r="N6" s="2"/>
      <c r="O6" s="2"/>
      <c r="P6" s="2"/>
      <c r="Q6" s="2"/>
      <c r="R6" s="2"/>
      <c r="S6" s="2"/>
      <c r="T6" s="2"/>
      <c r="U6" s="2"/>
    </row>
    <row r="7" spans="1:21" ht="15.6" x14ac:dyDescent="0.3">
      <c r="A7" s="2"/>
      <c r="B7" s="149" t="s">
        <v>136</v>
      </c>
      <c r="C7" s="147">
        <v>0.03</v>
      </c>
      <c r="D7" s="147">
        <v>3.1E-2</v>
      </c>
      <c r="E7" s="146">
        <v>0.97</v>
      </c>
      <c r="F7" s="145"/>
      <c r="G7" s="2"/>
      <c r="H7" s="2"/>
      <c r="I7" s="2"/>
      <c r="J7" s="2"/>
      <c r="K7" s="2"/>
      <c r="L7" s="2"/>
      <c r="M7" s="2"/>
      <c r="N7" s="2"/>
      <c r="O7" s="2"/>
      <c r="P7" s="2"/>
      <c r="Q7" s="2"/>
      <c r="R7" s="2"/>
      <c r="S7" s="2"/>
      <c r="T7" s="2"/>
      <c r="U7" s="2"/>
    </row>
    <row r="8" spans="1:21" ht="15.6" x14ac:dyDescent="0.3">
      <c r="A8" s="2"/>
      <c r="B8" s="148" t="s">
        <v>135</v>
      </c>
      <c r="C8" s="147">
        <v>2.5000000000000001E-2</v>
      </c>
      <c r="D8" s="147">
        <v>2.7E-2</v>
      </c>
      <c r="E8" s="146">
        <v>0.93</v>
      </c>
      <c r="F8" s="145"/>
      <c r="G8" s="2"/>
      <c r="H8" s="2"/>
      <c r="I8" s="2"/>
      <c r="J8" s="2"/>
      <c r="K8" s="2"/>
      <c r="L8" s="2"/>
      <c r="M8" s="2"/>
      <c r="N8" s="2"/>
      <c r="O8" s="2"/>
      <c r="P8" s="2"/>
      <c r="Q8" s="2"/>
      <c r="R8" s="2"/>
      <c r="S8" s="2"/>
      <c r="T8" s="2"/>
      <c r="U8" s="2"/>
    </row>
    <row r="9" spans="1:21" ht="15.6" x14ac:dyDescent="0.3">
      <c r="A9" s="6"/>
      <c r="B9" s="148" t="s">
        <v>134</v>
      </c>
      <c r="C9" s="147">
        <v>2.8000000000000001E-2</v>
      </c>
      <c r="D9" s="147">
        <v>2.4E-2</v>
      </c>
      <c r="E9" s="146">
        <v>1.17</v>
      </c>
      <c r="F9" s="145"/>
      <c r="G9" s="2"/>
      <c r="H9" s="2"/>
      <c r="I9" s="2"/>
      <c r="J9" s="2"/>
      <c r="K9" s="2"/>
      <c r="L9" s="2"/>
      <c r="M9" s="2"/>
      <c r="N9" s="2"/>
      <c r="O9" s="2"/>
      <c r="P9" s="2"/>
      <c r="Q9" s="2"/>
      <c r="R9" s="2"/>
      <c r="S9" s="2"/>
      <c r="T9" s="2"/>
      <c r="U9" s="2"/>
    </row>
    <row r="10" spans="1:21" ht="15.6" x14ac:dyDescent="0.3">
      <c r="A10" s="6"/>
      <c r="B10" s="148" t="s">
        <v>133</v>
      </c>
      <c r="C10" s="147">
        <v>2.1000000000000001E-2</v>
      </c>
      <c r="D10" s="147">
        <v>0.02</v>
      </c>
      <c r="E10" s="146">
        <v>1.05</v>
      </c>
      <c r="F10" s="145"/>
      <c r="G10" s="2"/>
      <c r="H10" s="2"/>
      <c r="I10" s="2"/>
      <c r="J10" s="2"/>
      <c r="K10" s="2"/>
      <c r="L10" s="2"/>
      <c r="M10" s="2"/>
      <c r="N10" s="2"/>
      <c r="O10" s="2"/>
      <c r="P10" s="2"/>
      <c r="Q10" s="2"/>
      <c r="R10" s="2"/>
      <c r="S10" s="2"/>
      <c r="T10" s="2"/>
      <c r="U10" s="2"/>
    </row>
    <row r="11" spans="1:21" ht="15.6" x14ac:dyDescent="0.3">
      <c r="A11" s="6"/>
      <c r="B11" s="148" t="s">
        <v>132</v>
      </c>
      <c r="C11" s="147">
        <v>2.1999999999999999E-2</v>
      </c>
      <c r="D11" s="147">
        <v>1.9E-2</v>
      </c>
      <c r="E11" s="146">
        <v>1.1599999999999999</v>
      </c>
      <c r="F11" s="145"/>
      <c r="G11" s="2"/>
      <c r="H11" s="2"/>
      <c r="I11" s="2"/>
      <c r="J11" s="2"/>
      <c r="K11" s="2"/>
      <c r="L11" s="2"/>
      <c r="M11" s="2"/>
      <c r="N11" s="2"/>
      <c r="O11" s="2"/>
      <c r="P11" s="2"/>
      <c r="Q11" s="2"/>
      <c r="R11" s="2"/>
      <c r="S11" s="2"/>
      <c r="T11" s="2"/>
      <c r="U11" s="2"/>
    </row>
    <row r="12" spans="1:21" ht="15.6" x14ac:dyDescent="0.3">
      <c r="A12" s="6"/>
      <c r="B12" s="148" t="s">
        <v>142</v>
      </c>
      <c r="C12" s="147">
        <v>2.9000000000000001E-2</v>
      </c>
      <c r="D12" s="147">
        <v>0.03</v>
      </c>
      <c r="E12" s="146">
        <v>0.97</v>
      </c>
      <c r="F12" s="145"/>
      <c r="G12" s="2"/>
      <c r="H12" s="2"/>
      <c r="I12" s="2"/>
      <c r="J12" s="2"/>
      <c r="K12" s="2"/>
      <c r="L12" s="2"/>
      <c r="M12" s="2"/>
      <c r="N12" s="2"/>
      <c r="O12" s="2"/>
      <c r="P12" s="2"/>
      <c r="Q12" s="2"/>
      <c r="R12" s="2"/>
      <c r="S12" s="2"/>
      <c r="T12" s="2"/>
      <c r="U12" s="2"/>
    </row>
    <row r="13" spans="1:21" ht="15.6" x14ac:dyDescent="0.3">
      <c r="A13" s="6"/>
      <c r="B13" s="144"/>
      <c r="C13" s="143"/>
      <c r="D13" s="143"/>
      <c r="E13" s="142"/>
      <c r="F13" s="2"/>
      <c r="G13" s="2"/>
      <c r="H13" s="2"/>
      <c r="I13" s="2"/>
      <c r="J13" s="2"/>
      <c r="K13" s="2"/>
      <c r="L13" s="2"/>
      <c r="M13" s="2"/>
      <c r="N13" s="2"/>
      <c r="O13" s="2"/>
      <c r="P13" s="2"/>
      <c r="Q13" s="2"/>
      <c r="R13" s="2"/>
      <c r="S13" s="2"/>
      <c r="T13" s="2"/>
      <c r="U13" s="2"/>
    </row>
    <row r="14" spans="1:21" ht="15.6" x14ac:dyDescent="0.3">
      <c r="A14" s="6" t="s">
        <v>141</v>
      </c>
      <c r="B14" s="6"/>
      <c r="C14" s="143"/>
      <c r="D14" s="143"/>
      <c r="E14" s="142"/>
      <c r="F14" s="2"/>
      <c r="G14" s="2"/>
      <c r="H14" s="2"/>
      <c r="I14" s="2"/>
      <c r="J14" s="2"/>
      <c r="K14" s="2"/>
      <c r="L14" s="2"/>
      <c r="M14" s="2"/>
      <c r="N14" s="2"/>
      <c r="O14" s="2"/>
      <c r="P14" s="2"/>
      <c r="Q14" s="2"/>
      <c r="R14" s="2"/>
      <c r="S14" s="2"/>
      <c r="T14" s="2"/>
      <c r="U14" s="2"/>
    </row>
    <row r="15" spans="1:21" ht="15.6" x14ac:dyDescent="0.3">
      <c r="A15" s="3" t="s">
        <v>117</v>
      </c>
    </row>
    <row r="16" spans="1:21" ht="15.6" x14ac:dyDescent="0.3">
      <c r="F16" s="5"/>
    </row>
    <row r="17" spans="1:21" ht="31.2" x14ac:dyDescent="0.3">
      <c r="B17" s="139" t="s">
        <v>110</v>
      </c>
      <c r="C17" s="141" t="s">
        <v>140</v>
      </c>
      <c r="D17" s="141" t="s">
        <v>139</v>
      </c>
    </row>
    <row r="18" spans="1:21" ht="15.6" x14ac:dyDescent="0.3">
      <c r="B18" s="140" t="s">
        <v>138</v>
      </c>
      <c r="C18" s="138">
        <v>0.114</v>
      </c>
      <c r="D18" s="137">
        <v>1.01</v>
      </c>
      <c r="F18" s="5"/>
    </row>
    <row r="19" spans="1:21" ht="15.6" x14ac:dyDescent="0.3">
      <c r="B19" s="140" t="s">
        <v>137</v>
      </c>
      <c r="C19" s="138">
        <v>6.9000000000000006E-2</v>
      </c>
      <c r="D19" s="137">
        <v>0.97</v>
      </c>
      <c r="F19" s="5"/>
    </row>
    <row r="20" spans="1:21" ht="15.6" x14ac:dyDescent="0.3">
      <c r="B20" s="140" t="s">
        <v>136</v>
      </c>
      <c r="C20" s="138">
        <v>0.03</v>
      </c>
      <c r="D20" s="137">
        <v>1</v>
      </c>
      <c r="F20" s="5"/>
    </row>
    <row r="21" spans="1:21" ht="15.6" x14ac:dyDescent="0.3">
      <c r="B21" s="139" t="s">
        <v>135</v>
      </c>
      <c r="C21" s="138">
        <v>2.6000000000000002E-2</v>
      </c>
      <c r="D21" s="137">
        <v>1</v>
      </c>
    </row>
    <row r="22" spans="1:21" ht="15.6" x14ac:dyDescent="0.3">
      <c r="B22" s="139" t="s">
        <v>134</v>
      </c>
      <c r="C22" s="138">
        <v>2.6000000000000002E-2</v>
      </c>
      <c r="D22" s="137">
        <v>1.22</v>
      </c>
    </row>
    <row r="23" spans="1:21" ht="15.6" x14ac:dyDescent="0.3">
      <c r="B23" s="139" t="s">
        <v>133</v>
      </c>
      <c r="C23" s="138">
        <v>2.1000000000000001E-2</v>
      </c>
      <c r="D23" s="137">
        <v>1</v>
      </c>
    </row>
    <row r="24" spans="1:21" ht="15.6" x14ac:dyDescent="0.3">
      <c r="B24" s="139" t="s">
        <v>132</v>
      </c>
      <c r="C24" s="138">
        <v>2.1000000000000001E-2</v>
      </c>
      <c r="D24" s="137">
        <v>0.98</v>
      </c>
    </row>
    <row r="25" spans="1:21" x14ac:dyDescent="0.3">
      <c r="B25" s="136"/>
    </row>
    <row r="28" spans="1:21" ht="15.6" x14ac:dyDescent="0.3">
      <c r="A28" s="135" t="s">
        <v>131</v>
      </c>
      <c r="B28" s="134" t="s">
        <v>130</v>
      </c>
      <c r="C28" s="2"/>
      <c r="D28" s="2"/>
      <c r="E28" s="2"/>
      <c r="F28" s="2"/>
      <c r="G28" s="2"/>
      <c r="H28" s="2"/>
      <c r="I28" s="2"/>
      <c r="J28" s="2"/>
      <c r="K28" s="2"/>
      <c r="L28" s="2"/>
      <c r="M28" s="2"/>
      <c r="N28" s="2"/>
      <c r="O28" s="2"/>
      <c r="P28" s="2"/>
      <c r="Q28" s="2"/>
      <c r="R28" s="2"/>
      <c r="S28" s="2"/>
      <c r="T28" s="2"/>
      <c r="U28" s="2"/>
    </row>
    <row r="29" spans="1:21" ht="15.6" x14ac:dyDescent="0.3">
      <c r="A29" s="2"/>
      <c r="B29" s="134"/>
      <c r="C29" s="2"/>
      <c r="D29" s="2"/>
      <c r="E29" s="2"/>
      <c r="F29" s="2"/>
      <c r="G29" s="2"/>
      <c r="H29" s="2"/>
      <c r="I29" s="2"/>
      <c r="J29" s="2"/>
      <c r="K29" s="2"/>
      <c r="L29" s="2"/>
      <c r="M29" s="2"/>
      <c r="N29" s="2"/>
      <c r="O29" s="2"/>
      <c r="P29" s="2"/>
      <c r="Q29" s="2"/>
      <c r="R29" s="2"/>
      <c r="S29" s="2"/>
      <c r="T29" s="2"/>
      <c r="U29" s="2"/>
    </row>
    <row r="30" spans="1:21" ht="15.6" x14ac:dyDescent="0.3">
      <c r="A30" s="2"/>
      <c r="B30" s="130" t="s">
        <v>106</v>
      </c>
      <c r="C30" s="133">
        <v>6000</v>
      </c>
      <c r="D30" s="2"/>
      <c r="E30" s="2"/>
      <c r="F30" s="2"/>
      <c r="G30" s="2"/>
      <c r="H30" s="2"/>
      <c r="I30" s="2"/>
      <c r="J30" s="2"/>
      <c r="K30" s="2"/>
      <c r="L30" s="2"/>
      <c r="M30" s="2"/>
      <c r="N30" s="2"/>
      <c r="O30" s="2"/>
      <c r="P30" s="2"/>
      <c r="Q30" s="2"/>
      <c r="R30" s="2"/>
      <c r="S30" s="2"/>
      <c r="T30" s="2"/>
      <c r="U30" s="2"/>
    </row>
    <row r="31" spans="1:21" ht="15.6" x14ac:dyDescent="0.3">
      <c r="A31" s="2"/>
      <c r="B31" s="130" t="s">
        <v>129</v>
      </c>
      <c r="C31" s="129" t="s">
        <v>128</v>
      </c>
      <c r="D31" s="2"/>
      <c r="E31" s="2"/>
      <c r="F31" s="2"/>
      <c r="G31" s="2"/>
      <c r="H31" s="2"/>
      <c r="I31" s="2"/>
      <c r="J31" s="2"/>
      <c r="K31" s="2"/>
      <c r="L31" s="2"/>
      <c r="M31" s="2"/>
      <c r="N31" s="2"/>
      <c r="O31" s="2"/>
      <c r="P31" s="2"/>
      <c r="Q31" s="2"/>
      <c r="R31" s="2"/>
      <c r="S31" s="2"/>
      <c r="T31" s="2"/>
      <c r="U31" s="2"/>
    </row>
    <row r="32" spans="1:21" ht="15.6" x14ac:dyDescent="0.3">
      <c r="A32" s="2"/>
      <c r="B32" s="130" t="s">
        <v>127</v>
      </c>
      <c r="C32" s="129" t="s">
        <v>126</v>
      </c>
      <c r="D32" s="2"/>
      <c r="E32" s="132"/>
      <c r="F32" s="2"/>
      <c r="G32" s="2"/>
      <c r="H32" s="2"/>
      <c r="I32" s="2"/>
      <c r="J32" s="2"/>
      <c r="K32" s="2"/>
      <c r="L32" s="2"/>
      <c r="M32" s="2"/>
      <c r="N32" s="2"/>
      <c r="O32" s="2"/>
      <c r="P32" s="2"/>
      <c r="Q32" s="2"/>
      <c r="R32" s="2"/>
      <c r="S32" s="2"/>
      <c r="T32" s="2"/>
      <c r="U32" s="2"/>
    </row>
    <row r="33" spans="1:21" ht="15.6" x14ac:dyDescent="0.3">
      <c r="A33" s="2"/>
      <c r="B33" s="130" t="s">
        <v>125</v>
      </c>
      <c r="C33" s="129" t="s">
        <v>124</v>
      </c>
      <c r="D33" s="2"/>
      <c r="E33" s="2"/>
      <c r="F33" s="2"/>
      <c r="G33" s="2"/>
      <c r="H33" s="2"/>
      <c r="I33" s="2"/>
      <c r="J33" s="2"/>
      <c r="K33" s="2"/>
      <c r="L33" s="2"/>
      <c r="M33" s="2"/>
      <c r="N33" s="2"/>
      <c r="O33" s="2"/>
      <c r="P33" s="2"/>
      <c r="Q33" s="2"/>
      <c r="R33" s="2"/>
      <c r="S33" s="2"/>
      <c r="T33" s="2"/>
      <c r="U33" s="2"/>
    </row>
    <row r="34" spans="1:21" ht="15.6" x14ac:dyDescent="0.3">
      <c r="A34" s="6"/>
      <c r="B34" s="130" t="s">
        <v>123</v>
      </c>
      <c r="C34" s="129" t="s">
        <v>122</v>
      </c>
      <c r="D34" s="2"/>
      <c r="E34" s="2"/>
      <c r="F34" s="2"/>
      <c r="G34" s="2"/>
      <c r="H34" s="2"/>
      <c r="I34" s="2"/>
      <c r="J34" s="2"/>
      <c r="K34" s="2"/>
      <c r="L34" s="2"/>
      <c r="M34" s="2"/>
      <c r="N34" s="2"/>
      <c r="O34" s="2"/>
      <c r="P34" s="2"/>
      <c r="Q34" s="2"/>
      <c r="R34" s="2"/>
      <c r="S34" s="2"/>
      <c r="T34" s="2"/>
      <c r="U34" s="2"/>
    </row>
    <row r="35" spans="1:21" ht="15.6" x14ac:dyDescent="0.3">
      <c r="A35" s="6"/>
      <c r="B35" s="130" t="s">
        <v>121</v>
      </c>
      <c r="C35" s="131">
        <v>0.03</v>
      </c>
      <c r="D35" s="2"/>
      <c r="E35" s="2"/>
      <c r="F35" s="2"/>
      <c r="G35" s="2"/>
      <c r="H35" s="2"/>
      <c r="I35" s="2"/>
      <c r="J35" s="2"/>
      <c r="K35" s="2"/>
      <c r="L35" s="2"/>
      <c r="M35" s="2"/>
      <c r="N35" s="2"/>
      <c r="O35" s="2"/>
      <c r="P35" s="2"/>
      <c r="Q35" s="2"/>
      <c r="R35" s="2"/>
      <c r="S35" s="2"/>
      <c r="T35" s="2"/>
      <c r="U35" s="2"/>
    </row>
    <row r="36" spans="1:21" ht="15.6" x14ac:dyDescent="0.3">
      <c r="A36" s="6"/>
      <c r="B36" s="130" t="s">
        <v>120</v>
      </c>
      <c r="C36" s="129" t="s">
        <v>119</v>
      </c>
      <c r="D36" s="2"/>
      <c r="E36" s="2"/>
      <c r="F36" s="2"/>
      <c r="G36" s="2"/>
      <c r="H36" s="2"/>
      <c r="I36" s="2"/>
      <c r="J36" s="2"/>
      <c r="K36" s="2"/>
      <c r="L36" s="2"/>
      <c r="M36" s="2"/>
      <c r="N36" s="2"/>
      <c r="O36" s="2"/>
      <c r="P36" s="2"/>
      <c r="Q36" s="2"/>
      <c r="R36" s="2"/>
      <c r="S36" s="2"/>
      <c r="T36" s="2"/>
      <c r="U36" s="2"/>
    </row>
    <row r="37" spans="1:21" ht="15" x14ac:dyDescent="0.3">
      <c r="A37" s="127"/>
      <c r="B37" s="128"/>
      <c r="C37" s="127"/>
      <c r="D37" s="127"/>
      <c r="E37" s="127"/>
      <c r="F37" s="127"/>
      <c r="G37" s="127"/>
      <c r="H37" s="127"/>
      <c r="I37" s="127"/>
      <c r="J37" s="127"/>
      <c r="K37" s="127"/>
      <c r="L37" s="127"/>
      <c r="M37" s="127"/>
      <c r="N37" s="127"/>
      <c r="O37" s="127"/>
      <c r="P37" s="127"/>
      <c r="Q37" s="127"/>
      <c r="R37" s="127"/>
      <c r="S37" s="127"/>
      <c r="T37" s="127"/>
      <c r="U37" s="127"/>
    </row>
    <row r="38" spans="1:21" ht="15.6" x14ac:dyDescent="0.3">
      <c r="A38" s="6" t="s">
        <v>118</v>
      </c>
      <c r="B38" s="128"/>
      <c r="C38" s="127"/>
      <c r="D38" s="127"/>
      <c r="E38" s="127"/>
      <c r="F38" s="127"/>
      <c r="G38" s="127"/>
      <c r="H38" s="127"/>
      <c r="I38" s="127"/>
      <c r="J38" s="127"/>
      <c r="K38" s="127"/>
      <c r="L38" s="127"/>
      <c r="M38" s="127"/>
      <c r="N38" s="127"/>
      <c r="O38" s="127"/>
      <c r="P38" s="127"/>
      <c r="Q38" s="127"/>
      <c r="R38" s="127"/>
      <c r="S38" s="127"/>
      <c r="T38" s="127"/>
      <c r="U38" s="127"/>
    </row>
    <row r="39" spans="1:21" ht="15.6" x14ac:dyDescent="0.3">
      <c r="A39" s="3" t="s">
        <v>117</v>
      </c>
    </row>
    <row r="40" spans="1:21" ht="15.6" x14ac:dyDescent="0.3">
      <c r="A40" s="3"/>
    </row>
    <row r="41" spans="1:21" ht="15.6" x14ac:dyDescent="0.3">
      <c r="A41" s="3"/>
      <c r="B41" t="s">
        <v>46</v>
      </c>
      <c r="C41" t="s">
        <v>116</v>
      </c>
    </row>
    <row r="42" spans="1:21" ht="15.6" x14ac:dyDescent="0.3">
      <c r="A42" s="3"/>
      <c r="C42" t="s">
        <v>115</v>
      </c>
    </row>
    <row r="43" spans="1:21" ht="15.6" x14ac:dyDescent="0.3">
      <c r="A43" s="3"/>
      <c r="C43" t="s">
        <v>114</v>
      </c>
    </row>
    <row r="44" spans="1:21" ht="15.6" x14ac:dyDescent="0.3">
      <c r="A44" s="3"/>
      <c r="C44" t="s">
        <v>113</v>
      </c>
    </row>
    <row r="45" spans="1:21" ht="15.6" x14ac:dyDescent="0.3">
      <c r="A45" s="3"/>
    </row>
    <row r="46" spans="1:21" ht="15.6" x14ac:dyDescent="0.3">
      <c r="A46" s="3"/>
      <c r="B46" t="s">
        <v>112</v>
      </c>
      <c r="I46" t="s">
        <v>111</v>
      </c>
    </row>
    <row r="47" spans="1:21" x14ac:dyDescent="0.3">
      <c r="B47" t="s">
        <v>110</v>
      </c>
      <c r="C47" t="s">
        <v>109</v>
      </c>
      <c r="D47" t="s">
        <v>108</v>
      </c>
      <c r="E47" t="s">
        <v>107</v>
      </c>
      <c r="F47" t="s">
        <v>106</v>
      </c>
      <c r="G47" t="s">
        <v>105</v>
      </c>
      <c r="I47" t="s">
        <v>110</v>
      </c>
      <c r="J47" t="s">
        <v>109</v>
      </c>
      <c r="K47" t="s">
        <v>108</v>
      </c>
      <c r="L47" t="s">
        <v>107</v>
      </c>
      <c r="M47" t="s">
        <v>106</v>
      </c>
      <c r="N47" t="s">
        <v>105</v>
      </c>
    </row>
    <row r="48" spans="1:21" x14ac:dyDescent="0.3">
      <c r="B48">
        <v>1</v>
      </c>
      <c r="C48" s="122">
        <f>$D$5</f>
        <v>0.123</v>
      </c>
      <c r="D48" s="119">
        <f>(1-C48)</f>
        <v>0.877</v>
      </c>
      <c r="E48" s="118">
        <f>(1+$C$35)^(-B48/12)</f>
        <v>0.9975397977501389</v>
      </c>
      <c r="F48">
        <v>0</v>
      </c>
      <c r="G48" s="126">
        <f>SUMPRODUCT(F48:F86,D48:D86,E48:E86)</f>
        <v>76358.859664742311</v>
      </c>
      <c r="I48">
        <v>1</v>
      </c>
      <c r="J48" s="122">
        <f>$C$18</f>
        <v>0.114</v>
      </c>
      <c r="K48" s="119">
        <f>(1-J48)</f>
        <v>0.88600000000000001</v>
      </c>
      <c r="L48" s="118">
        <f>(1+$C$35)^(-I48/12)</f>
        <v>0.9975397977501389</v>
      </c>
      <c r="M48">
        <v>0</v>
      </c>
      <c r="N48" s="126">
        <f>SUMPRODUCT(M48:M86,K48:K86,L48:L86)</f>
        <v>79786.093822231036</v>
      </c>
      <c r="O48" s="125"/>
    </row>
    <row r="49" spans="2:19" x14ac:dyDescent="0.3">
      <c r="B49">
        <f>B48+1</f>
        <v>2</v>
      </c>
      <c r="C49" s="121">
        <f>$D$5</f>
        <v>0.123</v>
      </c>
      <c r="D49" s="119">
        <f>D48*(1-C49)</f>
        <v>0.76912899999999995</v>
      </c>
      <c r="E49" s="118">
        <f>(1+$C$35)^(-B49/12)</f>
        <v>0.99508564809538824</v>
      </c>
      <c r="F49">
        <v>0</v>
      </c>
      <c r="I49">
        <f>I48+1</f>
        <v>2</v>
      </c>
      <c r="J49" s="121">
        <f>$C$18</f>
        <v>0.114</v>
      </c>
      <c r="K49" s="119">
        <f>K48*(1-J49)</f>
        <v>0.78499600000000003</v>
      </c>
      <c r="L49" s="118">
        <f>(1+$C$35)^(-I49/12)</f>
        <v>0.99508564809538824</v>
      </c>
      <c r="M49">
        <v>0</v>
      </c>
    </row>
    <row r="50" spans="2:19" x14ac:dyDescent="0.3">
      <c r="B50">
        <f>B49+1</f>
        <v>3</v>
      </c>
      <c r="C50" s="120">
        <f>$D$5</f>
        <v>0.123</v>
      </c>
      <c r="D50" s="119">
        <f>D49*(1-C50)</f>
        <v>0.67452613299999997</v>
      </c>
      <c r="E50" s="118">
        <f>(1+$C$35)^(-B50/12)</f>
        <v>0.99263753614513961</v>
      </c>
      <c r="F50">
        <v>0</v>
      </c>
      <c r="I50">
        <f>I49+1</f>
        <v>3</v>
      </c>
      <c r="J50" s="120">
        <f>$C$18</f>
        <v>0.114</v>
      </c>
      <c r="K50" s="119">
        <f>K49*(1-J50)</f>
        <v>0.69550645600000005</v>
      </c>
      <c r="L50" s="118">
        <f>(1+$C$35)^(-I50/12)</f>
        <v>0.99263753614513961</v>
      </c>
      <c r="M50">
        <v>0</v>
      </c>
    </row>
    <row r="51" spans="2:19" x14ac:dyDescent="0.3">
      <c r="B51">
        <f>B50+1</f>
        <v>4</v>
      </c>
      <c r="C51" s="122">
        <f>$D$6</f>
        <v>7.2999999999999995E-2</v>
      </c>
      <c r="D51" s="119">
        <f>D50*(1-C51)</f>
        <v>0.62528572529100002</v>
      </c>
      <c r="E51" s="118">
        <f>(1+$C$35)^(-B51/12)</f>
        <v>0.99019544704541884</v>
      </c>
      <c r="F51" s="117">
        <f>$C$30</f>
        <v>6000</v>
      </c>
      <c r="I51">
        <f>I50+1</f>
        <v>4</v>
      </c>
      <c r="J51" s="122">
        <f>$C$19</f>
        <v>6.9000000000000006E-2</v>
      </c>
      <c r="K51" s="119">
        <f>K50*(1-J51)</f>
        <v>0.64751651053600012</v>
      </c>
      <c r="L51" s="118">
        <f>(1+$C$35)^(-I51/12)</f>
        <v>0.99019544704541884</v>
      </c>
      <c r="M51" s="117">
        <f>$C$30</f>
        <v>6000</v>
      </c>
      <c r="N51" t="s">
        <v>104</v>
      </c>
    </row>
    <row r="52" spans="2:19" x14ac:dyDescent="0.3">
      <c r="B52">
        <f>B51+1</f>
        <v>5</v>
      </c>
      <c r="C52" s="121">
        <f>$D$6</f>
        <v>7.2999999999999995E-2</v>
      </c>
      <c r="D52" s="119">
        <f>D51*(1-C52)</f>
        <v>0.57963986734475703</v>
      </c>
      <c r="E52" s="118">
        <f>(1+$C$35)^(-B52/12)</f>
        <v>0.98775936597879554</v>
      </c>
      <c r="F52" s="117">
        <f>$C$30</f>
        <v>6000</v>
      </c>
      <c r="I52">
        <f>I51+1</f>
        <v>5</v>
      </c>
      <c r="J52" s="121">
        <f>$C$19</f>
        <v>6.9000000000000006E-2</v>
      </c>
      <c r="K52" s="119">
        <f>K51*(1-J52)</f>
        <v>0.60283787130901612</v>
      </c>
      <c r="L52" s="118">
        <f>(1+$C$35)^(-I52/12)</f>
        <v>0.98775936597879554</v>
      </c>
      <c r="M52" s="117">
        <f>$C$30</f>
        <v>6000</v>
      </c>
      <c r="N52" s="124">
        <f>N48-G48</f>
        <v>3427.234157488725</v>
      </c>
    </row>
    <row r="53" spans="2:19" x14ac:dyDescent="0.3">
      <c r="B53">
        <f>B52+1</f>
        <v>6</v>
      </c>
      <c r="C53" s="120">
        <f>$D$6</f>
        <v>7.2999999999999995E-2</v>
      </c>
      <c r="D53" s="119">
        <f>D52*(1-C53)</f>
        <v>0.53732615702858977</v>
      </c>
      <c r="E53" s="118">
        <f>(1+$C$35)^(-B53/12)</f>
        <v>0.98532927816429317</v>
      </c>
      <c r="F53" s="117">
        <f>$C$30</f>
        <v>6000</v>
      </c>
      <c r="I53">
        <f>I52+1</f>
        <v>6</v>
      </c>
      <c r="J53" s="120">
        <f>$C$19</f>
        <v>6.9000000000000006E-2</v>
      </c>
      <c r="K53" s="119">
        <f>K52*(1-J53)</f>
        <v>0.56124205818869399</v>
      </c>
      <c r="L53" s="118">
        <f>(1+$C$35)^(-I53/12)</f>
        <v>0.98532927816429317</v>
      </c>
      <c r="M53" s="117">
        <f>$C$30</f>
        <v>6000</v>
      </c>
    </row>
    <row r="54" spans="2:19" x14ac:dyDescent="0.3">
      <c r="B54">
        <f>B53+1</f>
        <v>7</v>
      </c>
      <c r="C54" s="122">
        <f>$D$7</f>
        <v>3.1E-2</v>
      </c>
      <c r="D54" s="119">
        <f>D53*(1-C54)</f>
        <v>0.52066904616070342</v>
      </c>
      <c r="E54" s="118">
        <f>(1+$C$35)^(-B54/12)</f>
        <v>0.9829051688572995</v>
      </c>
      <c r="F54" s="117">
        <f>$C$30</f>
        <v>6000</v>
      </c>
      <c r="I54">
        <f>I53+1</f>
        <v>7</v>
      </c>
      <c r="J54" s="122">
        <f>$C$20</f>
        <v>0.03</v>
      </c>
      <c r="K54" s="119">
        <f>K53*(1-J54)</f>
        <v>0.54440479644303319</v>
      </c>
      <c r="L54" s="118">
        <f>(1+$C$35)^(-I54/12)</f>
        <v>0.9829051688572995</v>
      </c>
      <c r="M54" s="117">
        <f>$C$30</f>
        <v>6000</v>
      </c>
    </row>
    <row r="55" spans="2:19" x14ac:dyDescent="0.3">
      <c r="B55">
        <f>B54+1</f>
        <v>8</v>
      </c>
      <c r="C55" s="121">
        <f>$D$7</f>
        <v>3.1E-2</v>
      </c>
      <c r="D55" s="119">
        <f>D54*(1-C55)</f>
        <v>0.50452830572972163</v>
      </c>
      <c r="E55" s="118">
        <f>(1+$C$35)^(-B55/12)</f>
        <v>0.98048702334947668</v>
      </c>
      <c r="F55" s="117">
        <f>$C$30</f>
        <v>6000</v>
      </c>
      <c r="I55">
        <f>I54+1</f>
        <v>8</v>
      </c>
      <c r="J55" s="121">
        <f>$C$20</f>
        <v>0.03</v>
      </c>
      <c r="K55" s="119">
        <f>K54*(1-J55)</f>
        <v>0.52807265254974223</v>
      </c>
      <c r="L55" s="118">
        <f>(1+$C$35)^(-I55/12)</f>
        <v>0.98048702334947668</v>
      </c>
      <c r="M55" s="117">
        <f>$C$30</f>
        <v>6000</v>
      </c>
    </row>
    <row r="56" spans="2:19" x14ac:dyDescent="0.3">
      <c r="B56">
        <f>B55+1</f>
        <v>9</v>
      </c>
      <c r="C56" s="121">
        <f>$D$7</f>
        <v>3.1E-2</v>
      </c>
      <c r="D56" s="119">
        <f>D55*(1-C56)</f>
        <v>0.48888792825210026</v>
      </c>
      <c r="E56" s="118">
        <f>(1+$C$35)^(-B56/12)</f>
        <v>0.97807482696867276</v>
      </c>
      <c r="F56" s="117">
        <f>$C$30</f>
        <v>6000</v>
      </c>
      <c r="I56">
        <f>I55+1</f>
        <v>9</v>
      </c>
      <c r="J56" s="121">
        <f>$C$20</f>
        <v>0.03</v>
      </c>
      <c r="K56" s="119">
        <f>K55*(1-J56)</f>
        <v>0.51223047297324997</v>
      </c>
      <c r="L56" s="118">
        <f>(1+$C$35)^(-I56/12)</f>
        <v>0.97807482696867276</v>
      </c>
      <c r="M56" s="117">
        <f>$C$30</f>
        <v>6000</v>
      </c>
      <c r="S56" s="123"/>
    </row>
    <row r="57" spans="2:19" x14ac:dyDescent="0.3">
      <c r="B57">
        <f>B56+1</f>
        <v>10</v>
      </c>
      <c r="C57" s="121">
        <f>$D$7</f>
        <v>3.1E-2</v>
      </c>
      <c r="D57" s="119">
        <f>D56*(1-C57)</f>
        <v>0.47373240247628512</v>
      </c>
      <c r="E57" s="118">
        <f>(1+$C$35)^(-B57/12)</f>
        <v>0.97566856507883204</v>
      </c>
      <c r="F57" s="117">
        <f>$C$30</f>
        <v>6000</v>
      </c>
      <c r="I57">
        <f>I56+1</f>
        <v>10</v>
      </c>
      <c r="J57" s="121">
        <f>$C$20</f>
        <v>0.03</v>
      </c>
      <c r="K57" s="119">
        <f>K56*(1-J57)</f>
        <v>0.49686355878405247</v>
      </c>
      <c r="L57" s="118">
        <f>(1+$C$35)^(-I57/12)</f>
        <v>0.97566856507883204</v>
      </c>
      <c r="M57" s="117">
        <f>$C$30</f>
        <v>6000</v>
      </c>
      <c r="S57" s="123"/>
    </row>
    <row r="58" spans="2:19" x14ac:dyDescent="0.3">
      <c r="B58">
        <f>B57+1</f>
        <v>11</v>
      </c>
      <c r="C58" s="121">
        <f>$D$7</f>
        <v>3.1E-2</v>
      </c>
      <c r="D58" s="119">
        <f>D57*(1-C58)</f>
        <v>0.45904669799952025</v>
      </c>
      <c r="E58" s="118">
        <f>(1+$C$35)^(-B58/12)</f>
        <v>0.97326822307990635</v>
      </c>
      <c r="F58" s="117">
        <f>$C$30</f>
        <v>6000</v>
      </c>
      <c r="I58">
        <f>I57+1</f>
        <v>11</v>
      </c>
      <c r="J58" s="121">
        <f>$C$20</f>
        <v>0.03</v>
      </c>
      <c r="K58" s="119">
        <f>K57*(1-J58)</f>
        <v>0.48195765202053087</v>
      </c>
      <c r="L58" s="118">
        <f>(1+$C$35)^(-I58/12)</f>
        <v>0.97326822307990635</v>
      </c>
      <c r="M58" s="117">
        <f>$C$30</f>
        <v>6000</v>
      </c>
      <c r="S58" s="123"/>
    </row>
    <row r="59" spans="2:19" x14ac:dyDescent="0.3">
      <c r="B59">
        <f>B58+1</f>
        <v>12</v>
      </c>
      <c r="C59" s="120">
        <f>$D$7</f>
        <v>3.1E-2</v>
      </c>
      <c r="D59" s="119">
        <f>D58*(1-C59)</f>
        <v>0.4448162503615351</v>
      </c>
      <c r="E59" s="118">
        <f>(1+$C$35)^(-B59/12)</f>
        <v>0.970873786407767</v>
      </c>
      <c r="F59" s="117">
        <f>$C$30</f>
        <v>6000</v>
      </c>
      <c r="I59">
        <f>I58+1</f>
        <v>12</v>
      </c>
      <c r="J59" s="120">
        <f>$C$20</f>
        <v>0.03</v>
      </c>
      <c r="K59" s="119">
        <f>K58*(1-J59)</f>
        <v>0.46749892245991492</v>
      </c>
      <c r="L59" s="118">
        <f>(1+$C$35)^(-I59/12)</f>
        <v>0.970873786407767</v>
      </c>
      <c r="M59" s="117">
        <f>$C$30</f>
        <v>6000</v>
      </c>
      <c r="S59" s="123"/>
    </row>
    <row r="60" spans="2:19" x14ac:dyDescent="0.3">
      <c r="B60">
        <f>B59+1</f>
        <v>13</v>
      </c>
      <c r="C60" s="122">
        <f>$D$8</f>
        <v>2.7E-2</v>
      </c>
      <c r="D60" s="119">
        <f>D59*(1-C60)</f>
        <v>0.43280621160177363</v>
      </c>
      <c r="E60" s="118">
        <f>(1+$C$35)^(-B60/12)</f>
        <v>0.96848524053411544</v>
      </c>
      <c r="F60" s="117">
        <f>$C$30</f>
        <v>6000</v>
      </c>
      <c r="I60">
        <f>I59+1</f>
        <v>13</v>
      </c>
      <c r="J60" s="122">
        <f>$C$21</f>
        <v>2.6000000000000002E-2</v>
      </c>
      <c r="K60" s="119">
        <f>K59*(1-J60)</f>
        <v>0.4553439504759571</v>
      </c>
      <c r="L60" s="118">
        <f>(1+$C$35)^(-I60/12)</f>
        <v>0.96848524053411544</v>
      </c>
      <c r="M60" s="117">
        <f>$C$30</f>
        <v>6000</v>
      </c>
      <c r="S60" s="123"/>
    </row>
    <row r="61" spans="2:19" x14ac:dyDescent="0.3">
      <c r="B61">
        <f>B60+1</f>
        <v>14</v>
      </c>
      <c r="C61" s="121">
        <f>$D$8</f>
        <v>2.7E-2</v>
      </c>
      <c r="D61" s="119">
        <f>D60*(1-C61)</f>
        <v>0.42112044388852571</v>
      </c>
      <c r="E61" s="118">
        <f>(1+$C$35)^(-B61/12)</f>
        <v>0.96610257096639629</v>
      </c>
      <c r="F61" s="117">
        <f>$C$30</f>
        <v>6000</v>
      </c>
      <c r="I61">
        <f>I60+1</f>
        <v>14</v>
      </c>
      <c r="J61" s="121">
        <f>$C$21</f>
        <v>2.6000000000000002E-2</v>
      </c>
      <c r="K61" s="119">
        <f>K60*(1-J61)</f>
        <v>0.4435050077635822</v>
      </c>
      <c r="L61" s="118">
        <f>(1+$C$35)^(-I61/12)</f>
        <v>0.96610257096639629</v>
      </c>
      <c r="M61" s="117">
        <f>$C$30</f>
        <v>6000</v>
      </c>
      <c r="S61" s="123"/>
    </row>
    <row r="62" spans="2:19" x14ac:dyDescent="0.3">
      <c r="B62">
        <f>B61+1</f>
        <v>15</v>
      </c>
      <c r="C62" s="121">
        <f>$D$8</f>
        <v>2.7E-2</v>
      </c>
      <c r="D62" s="119">
        <f>D61*(1-C62)</f>
        <v>0.40975019190353551</v>
      </c>
      <c r="E62" s="118">
        <f>(1+$C$35)^(-B62/12)</f>
        <v>0.9637257632477082</v>
      </c>
      <c r="F62" s="117">
        <f>$C$30</f>
        <v>6000</v>
      </c>
      <c r="I62">
        <f>I61+1</f>
        <v>15</v>
      </c>
      <c r="J62" s="121">
        <f>$C$21</f>
        <v>2.6000000000000002E-2</v>
      </c>
      <c r="K62" s="119">
        <f>K61*(1-J62)</f>
        <v>0.43197387756172906</v>
      </c>
      <c r="L62" s="118">
        <f>(1+$C$35)^(-I62/12)</f>
        <v>0.9637257632477082</v>
      </c>
      <c r="M62" s="117">
        <f>$C$30</f>
        <v>6000</v>
      </c>
      <c r="S62" s="123"/>
    </row>
    <row r="63" spans="2:19" x14ac:dyDescent="0.3">
      <c r="B63">
        <f>B62+1</f>
        <v>16</v>
      </c>
      <c r="C63" s="121">
        <f>$D$8</f>
        <v>2.7E-2</v>
      </c>
      <c r="D63" s="119">
        <f>D62*(1-C63)</f>
        <v>0.39868693672214006</v>
      </c>
      <c r="E63" s="118">
        <f>(1+$C$35)^(-B63/12)</f>
        <v>0.96135480295671727</v>
      </c>
      <c r="F63" s="117">
        <f>$C$30</f>
        <v>6000</v>
      </c>
      <c r="I63">
        <f>I62+1</f>
        <v>16</v>
      </c>
      <c r="J63" s="121">
        <f>$C$21</f>
        <v>2.6000000000000002E-2</v>
      </c>
      <c r="K63" s="119">
        <f>K62*(1-J63)</f>
        <v>0.42074255674512412</v>
      </c>
      <c r="L63" s="118">
        <f>(1+$C$35)^(-I63/12)</f>
        <v>0.96135480295671727</v>
      </c>
      <c r="M63" s="117">
        <f>$C$30</f>
        <v>6000</v>
      </c>
    </row>
    <row r="64" spans="2:19" x14ac:dyDescent="0.3">
      <c r="B64">
        <f>B63+1</f>
        <v>17</v>
      </c>
      <c r="C64" s="121">
        <f>$D$8</f>
        <v>2.7E-2</v>
      </c>
      <c r="D64" s="119">
        <f>D63*(1-C64)</f>
        <v>0.38792238943064228</v>
      </c>
      <c r="E64" s="118">
        <f>(1+$C$35)^(-B64/12)</f>
        <v>0.95898967570756843</v>
      </c>
      <c r="F64" s="117">
        <f>$C$30</f>
        <v>6000</v>
      </c>
      <c r="I64">
        <f>I63+1</f>
        <v>17</v>
      </c>
      <c r="J64" s="121">
        <f>$C$21</f>
        <v>2.6000000000000002E-2</v>
      </c>
      <c r="K64" s="119">
        <f>K63*(1-J64)</f>
        <v>0.4098032502697509</v>
      </c>
      <c r="L64" s="118">
        <f>(1+$C$35)^(-I64/12)</f>
        <v>0.95898967570756843</v>
      </c>
      <c r="M64" s="117">
        <f>$C$30</f>
        <v>6000</v>
      </c>
    </row>
    <row r="65" spans="2:13" x14ac:dyDescent="0.3">
      <c r="B65">
        <f>B64+1</f>
        <v>18</v>
      </c>
      <c r="C65" s="120">
        <f>$D$8</f>
        <v>2.7E-2</v>
      </c>
      <c r="D65" s="119">
        <f>D64*(1-C65)</f>
        <v>0.3774484849160149</v>
      </c>
      <c r="E65" s="118">
        <f>(1+$C$35)^(-B65/12)</f>
        <v>0.9566303671497991</v>
      </c>
      <c r="F65" s="117">
        <f>$C$30</f>
        <v>6000</v>
      </c>
      <c r="I65">
        <f>I64+1</f>
        <v>18</v>
      </c>
      <c r="J65" s="120">
        <f>$C$21</f>
        <v>2.6000000000000002E-2</v>
      </c>
      <c r="K65" s="119">
        <f>K64*(1-J65)</f>
        <v>0.39914836576273738</v>
      </c>
      <c r="L65" s="118">
        <f>(1+$C$35)^(-I65/12)</f>
        <v>0.9566303671497991</v>
      </c>
      <c r="M65" s="117">
        <f>$C$30</f>
        <v>6000</v>
      </c>
    </row>
    <row r="66" spans="2:13" x14ac:dyDescent="0.3">
      <c r="B66">
        <f>B65+1</f>
        <v>19</v>
      </c>
      <c r="C66" s="122">
        <f>$D$9</f>
        <v>2.4E-2</v>
      </c>
      <c r="D66" s="119">
        <f>D65*(1-C66)</f>
        <v>0.36838972127803055</v>
      </c>
      <c r="E66" s="118">
        <f>(1+$C$35)^(-B66/12)</f>
        <v>0.95427686296825176</v>
      </c>
      <c r="F66" s="117">
        <f>$C$30</f>
        <v>6000</v>
      </c>
      <c r="I66">
        <f>I65+1</f>
        <v>19</v>
      </c>
      <c r="J66" s="122">
        <f>$C$22</f>
        <v>2.6000000000000002E-2</v>
      </c>
      <c r="K66" s="119">
        <f>K65*(1-J66)</f>
        <v>0.38877050825290621</v>
      </c>
      <c r="L66" s="118">
        <f>(1+$C$35)^(-I66/12)</f>
        <v>0.95427686296825176</v>
      </c>
      <c r="M66" s="117">
        <f>$C$30</f>
        <v>6000</v>
      </c>
    </row>
    <row r="67" spans="2:13" x14ac:dyDescent="0.3">
      <c r="B67">
        <f>B66+1</f>
        <v>20</v>
      </c>
      <c r="C67" s="121">
        <f>$D$9</f>
        <v>2.4E-2</v>
      </c>
      <c r="D67" s="119">
        <f>D66*(1-C67)</f>
        <v>0.35954836796735778</v>
      </c>
      <c r="E67" s="118">
        <f>(1+$C$35)^(-B67/12)</f>
        <v>0.95192914888298708</v>
      </c>
      <c r="F67" s="117">
        <f>$C$30</f>
        <v>6000</v>
      </c>
      <c r="I67">
        <f>I66+1</f>
        <v>20</v>
      </c>
      <c r="J67" s="121">
        <f>$C$22</f>
        <v>2.6000000000000002E-2</v>
      </c>
      <c r="K67" s="119">
        <f>K66*(1-J67)</f>
        <v>0.37866247503833061</v>
      </c>
      <c r="L67" s="118">
        <f>(1+$C$35)^(-I67/12)</f>
        <v>0.95192914888298708</v>
      </c>
      <c r="M67" s="117">
        <f>$C$30</f>
        <v>6000</v>
      </c>
    </row>
    <row r="68" spans="2:13" x14ac:dyDescent="0.3">
      <c r="B68">
        <f>B67+1</f>
        <v>21</v>
      </c>
      <c r="C68" s="121">
        <f>$D$9</f>
        <v>2.4E-2</v>
      </c>
      <c r="D68" s="119">
        <f>D67*(1-C68)</f>
        <v>0.35091920713614116</v>
      </c>
      <c r="E68" s="118">
        <f>(1+$C$35)^(-B68/12)</f>
        <v>0.94958721064919693</v>
      </c>
      <c r="F68" s="117">
        <f>$C$30</f>
        <v>6000</v>
      </c>
      <c r="I68">
        <f>I67+1</f>
        <v>21</v>
      </c>
      <c r="J68" s="121">
        <f>$C$22</f>
        <v>2.6000000000000002E-2</v>
      </c>
      <c r="K68" s="119">
        <f>K67*(1-J68)</f>
        <v>0.36881725068733401</v>
      </c>
      <c r="L68" s="118">
        <f>(1+$C$35)^(-I68/12)</f>
        <v>0.94958721064919693</v>
      </c>
      <c r="M68" s="117">
        <f>$C$30</f>
        <v>6000</v>
      </c>
    </row>
    <row r="69" spans="2:13" x14ac:dyDescent="0.3">
      <c r="B69">
        <f>B68+1</f>
        <v>22</v>
      </c>
      <c r="C69" s="121">
        <f>$D$9</f>
        <v>2.4E-2</v>
      </c>
      <c r="D69" s="119">
        <f>D68*(1-C69)</f>
        <v>0.34249714616487376</v>
      </c>
      <c r="E69" s="118">
        <f>(1+$C$35)^(-B69/12)</f>
        <v>0.94725103405711841</v>
      </c>
      <c r="F69" s="117">
        <f>$C$30</f>
        <v>6000</v>
      </c>
      <c r="I69">
        <f>I68+1</f>
        <v>22</v>
      </c>
      <c r="J69" s="121">
        <f>$C$22</f>
        <v>2.6000000000000002E-2</v>
      </c>
      <c r="K69" s="119">
        <f>K68*(1-J69)</f>
        <v>0.35922800216946332</v>
      </c>
      <c r="L69" s="118">
        <f>(1+$C$35)^(-I69/12)</f>
        <v>0.94725103405711841</v>
      </c>
      <c r="M69" s="117">
        <f>$C$30</f>
        <v>6000</v>
      </c>
    </row>
    <row r="70" spans="2:13" x14ac:dyDescent="0.3">
      <c r="B70">
        <f>B69+1</f>
        <v>23</v>
      </c>
      <c r="C70" s="121">
        <f>$D$9</f>
        <v>2.4E-2</v>
      </c>
      <c r="D70" s="119">
        <f>D69*(1-C70)</f>
        <v>0.33427721465691679</v>
      </c>
      <c r="E70" s="118">
        <f>(1+$C$35)^(-B70/12)</f>
        <v>0.94492060493194796</v>
      </c>
      <c r="F70" s="117">
        <f>$C$30</f>
        <v>6000</v>
      </c>
      <c r="I70">
        <f>I69+1</f>
        <v>23</v>
      </c>
      <c r="J70" s="121">
        <f>$C$22</f>
        <v>2.6000000000000002E-2</v>
      </c>
      <c r="K70" s="119">
        <f>K69*(1-J70)</f>
        <v>0.34988807411305728</v>
      </c>
      <c r="L70" s="118">
        <f>(1+$C$35)^(-I70/12)</f>
        <v>0.94492060493194796</v>
      </c>
      <c r="M70" s="117">
        <f>$C$30</f>
        <v>6000</v>
      </c>
    </row>
    <row r="71" spans="2:13" x14ac:dyDescent="0.3">
      <c r="B71">
        <f>B70+1</f>
        <v>24</v>
      </c>
      <c r="C71" s="121">
        <f>$D$9</f>
        <v>2.4E-2</v>
      </c>
      <c r="D71" s="119">
        <f>D70*(1-C71)</f>
        <v>0.32625456150515075</v>
      </c>
      <c r="E71" s="118">
        <f>(1+$C$35)^(-B71/12)</f>
        <v>0.94259590913375435</v>
      </c>
      <c r="F71" s="117">
        <f>$C$30</f>
        <v>6000</v>
      </c>
      <c r="I71">
        <f>I70+1</f>
        <v>24</v>
      </c>
      <c r="J71" s="121">
        <f>$C$22</f>
        <v>2.6000000000000002E-2</v>
      </c>
      <c r="K71" s="119">
        <f>K70*(1-J71)</f>
        <v>0.34079098418611781</v>
      </c>
      <c r="L71" s="118">
        <f>(1+$C$35)^(-I71/12)</f>
        <v>0.94259590913375435</v>
      </c>
      <c r="M71" s="117">
        <f>$C$30</f>
        <v>6000</v>
      </c>
    </row>
    <row r="72" spans="2:13" x14ac:dyDescent="0.3">
      <c r="B72">
        <f>B71+1</f>
        <v>25</v>
      </c>
      <c r="C72" s="122">
        <f>$D$10</f>
        <v>0.02</v>
      </c>
      <c r="D72" s="119">
        <f>D71*(1-C72)</f>
        <v>0.31972947027504772</v>
      </c>
      <c r="E72" s="118">
        <f>(1+$C$35)^(-B72/12)</f>
        <v>0.94027693255739375</v>
      </c>
      <c r="F72" s="117">
        <f>$C$30</f>
        <v>6000</v>
      </c>
      <c r="I72">
        <f>I71+1</f>
        <v>25</v>
      </c>
      <c r="J72" s="122">
        <f>$C$23</f>
        <v>2.1000000000000001E-2</v>
      </c>
      <c r="K72" s="119">
        <f>K71*(1-J72)</f>
        <v>0.33363437351820935</v>
      </c>
      <c r="L72" s="118">
        <f>(1+$C$35)^(-I72/12)</f>
        <v>0.94027693255739375</v>
      </c>
      <c r="M72" s="117">
        <f>$C$30</f>
        <v>6000</v>
      </c>
    </row>
    <row r="73" spans="2:13" x14ac:dyDescent="0.3">
      <c r="B73">
        <f>B72+1</f>
        <v>26</v>
      </c>
      <c r="C73" s="121">
        <f>$D$10</f>
        <v>0.02</v>
      </c>
      <c r="D73" s="119">
        <f>D72*(1-C73)</f>
        <v>0.31333488086954675</v>
      </c>
      <c r="E73" s="118">
        <f>(1+$C$35)^(-B73/12)</f>
        <v>0.93796366113242347</v>
      </c>
      <c r="F73" s="117">
        <f>$C$30</f>
        <v>6000</v>
      </c>
      <c r="I73">
        <f>I72+1</f>
        <v>26</v>
      </c>
      <c r="J73" s="121">
        <f>$C$23</f>
        <v>2.1000000000000001E-2</v>
      </c>
      <c r="K73" s="119">
        <f>K72*(1-J73)</f>
        <v>0.32662805167432696</v>
      </c>
      <c r="L73" s="118">
        <f>(1+$C$35)^(-I73/12)</f>
        <v>0.93796366113242347</v>
      </c>
      <c r="M73" s="117">
        <f>$C$30</f>
        <v>6000</v>
      </c>
    </row>
    <row r="74" spans="2:13" x14ac:dyDescent="0.3">
      <c r="B74">
        <f>B73+1</f>
        <v>27</v>
      </c>
      <c r="C74" s="121">
        <f>$D$10</f>
        <v>0.02</v>
      </c>
      <c r="D74" s="119">
        <f>D73*(1-C74)</f>
        <v>0.30706818325215579</v>
      </c>
      <c r="E74" s="118">
        <f>(1+$C$35)^(-B74/12)</f>
        <v>0.93565608082301777</v>
      </c>
      <c r="F74" s="117">
        <f>$C$30</f>
        <v>6000</v>
      </c>
      <c r="I74">
        <f>I73+1</f>
        <v>27</v>
      </c>
      <c r="J74" s="121">
        <f>$C$23</f>
        <v>2.1000000000000001E-2</v>
      </c>
      <c r="K74" s="119">
        <f>K73*(1-J74)</f>
        <v>0.31976886258916609</v>
      </c>
      <c r="L74" s="118">
        <f>(1+$C$35)^(-I74/12)</f>
        <v>0.93565608082301777</v>
      </c>
      <c r="M74" s="117">
        <f>$C$30</f>
        <v>6000</v>
      </c>
    </row>
    <row r="75" spans="2:13" x14ac:dyDescent="0.3">
      <c r="B75">
        <f>B74+1</f>
        <v>28</v>
      </c>
      <c r="C75" s="121">
        <f>$D$10</f>
        <v>0.02</v>
      </c>
      <c r="D75" s="119">
        <f>D74*(1-C75)</f>
        <v>0.30092681958711265</v>
      </c>
      <c r="E75" s="118">
        <f>(1+$C$35)^(-B75/12)</f>
        <v>0.93335417762788064</v>
      </c>
      <c r="F75" s="117">
        <f>$C$30</f>
        <v>6000</v>
      </c>
      <c r="I75">
        <f>I74+1</f>
        <v>28</v>
      </c>
      <c r="J75" s="121">
        <f>$C$23</f>
        <v>2.1000000000000001E-2</v>
      </c>
      <c r="K75" s="119">
        <f>K74*(1-J75)</f>
        <v>0.31305371647479358</v>
      </c>
      <c r="L75" s="118">
        <f>(1+$C$35)^(-I75/12)</f>
        <v>0.93335417762788064</v>
      </c>
      <c r="M75" s="117">
        <f>$C$30</f>
        <v>6000</v>
      </c>
    </row>
    <row r="76" spans="2:13" x14ac:dyDescent="0.3">
      <c r="B76">
        <f>B75+1</f>
        <v>29</v>
      </c>
      <c r="C76" s="121">
        <f>$D$10</f>
        <v>0.02</v>
      </c>
      <c r="D76" s="119">
        <f>D75*(1-C76)</f>
        <v>0.29490828319537038</v>
      </c>
      <c r="E76" s="118">
        <f>(1+$C$35)^(-B76/12)</f>
        <v>0.93105793758016342</v>
      </c>
      <c r="F76" s="117">
        <f>$C$30</f>
        <v>6000</v>
      </c>
      <c r="I76">
        <f>I75+1</f>
        <v>29</v>
      </c>
      <c r="J76" s="121">
        <f>$C$23</f>
        <v>2.1000000000000001E-2</v>
      </c>
      <c r="K76" s="119">
        <f>K75*(1-J76)</f>
        <v>0.30647958842882289</v>
      </c>
      <c r="L76" s="118">
        <f>(1+$C$35)^(-I76/12)</f>
        <v>0.93105793758016342</v>
      </c>
      <c r="M76" s="117">
        <f>$C$30</f>
        <v>6000</v>
      </c>
    </row>
    <row r="77" spans="2:13" x14ac:dyDescent="0.3">
      <c r="B77">
        <f>B76+1</f>
        <v>30</v>
      </c>
      <c r="C77" s="121">
        <f>$D$10</f>
        <v>0.02</v>
      </c>
      <c r="D77" s="119">
        <f>D76*(1-C77)</f>
        <v>0.28901011753146294</v>
      </c>
      <c r="E77" s="118">
        <f>(1+$C$35)^(-B77/12)</f>
        <v>0.92876734674737782</v>
      </c>
      <c r="F77" s="117">
        <f>$C$30</f>
        <v>6000</v>
      </c>
      <c r="I77">
        <f>I76+1</f>
        <v>30</v>
      </c>
      <c r="J77" s="121">
        <f>$C$23</f>
        <v>2.1000000000000001E-2</v>
      </c>
      <c r="K77" s="119">
        <f>K76*(1-J77)</f>
        <v>0.30004351707181759</v>
      </c>
      <c r="L77" s="118">
        <f>(1+$C$35)^(-I77/12)</f>
        <v>0.92876734674737782</v>
      </c>
      <c r="M77" s="117">
        <f>$C$30</f>
        <v>6000</v>
      </c>
    </row>
    <row r="78" spans="2:13" x14ac:dyDescent="0.3">
      <c r="B78">
        <f>B77+1</f>
        <v>31</v>
      </c>
      <c r="C78" s="121">
        <f>$D$10</f>
        <v>0.02</v>
      </c>
      <c r="D78" s="119">
        <f>D77*(1-C78)</f>
        <v>0.28322991518083368</v>
      </c>
      <c r="E78" s="118">
        <f>(1+$C$35)^(-B78/12)</f>
        <v>0.92648239123131249</v>
      </c>
      <c r="F78" s="117">
        <f>$C$30</f>
        <v>6000</v>
      </c>
      <c r="I78">
        <f>I77+1</f>
        <v>31</v>
      </c>
      <c r="J78" s="121">
        <f>$C$23</f>
        <v>2.1000000000000001E-2</v>
      </c>
      <c r="K78" s="119">
        <f>K77*(1-J78)</f>
        <v>0.29374260321330942</v>
      </c>
      <c r="L78" s="118">
        <f>(1+$C$35)^(-I78/12)</f>
        <v>0.92648239123131249</v>
      </c>
      <c r="M78" s="117">
        <f>$C$30</f>
        <v>6000</v>
      </c>
    </row>
    <row r="79" spans="2:13" x14ac:dyDescent="0.3">
      <c r="B79">
        <f>B78+1</f>
        <v>32</v>
      </c>
      <c r="C79" s="121">
        <f>$D$10</f>
        <v>0.02</v>
      </c>
      <c r="D79" s="119">
        <f>D78*(1-C79)</f>
        <v>0.27756531687721703</v>
      </c>
      <c r="E79" s="118">
        <f>(1+$C$35)^(-B79/12)</f>
        <v>0.92420305716794848</v>
      </c>
      <c r="F79" s="117">
        <f>$C$30</f>
        <v>6000</v>
      </c>
      <c r="I79">
        <f>I78+1</f>
        <v>32</v>
      </c>
      <c r="J79" s="121">
        <f>$C$23</f>
        <v>2.1000000000000001E-2</v>
      </c>
      <c r="K79" s="119">
        <f>K78*(1-J79)</f>
        <v>0.28757400854582993</v>
      </c>
      <c r="L79" s="118">
        <f>(1+$C$35)^(-I79/12)</f>
        <v>0.92420305716794848</v>
      </c>
      <c r="M79" s="117">
        <f>$C$30</f>
        <v>6000</v>
      </c>
    </row>
    <row r="80" spans="2:13" x14ac:dyDescent="0.3">
      <c r="B80">
        <f>B79+1</f>
        <v>33</v>
      </c>
      <c r="C80" s="121">
        <f>$D$10</f>
        <v>0.02</v>
      </c>
      <c r="D80" s="119">
        <f>D79*(1-C80)</f>
        <v>0.27201401053967267</v>
      </c>
      <c r="E80" s="118">
        <f>(1+$C$35)^(-B80/12)</f>
        <v>0.9219293307273756</v>
      </c>
      <c r="F80" s="117">
        <f>$C$30</f>
        <v>6000</v>
      </c>
      <c r="I80">
        <f>I79+1</f>
        <v>33</v>
      </c>
      <c r="J80" s="121">
        <f>$C$23</f>
        <v>2.1000000000000001E-2</v>
      </c>
      <c r="K80" s="119">
        <f>K79*(1-J80)</f>
        <v>0.2815349543663675</v>
      </c>
      <c r="L80" s="118">
        <f>(1+$C$35)^(-I80/12)</f>
        <v>0.9219293307273756</v>
      </c>
      <c r="M80" s="117">
        <f>$C$30</f>
        <v>6000</v>
      </c>
    </row>
    <row r="81" spans="2:13" x14ac:dyDescent="0.3">
      <c r="B81">
        <f>B80+1</f>
        <v>34</v>
      </c>
      <c r="C81" s="121">
        <f>$D$10</f>
        <v>0.02</v>
      </c>
      <c r="D81" s="119">
        <f>D80*(1-C81)</f>
        <v>0.26657373032887921</v>
      </c>
      <c r="E81" s="118">
        <f>(1+$C$35)^(-B81/12)</f>
        <v>0.91966119811370717</v>
      </c>
      <c r="F81" s="117">
        <f>$C$30</f>
        <v>6000</v>
      </c>
      <c r="I81">
        <f>I80+1</f>
        <v>34</v>
      </c>
      <c r="J81" s="121">
        <f>$C$23</f>
        <v>2.1000000000000001E-2</v>
      </c>
      <c r="K81" s="119">
        <f>K80*(1-J81)</f>
        <v>0.27562272032467378</v>
      </c>
      <c r="L81" s="118">
        <f>(1+$C$35)^(-I81/12)</f>
        <v>0.91966119811370717</v>
      </c>
      <c r="M81" s="117">
        <f>$C$30</f>
        <v>6000</v>
      </c>
    </row>
    <row r="82" spans="2:13" x14ac:dyDescent="0.3">
      <c r="B82">
        <f>B81+1</f>
        <v>35</v>
      </c>
      <c r="C82" s="121">
        <f>$D$10</f>
        <v>0.02</v>
      </c>
      <c r="D82" s="119">
        <f>D81*(1-C82)</f>
        <v>0.26124225572230164</v>
      </c>
      <c r="E82" s="118">
        <f>(1+$C$35)^(-B82/12)</f>
        <v>0.91739864556499795</v>
      </c>
      <c r="F82" s="117">
        <f>$C$30</f>
        <v>6000</v>
      </c>
      <c r="I82">
        <f>I81+1</f>
        <v>35</v>
      </c>
      <c r="J82" s="121">
        <f>$C$23</f>
        <v>2.1000000000000001E-2</v>
      </c>
      <c r="K82" s="119">
        <f>K81*(1-J82)</f>
        <v>0.26983464319785561</v>
      </c>
      <c r="L82" s="118">
        <f>(1+$C$35)^(-I82/12)</f>
        <v>0.91739864556499795</v>
      </c>
      <c r="M82" s="117">
        <f>$C$30</f>
        <v>6000</v>
      </c>
    </row>
    <row r="83" spans="2:13" x14ac:dyDescent="0.3">
      <c r="B83">
        <f>B82+1</f>
        <v>36</v>
      </c>
      <c r="C83" s="120">
        <f>$D$10</f>
        <v>0.02</v>
      </c>
      <c r="D83" s="119">
        <f>D82*(1-C83)</f>
        <v>0.2560174106078556</v>
      </c>
      <c r="E83" s="118">
        <f>(1+$C$35)^(-B83/12)</f>
        <v>0.91514165935315961</v>
      </c>
      <c r="F83" s="117">
        <f>$C$30</f>
        <v>6000</v>
      </c>
      <c r="I83">
        <f>I82+1</f>
        <v>36</v>
      </c>
      <c r="J83" s="120">
        <f>$C$23</f>
        <v>2.1000000000000001E-2</v>
      </c>
      <c r="K83" s="119">
        <f>K82*(1-J83)</f>
        <v>0.26416811569070064</v>
      </c>
      <c r="L83" s="118">
        <f>(1+$C$35)^(-I83/12)</f>
        <v>0.91514165935315961</v>
      </c>
      <c r="M83" s="117">
        <f>$C$30</f>
        <v>6000</v>
      </c>
    </row>
    <row r="84" spans="2:13" x14ac:dyDescent="0.3">
      <c r="B84">
        <f>B83+1</f>
        <v>37</v>
      </c>
      <c r="C84" s="122">
        <f>$D$11</f>
        <v>1.9E-2</v>
      </c>
      <c r="D84" s="119">
        <f>D83*(1-C84)</f>
        <v>0.25115307980630636</v>
      </c>
      <c r="E84" s="118">
        <f>(1+$C$35)^(-B84/12)</f>
        <v>0.91289022578387735</v>
      </c>
      <c r="F84" s="117">
        <f>$C$30</f>
        <v>6000</v>
      </c>
      <c r="I84">
        <f>I83+1</f>
        <v>37</v>
      </c>
      <c r="J84" s="122">
        <f>$C$24</f>
        <v>2.1000000000000001E-2</v>
      </c>
      <c r="K84" s="119">
        <f>K83*(1-J84)</f>
        <v>0.25862058526119591</v>
      </c>
      <c r="L84" s="118">
        <f>(1+$C$35)^(-I84/12)</f>
        <v>0.91289022578387735</v>
      </c>
      <c r="M84" s="117">
        <f>$C$30</f>
        <v>6000</v>
      </c>
    </row>
    <row r="85" spans="2:13" x14ac:dyDescent="0.3">
      <c r="B85">
        <f>B84+1</f>
        <v>38</v>
      </c>
      <c r="C85" s="121">
        <f>$D$11</f>
        <v>1.9E-2</v>
      </c>
      <c r="D85" s="119">
        <f>D84*(1-C85)</f>
        <v>0.24638117128998654</v>
      </c>
      <c r="E85" s="118">
        <f>(1+$C$35)^(-B85/12)</f>
        <v>0.91064433119652777</v>
      </c>
      <c r="F85" s="117">
        <f>$C$30</f>
        <v>6000</v>
      </c>
      <c r="I85">
        <f>I84+1</f>
        <v>38</v>
      </c>
      <c r="J85" s="121">
        <f>$C$24</f>
        <v>2.1000000000000001E-2</v>
      </c>
      <c r="K85" s="119">
        <f>K84*(1-J85)</f>
        <v>0.25318955297071077</v>
      </c>
      <c r="L85" s="118">
        <f>(1+$C$35)^(-I85/12)</f>
        <v>0.91064433119652777</v>
      </c>
      <c r="M85" s="117">
        <f>$C$30</f>
        <v>6000</v>
      </c>
    </row>
    <row r="86" spans="2:13" x14ac:dyDescent="0.3">
      <c r="B86">
        <f>B85+1</f>
        <v>39</v>
      </c>
      <c r="C86" s="120">
        <f>$D$11</f>
        <v>1.9E-2</v>
      </c>
      <c r="D86" s="119">
        <f>D85*(1-C86)</f>
        <v>0.2416999290354768</v>
      </c>
      <c r="E86" s="118">
        <f>(1+$C$35)^(-B86/12)</f>
        <v>0.9084039619640949</v>
      </c>
      <c r="F86" s="117">
        <f>$C$30</f>
        <v>6000</v>
      </c>
      <c r="I86">
        <f>I85+1</f>
        <v>39</v>
      </c>
      <c r="J86" s="120">
        <f>$C$24</f>
        <v>2.1000000000000001E-2</v>
      </c>
      <c r="K86" s="119">
        <f>K85*(1-J86)</f>
        <v>0.24787257235832585</v>
      </c>
      <c r="L86" s="118">
        <f>(1+$C$35)^(-I86/12)</f>
        <v>0.9084039619640949</v>
      </c>
      <c r="M86" s="117">
        <f>$C$30</f>
        <v>6000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6CE723-2110-4AB1-A9D6-46AA143033B8}"/>
</file>

<file path=customXml/itemProps2.xml><?xml version="1.0" encoding="utf-8"?>
<ds:datastoreItem xmlns:ds="http://schemas.openxmlformats.org/officeDocument/2006/customXml" ds:itemID="{93A63DBA-33E4-450D-BD81-9B0D00E27A80}"/>
</file>

<file path=customXml/itemProps3.xml><?xml version="1.0" encoding="utf-8"?>
<ds:datastoreItem xmlns:ds="http://schemas.openxmlformats.org/officeDocument/2006/customXml" ds:itemID="{10219604-B939-467C-9BA6-EE652C0E7C40}"/>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Info for 2(c)</vt:lpstr>
      <vt:lpstr>Q2(c)</vt:lpstr>
      <vt:lpstr>Question c</vt:lpstr>
      <vt:lpstr>Solution c</vt:lpstr>
      <vt:lpstr>Question d</vt:lpstr>
      <vt:lpstr>Mortality</vt:lpstr>
      <vt:lpstr>Termination</vt:lpstr>
      <vt:lpstr>Solution d</vt:lpstr>
      <vt:lpstr>Q4 Solution</vt:lpstr>
      <vt:lpstr>Q6 Solution b</vt:lpstr>
      <vt:lpstr>Q6 Solution c</vt:lpstr>
      <vt:lpstr>Continuance Rates</vt:lpstr>
      <vt:lpstr>Q7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Bohn, Kristi</dc:creator>
  <cp:lastModifiedBy>Mark Dulceak</cp:lastModifiedBy>
  <dcterms:created xsi:type="dcterms:W3CDTF">2025-07-19T20:35:35Z</dcterms:created>
  <dcterms:modified xsi:type="dcterms:W3CDTF">2026-01-07T16:17:46Z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2025-07-19T21:09:38Z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04478c38-6b9e-4407-a8d1-3c497f98f30b</vt:lpwstr>
  </property>
  <property fmtid="{D5CDD505-2E9C-101B-9397-08002B2CF9AE}" pid="8" name="MSIP_Label_38f1469a-2c2a-4aee-b92b-090d4c5468ff_ContentBits">
    <vt:lpwstr>0</vt:lpwstr>
  </property>
  <property fmtid="{D5CDD505-2E9C-101B-9397-08002B2CF9AE}" pid="9" name="MSIP_Label_38f1469a-2c2a-4aee-b92b-090d4c5468ff_Tag">
    <vt:lpwstr>10, 3, 0, 1</vt:lpwstr>
  </property>
  <property fmtid="{D5CDD505-2E9C-101B-9397-08002B2CF9AE}" pid="10" name="MPR_DocID">
    <vt:lpwstr>05fdf81e6e4e4e77ac4b671d7a824f9d</vt:lpwstr>
  </property>
  <property fmtid="{D5CDD505-2E9C-101B-9397-08002B2CF9AE}" pid="11" name="MSIP_Label_5758520d-550d-4582-9d54-20c7a1f3bf90_Enabled">
    <vt:lpwstr>true</vt:lpwstr>
  </property>
  <property fmtid="{D5CDD505-2E9C-101B-9397-08002B2CF9AE}" pid="12" name="MSIP_Label_5758520d-550d-4582-9d54-20c7a1f3bf90_SetDate">
    <vt:lpwstr>2025-12-12T21:11:10Z</vt:lpwstr>
  </property>
  <property fmtid="{D5CDD505-2E9C-101B-9397-08002B2CF9AE}" pid="13" name="MSIP_Label_5758520d-550d-4582-9d54-20c7a1f3bf90_Method">
    <vt:lpwstr>Privileged</vt:lpwstr>
  </property>
  <property fmtid="{D5CDD505-2E9C-101B-9397-08002B2CF9AE}" pid="14" name="MSIP_Label_5758520d-550d-4582-9d54-20c7a1f3bf90_Name">
    <vt:lpwstr>Confidential</vt:lpwstr>
  </property>
  <property fmtid="{D5CDD505-2E9C-101B-9397-08002B2CF9AE}" pid="15" name="MSIP_Label_5758520d-550d-4582-9d54-20c7a1f3bf90_SiteId">
    <vt:lpwstr>3425dff1-3121-4de4-a918-893fc94ebbbc</vt:lpwstr>
  </property>
  <property fmtid="{D5CDD505-2E9C-101B-9397-08002B2CF9AE}" pid="16" name="MSIP_Label_5758520d-550d-4582-9d54-20c7a1f3bf90_ActionId">
    <vt:lpwstr>bd4c315c-c2fb-4f1e-b651-6bb447ac4b3f</vt:lpwstr>
  </property>
  <property fmtid="{D5CDD505-2E9C-101B-9397-08002B2CF9AE}" pid="17" name="MSIP_Label_5758520d-550d-4582-9d54-20c7a1f3bf90_ContentBits">
    <vt:lpwstr>0</vt:lpwstr>
  </property>
  <property fmtid="{D5CDD505-2E9C-101B-9397-08002B2CF9AE}" pid="18" name="MSIP_Label_5758520d-550d-4582-9d54-20c7a1f3bf90_Tag">
    <vt:lpwstr>10, 0, 1, 1</vt:lpwstr>
  </property>
  <property fmtid="{D5CDD505-2E9C-101B-9397-08002B2CF9AE}" pid="19" name="ContentTypeId">
    <vt:lpwstr>0x010100A13D16CE4023BB4BB4110DFC2802C897</vt:lpwstr>
  </property>
</Properties>
</file>