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9" documentId="13_ncr:1_{5F3ADDC4-30E4-458F-9D24-A336881F1833}" xr6:coauthVersionLast="47" xr6:coauthVersionMax="47" xr10:uidLastSave="{F4ED22B3-67AC-4BF5-8FF7-F8F8C0151C6D}"/>
  <bookViews>
    <workbookView xWindow="28680" yWindow="-120" windowWidth="38640" windowHeight="21120" xr2:uid="{00000000-000D-0000-FFFF-FFFF00000000}"/>
  </bookViews>
  <sheets>
    <sheet name="Cover " sheetId="22" r:id="rId1"/>
    <sheet name="Q1 LO 1a 1b Skwire Ch 7" sheetId="2" r:id="rId2"/>
    <sheet name="A1" sheetId="3" r:id="rId3"/>
    <sheet name="Q2 LO 2a 2c 2d Skwire Ch 23" sheetId="4" r:id="rId4"/>
    <sheet name="A2" sheetId="5" r:id="rId5"/>
    <sheet name="Q3 LO 2a 2d Skwire Ch 21" sheetId="6" r:id="rId6"/>
    <sheet name="A3" sheetId="7" r:id="rId7"/>
    <sheet name="Q4 LO 2a 2d Skwire Ch 21" sheetId="8" r:id="rId8"/>
    <sheet name="A4" sheetId="9" r:id="rId9"/>
    <sheet name="Q5 LO 2a 2d Skwire Ch 22" sheetId="10" r:id="rId10"/>
    <sheet name="A5" sheetId="11" r:id="rId11"/>
    <sheet name="Q6 LO 2a 2d Skwire Ch 22" sheetId="12" r:id="rId12"/>
    <sheet name="A6" sheetId="13" r:id="rId13"/>
    <sheet name="Q7 LO 2a 2c 2d 2e Skwire Ch 24" sheetId="14" r:id="rId14"/>
    <sheet name="A7" sheetId="15" r:id="rId15"/>
    <sheet name="Q8 LO 2a 2c 2d 2e Skwire Ch 24" sheetId="16" r:id="rId16"/>
    <sheet name="A8" sheetId="17" r:id="rId17"/>
    <sheet name="Q9 LO 2a 2d Skwire Ch 21" sheetId="18" r:id="rId18"/>
    <sheet name="A9" sheetId="19" r:id="rId19"/>
    <sheet name="Q10 LO 2a 2c 2d Skwire Ch 22" sheetId="20" r:id="rId20"/>
    <sheet name="A10" sheetId="21" r:id="rId21"/>
  </sheets>
  <externalReferences>
    <externalReference r:id="rId22"/>
  </externalReferences>
  <definedNames>
    <definedName name="Non_Fac">'[1]User Input'!$C$74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3" i="21" l="1"/>
  <c r="H43" i="21"/>
  <c r="G43" i="21"/>
  <c r="G197" i="17"/>
  <c r="G196" i="17"/>
  <c r="G195" i="17"/>
  <c r="G194" i="17"/>
  <c r="G193" i="17"/>
  <c r="G192" i="17"/>
  <c r="G191" i="17"/>
  <c r="G190" i="17"/>
  <c r="G189" i="17"/>
  <c r="G188" i="17"/>
  <c r="G187" i="17"/>
  <c r="G186" i="17"/>
  <c r="G185" i="17"/>
  <c r="G184" i="17"/>
  <c r="G183" i="17"/>
  <c r="G182" i="17"/>
  <c r="G181" i="17"/>
  <c r="G180" i="17"/>
  <c r="G179" i="17"/>
  <c r="G178" i="17"/>
  <c r="G104" i="17"/>
  <c r="G103" i="17"/>
  <c r="G102" i="17"/>
  <c r="G101" i="17"/>
  <c r="G100" i="17"/>
  <c r="G99" i="17"/>
  <c r="G98" i="17"/>
  <c r="G97" i="17"/>
  <c r="G96" i="17"/>
  <c r="G95" i="17"/>
  <c r="G94" i="17"/>
  <c r="G93" i="17"/>
  <c r="G92" i="17"/>
  <c r="G91" i="17"/>
  <c r="G90" i="17"/>
  <c r="G89" i="17"/>
  <c r="G88" i="17"/>
  <c r="G87" i="17"/>
  <c r="G86" i="17"/>
  <c r="G85" i="17"/>
  <c r="C90" i="13"/>
  <c r="F68" i="5"/>
  <c r="E68" i="5"/>
  <c r="D68" i="5"/>
  <c r="F51" i="5"/>
  <c r="E51" i="5"/>
  <c r="D51" i="5"/>
  <c r="F33" i="5"/>
  <c r="E33" i="5"/>
  <c r="D33" i="5"/>
  <c r="L45" i="3"/>
  <c r="K45" i="3"/>
  <c r="J45" i="3"/>
  <c r="I45" i="3"/>
  <c r="H45" i="3"/>
  <c r="G45" i="3"/>
  <c r="F45" i="3"/>
  <c r="E45" i="3"/>
  <c r="D45" i="3"/>
  <c r="F46" i="3"/>
  <c r="C38" i="21"/>
  <c r="C46" i="21" s="1"/>
  <c r="C49" i="21" s="1"/>
  <c r="D38" i="21"/>
  <c r="E38" i="21"/>
  <c r="G38" i="21"/>
  <c r="H38" i="21"/>
  <c r="I38" i="21"/>
  <c r="C40" i="21"/>
  <c r="D40" i="21"/>
  <c r="E40" i="21"/>
  <c r="G40" i="21"/>
  <c r="H40" i="21"/>
  <c r="I40" i="21"/>
  <c r="C41" i="21"/>
  <c r="D41" i="21"/>
  <c r="E41" i="21"/>
  <c r="E46" i="21" s="1"/>
  <c r="E49" i="21" s="1"/>
  <c r="G41" i="21"/>
  <c r="H41" i="21"/>
  <c r="I41" i="21"/>
  <c r="C42" i="21"/>
  <c r="D42" i="21"/>
  <c r="E42" i="21"/>
  <c r="G42" i="21"/>
  <c r="H42" i="21"/>
  <c r="I42" i="21"/>
  <c r="C44" i="21"/>
  <c r="D44" i="21"/>
  <c r="E44" i="21"/>
  <c r="G44" i="21"/>
  <c r="H44" i="21"/>
  <c r="I44" i="21"/>
  <c r="B68" i="21"/>
  <c r="B96" i="21" s="1"/>
  <c r="C68" i="21"/>
  <c r="D68" i="21"/>
  <c r="D96" i="21" s="1"/>
  <c r="E68" i="21"/>
  <c r="B69" i="21"/>
  <c r="B97" i="21" s="1"/>
  <c r="C69" i="21"/>
  <c r="E97" i="21" s="1"/>
  <c r="D69" i="21"/>
  <c r="D81" i="21" s="1"/>
  <c r="E69" i="21"/>
  <c r="B70" i="21"/>
  <c r="B82" i="21" s="1"/>
  <c r="C70" i="21"/>
  <c r="D70" i="21"/>
  <c r="B71" i="21"/>
  <c r="B83" i="21" s="1"/>
  <c r="C71" i="21"/>
  <c r="D71" i="21"/>
  <c r="C83" i="21" s="1"/>
  <c r="E71" i="21"/>
  <c r="B72" i="21"/>
  <c r="B100" i="21" s="1"/>
  <c r="C72" i="21"/>
  <c r="D72" i="21"/>
  <c r="E100" i="21" s="1"/>
  <c r="E72" i="21"/>
  <c r="B73" i="21"/>
  <c r="B85" i="21" s="1"/>
  <c r="C73" i="21"/>
  <c r="E73" i="21" s="1"/>
  <c r="D85" i="21" s="1"/>
  <c r="D73" i="21"/>
  <c r="B74" i="21"/>
  <c r="C74" i="21"/>
  <c r="D74" i="21"/>
  <c r="E74" i="21"/>
  <c r="B75" i="21"/>
  <c r="B87" i="21" s="1"/>
  <c r="C75" i="21"/>
  <c r="C87" i="21" s="1"/>
  <c r="D75" i="21"/>
  <c r="E75" i="21"/>
  <c r="B78" i="21"/>
  <c r="B79" i="21"/>
  <c r="C81" i="21"/>
  <c r="B86" i="21"/>
  <c r="B94" i="21"/>
  <c r="C94" i="21"/>
  <c r="B95" i="21"/>
  <c r="C95" i="21"/>
  <c r="D95" i="21"/>
  <c r="C96" i="21"/>
  <c r="C97" i="21"/>
  <c r="C98" i="21"/>
  <c r="D98" i="21"/>
  <c r="E98" i="21"/>
  <c r="B99" i="21"/>
  <c r="C99" i="21"/>
  <c r="D99" i="21"/>
  <c r="E99" i="21"/>
  <c r="C100" i="21"/>
  <c r="D101" i="21"/>
  <c r="B102" i="21"/>
  <c r="D102" i="21"/>
  <c r="D103" i="21"/>
  <c r="E103" i="21"/>
  <c r="C106" i="21"/>
  <c r="C109" i="21"/>
  <c r="C117" i="21"/>
  <c r="B40" i="19"/>
  <c r="C40" i="19"/>
  <c r="D40" i="19"/>
  <c r="G40" i="19" s="1"/>
  <c r="E40" i="19"/>
  <c r="H40" i="19" s="1"/>
  <c r="B41" i="19"/>
  <c r="C41" i="19"/>
  <c r="D41" i="19"/>
  <c r="E41" i="19"/>
  <c r="H41" i="19"/>
  <c r="B42" i="19"/>
  <c r="C42" i="19"/>
  <c r="D42" i="19"/>
  <c r="G42" i="19" s="1"/>
  <c r="E42" i="19"/>
  <c r="B43" i="19"/>
  <c r="C43" i="19"/>
  <c r="D43" i="19"/>
  <c r="E43" i="19"/>
  <c r="G43" i="19"/>
  <c r="H43" i="19"/>
  <c r="E44" i="19"/>
  <c r="D50" i="19"/>
  <c r="E50" i="19"/>
  <c r="F50" i="19"/>
  <c r="E51" i="19" s="1"/>
  <c r="D53" i="19"/>
  <c r="E53" i="19"/>
  <c r="F53" i="19"/>
  <c r="D54" i="19" s="1"/>
  <c r="D56" i="19"/>
  <c r="E56" i="19"/>
  <c r="F56" i="19"/>
  <c r="D57" i="19"/>
  <c r="E57" i="19"/>
  <c r="C68" i="19"/>
  <c r="C69" i="19"/>
  <c r="C70" i="19" s="1"/>
  <c r="C75" i="19"/>
  <c r="C76" i="19"/>
  <c r="D87" i="21" l="1"/>
  <c r="G46" i="21"/>
  <c r="G49" i="21" s="1"/>
  <c r="G51" i="21" s="1"/>
  <c r="C55" i="21" s="1"/>
  <c r="D46" i="21"/>
  <c r="E96" i="21"/>
  <c r="E101" i="21"/>
  <c r="I46" i="21"/>
  <c r="H46" i="21"/>
  <c r="C85" i="21"/>
  <c r="C103" i="21"/>
  <c r="B98" i="21"/>
  <c r="D86" i="21"/>
  <c r="G97" i="21"/>
  <c r="G98" i="21" s="1"/>
  <c r="H97" i="21" s="1"/>
  <c r="C107" i="21" s="1"/>
  <c r="C86" i="21"/>
  <c r="C101" i="21"/>
  <c r="D100" i="21"/>
  <c r="D97" i="21"/>
  <c r="C82" i="21"/>
  <c r="D44" i="19"/>
  <c r="H42" i="19"/>
  <c r="H44" i="19" s="1"/>
  <c r="E48" i="19" s="1"/>
  <c r="D49" i="21"/>
  <c r="D51" i="21" s="1"/>
  <c r="I49" i="21"/>
  <c r="I51" i="21" s="1"/>
  <c r="H49" i="21"/>
  <c r="H51" i="21" s="1"/>
  <c r="E51" i="21"/>
  <c r="B81" i="21"/>
  <c r="B103" i="21"/>
  <c r="B101" i="21"/>
  <c r="C84" i="21"/>
  <c r="C80" i="21"/>
  <c r="E70" i="21"/>
  <c r="D82" i="21" s="1"/>
  <c r="C51" i="21"/>
  <c r="B84" i="21"/>
  <c r="B80" i="21"/>
  <c r="D84" i="21"/>
  <c r="D80" i="21"/>
  <c r="E102" i="21"/>
  <c r="D83" i="21"/>
  <c r="C102" i="21"/>
  <c r="G41" i="19"/>
  <c r="G44" i="19" s="1"/>
  <c r="D48" i="19" s="1"/>
  <c r="D51" i="19"/>
  <c r="E54" i="19"/>
  <c r="B59" i="17"/>
  <c r="C59" i="17"/>
  <c r="D59" i="17"/>
  <c r="G59" i="17" s="1"/>
  <c r="F59" i="17"/>
  <c r="B60" i="17"/>
  <c r="C60" i="17"/>
  <c r="D60" i="17"/>
  <c r="F60" i="17"/>
  <c r="F153" i="17" s="1"/>
  <c r="G60" i="17"/>
  <c r="B61" i="17"/>
  <c r="B127" i="17" s="1"/>
  <c r="B154" i="17" s="1"/>
  <c r="C61" i="17"/>
  <c r="C127" i="17" s="1"/>
  <c r="D61" i="17"/>
  <c r="F61" i="17"/>
  <c r="G61" i="17"/>
  <c r="B62" i="17"/>
  <c r="B128" i="17" s="1"/>
  <c r="C62" i="17"/>
  <c r="D62" i="17"/>
  <c r="D128" i="17" s="1"/>
  <c r="G128" i="17" s="1"/>
  <c r="F62" i="17"/>
  <c r="F155" i="17" s="1"/>
  <c r="G62" i="17"/>
  <c r="B63" i="17"/>
  <c r="B129" i="17" s="1"/>
  <c r="B156" i="17" s="1"/>
  <c r="C63" i="17"/>
  <c r="C129" i="17" s="1"/>
  <c r="F129" i="17" s="1"/>
  <c r="D63" i="17"/>
  <c r="F63" i="17"/>
  <c r="F156" i="17" s="1"/>
  <c r="B64" i="17"/>
  <c r="C64" i="17"/>
  <c r="D64" i="17"/>
  <c r="G64" i="17" s="1"/>
  <c r="F64" i="17"/>
  <c r="B65" i="17"/>
  <c r="B131" i="17" s="1"/>
  <c r="B158" i="17" s="1"/>
  <c r="C65" i="17"/>
  <c r="C131" i="17" s="1"/>
  <c r="F131" i="17" s="1"/>
  <c r="D65" i="17"/>
  <c r="D131" i="17" s="1"/>
  <c r="F65" i="17"/>
  <c r="F158" i="17" s="1"/>
  <c r="G65" i="17"/>
  <c r="B66" i="17"/>
  <c r="B132" i="17" s="1"/>
  <c r="B159" i="17" s="1"/>
  <c r="C66" i="17"/>
  <c r="C132" i="17" s="1"/>
  <c r="F132" i="17" s="1"/>
  <c r="D66" i="17"/>
  <c r="G66" i="17" s="1"/>
  <c r="F66" i="17"/>
  <c r="B67" i="17"/>
  <c r="C67" i="17"/>
  <c r="D67" i="17"/>
  <c r="G67" i="17" s="1"/>
  <c r="F67" i="17"/>
  <c r="F160" i="17" s="1"/>
  <c r="B68" i="17"/>
  <c r="B134" i="17" s="1"/>
  <c r="B161" i="17" s="1"/>
  <c r="C68" i="17"/>
  <c r="C134" i="17" s="1"/>
  <c r="F134" i="17" s="1"/>
  <c r="D68" i="17"/>
  <c r="F68" i="17"/>
  <c r="F161" i="17" s="1"/>
  <c r="B69" i="17"/>
  <c r="B135" i="17" s="1"/>
  <c r="B162" i="17" s="1"/>
  <c r="C69" i="17"/>
  <c r="C135" i="17" s="1"/>
  <c r="D69" i="17"/>
  <c r="F69" i="17"/>
  <c r="G69" i="17"/>
  <c r="B70" i="17"/>
  <c r="B136" i="17" s="1"/>
  <c r="B163" i="17" s="1"/>
  <c r="C70" i="17"/>
  <c r="D70" i="17"/>
  <c r="F70" i="17"/>
  <c r="F163" i="17" s="1"/>
  <c r="B71" i="17"/>
  <c r="C71" i="17"/>
  <c r="D71" i="17"/>
  <c r="G71" i="17" s="1"/>
  <c r="F71" i="17"/>
  <c r="F164" i="17" s="1"/>
  <c r="B72" i="17"/>
  <c r="C72" i="17"/>
  <c r="C138" i="17" s="1"/>
  <c r="F138" i="17" s="1"/>
  <c r="C165" i="17" s="1"/>
  <c r="D72" i="17"/>
  <c r="D138" i="17" s="1"/>
  <c r="F72" i="17"/>
  <c r="B73" i="17"/>
  <c r="B139" i="17" s="1"/>
  <c r="B166" i="17" s="1"/>
  <c r="C73" i="17"/>
  <c r="C139" i="17" s="1"/>
  <c r="F139" i="17" s="1"/>
  <c r="D73" i="17"/>
  <c r="D139" i="17" s="1"/>
  <c r="F73" i="17"/>
  <c r="G73" i="17"/>
  <c r="B74" i="17"/>
  <c r="B140" i="17" s="1"/>
  <c r="B167" i="17" s="1"/>
  <c r="C74" i="17"/>
  <c r="C140" i="17" s="1"/>
  <c r="F140" i="17" s="1"/>
  <c r="D74" i="17"/>
  <c r="F74" i="17"/>
  <c r="F167" i="17" s="1"/>
  <c r="G74" i="17"/>
  <c r="B75" i="17"/>
  <c r="C75" i="17"/>
  <c r="C141" i="17" s="1"/>
  <c r="F141" i="17" s="1"/>
  <c r="D75" i="17"/>
  <c r="F75" i="17"/>
  <c r="F168" i="17" s="1"/>
  <c r="B76" i="17"/>
  <c r="B142" i="17" s="1"/>
  <c r="B169" i="17" s="1"/>
  <c r="C76" i="17"/>
  <c r="C142" i="17" s="1"/>
  <c r="F142" i="17" s="1"/>
  <c r="C169" i="17" s="1"/>
  <c r="D76" i="17"/>
  <c r="G76" i="17" s="1"/>
  <c r="F76" i="17"/>
  <c r="F169" i="17" s="1"/>
  <c r="B77" i="17"/>
  <c r="B143" i="17" s="1"/>
  <c r="B170" i="17" s="1"/>
  <c r="C77" i="17"/>
  <c r="D77" i="17"/>
  <c r="D143" i="17" s="1"/>
  <c r="F77" i="17"/>
  <c r="F170" i="17" s="1"/>
  <c r="B78" i="17"/>
  <c r="B144" i="17" s="1"/>
  <c r="B171" i="17" s="1"/>
  <c r="C78" i="17"/>
  <c r="C144" i="17" s="1"/>
  <c r="F144" i="17" s="1"/>
  <c r="C171" i="17" s="1"/>
  <c r="D78" i="17"/>
  <c r="D144" i="17" s="1"/>
  <c r="F78" i="17"/>
  <c r="F171" i="17" s="1"/>
  <c r="G78" i="17"/>
  <c r="C85" i="17"/>
  <c r="C90" i="17" s="1"/>
  <c r="F104" i="17" s="1"/>
  <c r="E85" i="17"/>
  <c r="E178" i="17" s="1"/>
  <c r="F178" i="17" s="1"/>
  <c r="F85" i="17"/>
  <c r="C86" i="17"/>
  <c r="E86" i="17"/>
  <c r="C87" i="17"/>
  <c r="E87" i="17"/>
  <c r="C88" i="17"/>
  <c r="E88" i="17"/>
  <c r="E181" i="17" s="1"/>
  <c r="E89" i="17"/>
  <c r="E90" i="17"/>
  <c r="E91" i="17"/>
  <c r="E92" i="17"/>
  <c r="E185" i="17" s="1"/>
  <c r="E93" i="17"/>
  <c r="E94" i="17"/>
  <c r="E95" i="17"/>
  <c r="E96" i="17"/>
  <c r="E189" i="17" s="1"/>
  <c r="F189" i="17" s="1"/>
  <c r="E97" i="17"/>
  <c r="E98" i="17"/>
  <c r="E99" i="17"/>
  <c r="E100" i="17"/>
  <c r="E193" i="17" s="1"/>
  <c r="F193" i="17" s="1"/>
  <c r="E101" i="17"/>
  <c r="E102" i="17"/>
  <c r="E103" i="17"/>
  <c r="E104" i="17"/>
  <c r="E197" i="17" s="1"/>
  <c r="B125" i="17"/>
  <c r="B152" i="17" s="1"/>
  <c r="C125" i="17"/>
  <c r="D125" i="17"/>
  <c r="G125" i="17" s="1"/>
  <c r="E125" i="17"/>
  <c r="B126" i="17"/>
  <c r="B153" i="17" s="1"/>
  <c r="E126" i="17"/>
  <c r="D127" i="17"/>
  <c r="E127" i="17"/>
  <c r="C128" i="17"/>
  <c r="E128" i="17"/>
  <c r="F128" i="17"/>
  <c r="C155" i="17" s="1"/>
  <c r="E129" i="17"/>
  <c r="B130" i="17"/>
  <c r="B157" i="17" s="1"/>
  <c r="C130" i="17"/>
  <c r="D130" i="17"/>
  <c r="G130" i="17" s="1"/>
  <c r="E130" i="17"/>
  <c r="F130" i="17" s="1"/>
  <c r="E131" i="17"/>
  <c r="E132" i="17"/>
  <c r="B133" i="17"/>
  <c r="B160" i="17" s="1"/>
  <c r="C133" i="17"/>
  <c r="D133" i="17"/>
  <c r="E133" i="17"/>
  <c r="F133" i="17" s="1"/>
  <c r="C160" i="17" s="1"/>
  <c r="G133" i="17"/>
  <c r="E134" i="17"/>
  <c r="D135" i="17"/>
  <c r="E135" i="17"/>
  <c r="C136" i="17"/>
  <c r="E136" i="17"/>
  <c r="B137" i="17"/>
  <c r="B164" i="17" s="1"/>
  <c r="C137" i="17"/>
  <c r="D137" i="17"/>
  <c r="G137" i="17" s="1"/>
  <c r="E137" i="17"/>
  <c r="B138" i="17"/>
  <c r="B165" i="17" s="1"/>
  <c r="E138" i="17"/>
  <c r="E139" i="17"/>
  <c r="D140" i="17"/>
  <c r="G140" i="17" s="1"/>
  <c r="E140" i="17"/>
  <c r="B141" i="17"/>
  <c r="E141" i="17"/>
  <c r="E142" i="17"/>
  <c r="C143" i="17"/>
  <c r="E143" i="17"/>
  <c r="G143" i="17"/>
  <c r="E144" i="17"/>
  <c r="F152" i="17"/>
  <c r="F154" i="17"/>
  <c r="B155" i="17"/>
  <c r="F157" i="17"/>
  <c r="F159" i="17"/>
  <c r="F162" i="17"/>
  <c r="F165" i="17"/>
  <c r="F166" i="17"/>
  <c r="B168" i="17"/>
  <c r="C178" i="17"/>
  <c r="C179" i="17"/>
  <c r="C180" i="17"/>
  <c r="E180" i="17"/>
  <c r="C181" i="17"/>
  <c r="C183" i="17"/>
  <c r="F180" i="17" s="1"/>
  <c r="E188" i="17"/>
  <c r="B44" i="15"/>
  <c r="C44" i="15"/>
  <c r="D44" i="15"/>
  <c r="D51" i="15" s="1"/>
  <c r="G90" i="15" s="1"/>
  <c r="E44" i="15"/>
  <c r="B45" i="15"/>
  <c r="C45" i="15"/>
  <c r="D71" i="15" s="1"/>
  <c r="D45" i="15"/>
  <c r="E45" i="15"/>
  <c r="B46" i="15"/>
  <c r="C46" i="15"/>
  <c r="D72" i="15" s="1"/>
  <c r="D46" i="15"/>
  <c r="E46" i="15"/>
  <c r="F72" i="15" s="1"/>
  <c r="G72" i="15" s="1"/>
  <c r="B47" i="15"/>
  <c r="C47" i="15"/>
  <c r="D73" i="15" s="1"/>
  <c r="D47" i="15"/>
  <c r="B48" i="15"/>
  <c r="C48" i="15"/>
  <c r="D74" i="15" s="1"/>
  <c r="D48" i="15"/>
  <c r="E48" i="15"/>
  <c r="F74" i="15" s="1"/>
  <c r="B49" i="15"/>
  <c r="C49" i="15"/>
  <c r="D75" i="15" s="1"/>
  <c r="D49" i="15"/>
  <c r="E49" i="15"/>
  <c r="F75" i="15" s="1"/>
  <c r="G75" i="15" s="1"/>
  <c r="F49" i="15"/>
  <c r="B50" i="15"/>
  <c r="C50" i="15"/>
  <c r="D76" i="15" s="1"/>
  <c r="D50" i="15"/>
  <c r="F50" i="15" s="1"/>
  <c r="E50" i="15"/>
  <c r="F76" i="15" s="1"/>
  <c r="G76" i="15" s="1"/>
  <c r="F55" i="15"/>
  <c r="F56" i="15"/>
  <c r="F58" i="15"/>
  <c r="F59" i="15"/>
  <c r="G85" i="15" s="1"/>
  <c r="D70" i="15"/>
  <c r="E70" i="15"/>
  <c r="G70" i="15" s="1"/>
  <c r="F70" i="15"/>
  <c r="F71" i="15"/>
  <c r="G71" i="15" s="1"/>
  <c r="G81" i="15"/>
  <c r="G82" i="15"/>
  <c r="G83" i="15"/>
  <c r="G84" i="15"/>
  <c r="C46" i="13"/>
  <c r="D46" i="13"/>
  <c r="C47" i="13"/>
  <c r="D47" i="13"/>
  <c r="C48" i="13"/>
  <c r="E48" i="13" s="1"/>
  <c r="G48" i="13" s="1"/>
  <c r="D48" i="13"/>
  <c r="C49" i="13"/>
  <c r="D49" i="13"/>
  <c r="E49" i="13"/>
  <c r="G49" i="13" s="1"/>
  <c r="C50" i="13"/>
  <c r="D50" i="13"/>
  <c r="E50" i="13"/>
  <c r="G50" i="13"/>
  <c r="I50" i="13"/>
  <c r="C53" i="13"/>
  <c r="E53" i="13" s="1"/>
  <c r="D53" i="13"/>
  <c r="C54" i="13"/>
  <c r="D54" i="13"/>
  <c r="C55" i="13"/>
  <c r="D55" i="13"/>
  <c r="C56" i="13"/>
  <c r="D56" i="13"/>
  <c r="C57" i="13"/>
  <c r="D57" i="13"/>
  <c r="E57" i="13"/>
  <c r="G57" i="13"/>
  <c r="C58" i="13"/>
  <c r="E58" i="13" s="1"/>
  <c r="D58" i="13"/>
  <c r="C59" i="13"/>
  <c r="D59" i="13"/>
  <c r="E59" i="13"/>
  <c r="G59" i="13"/>
  <c r="I59" i="13"/>
  <c r="C60" i="13"/>
  <c r="D60" i="13"/>
  <c r="C61" i="13"/>
  <c r="D61" i="13"/>
  <c r="C64" i="13"/>
  <c r="E64" i="13" s="1"/>
  <c r="G64" i="13" s="1"/>
  <c r="D64" i="13"/>
  <c r="C65" i="13"/>
  <c r="D65" i="13"/>
  <c r="E65" i="13"/>
  <c r="G65" i="13" s="1"/>
  <c r="C66" i="13"/>
  <c r="D66" i="13"/>
  <c r="E66" i="13"/>
  <c r="G66" i="13"/>
  <c r="I66" i="13"/>
  <c r="C67" i="13"/>
  <c r="E67" i="13" s="1"/>
  <c r="D67" i="13"/>
  <c r="C68" i="13"/>
  <c r="D68" i="13"/>
  <c r="I72" i="13"/>
  <c r="I73" i="13"/>
  <c r="F123" i="13" s="1"/>
  <c r="I74" i="13"/>
  <c r="F124" i="13" s="1"/>
  <c r="C83" i="13"/>
  <c r="D83" i="13"/>
  <c r="E83" i="13"/>
  <c r="C84" i="13"/>
  <c r="C85" i="13" s="1"/>
  <c r="D84" i="13"/>
  <c r="E84" i="13"/>
  <c r="E85" i="13" s="1"/>
  <c r="C87" i="13"/>
  <c r="D87" i="13"/>
  <c r="E87" i="13" s="1"/>
  <c r="C88" i="13"/>
  <c r="D88" i="13" s="1"/>
  <c r="E88" i="13" s="1"/>
  <c r="C89" i="13"/>
  <c r="D89" i="13"/>
  <c r="E89" i="13"/>
  <c r="D90" i="13"/>
  <c r="E90" i="13" s="1"/>
  <c r="C91" i="13"/>
  <c r="D91" i="13"/>
  <c r="E91" i="13" s="1"/>
  <c r="D114" i="13"/>
  <c r="D131" i="13" s="1"/>
  <c r="E114" i="13"/>
  <c r="E131" i="13" s="1"/>
  <c r="F122" i="13"/>
  <c r="C131" i="13"/>
  <c r="C134" i="13"/>
  <c r="D134" i="13"/>
  <c r="E134" i="13"/>
  <c r="C35" i="11"/>
  <c r="C37" i="11" s="1"/>
  <c r="D35" i="11"/>
  <c r="D37" i="11" s="1"/>
  <c r="D46" i="11" s="1"/>
  <c r="E35" i="11"/>
  <c r="C36" i="11"/>
  <c r="D36" i="11"/>
  <c r="E36" i="11"/>
  <c r="C39" i="11"/>
  <c r="D39" i="11"/>
  <c r="E39" i="11"/>
  <c r="C40" i="11"/>
  <c r="D40" i="11"/>
  <c r="E40" i="11"/>
  <c r="C41" i="11"/>
  <c r="D41" i="11"/>
  <c r="E41" i="11"/>
  <c r="C42" i="11"/>
  <c r="D42" i="11"/>
  <c r="E42" i="11"/>
  <c r="C43" i="11"/>
  <c r="D43" i="11"/>
  <c r="E43" i="11"/>
  <c r="C44" i="11"/>
  <c r="D44" i="11"/>
  <c r="E44" i="11"/>
  <c r="C48" i="11"/>
  <c r="D48" i="11"/>
  <c r="E48" i="11"/>
  <c r="C58" i="11"/>
  <c r="C60" i="11"/>
  <c r="C62" i="11"/>
  <c r="L12" i="9"/>
  <c r="F13" i="9"/>
  <c r="L13" i="9"/>
  <c r="F14" i="9"/>
  <c r="L14" i="9"/>
  <c r="F15" i="9"/>
  <c r="L15" i="9"/>
  <c r="F16" i="9"/>
  <c r="L16" i="9"/>
  <c r="F17" i="9"/>
  <c r="L17" i="9"/>
  <c r="F18" i="9"/>
  <c r="L18" i="9"/>
  <c r="F19" i="9"/>
  <c r="L19" i="9"/>
  <c r="F20" i="9"/>
  <c r="F21" i="9"/>
  <c r="J21" i="9"/>
  <c r="K21" i="9"/>
  <c r="F23" i="9"/>
  <c r="F24" i="9"/>
  <c r="F25" i="9"/>
  <c r="F26" i="9"/>
  <c r="F27" i="9"/>
  <c r="F28" i="9"/>
  <c r="F30" i="9"/>
  <c r="F31" i="9"/>
  <c r="F32" i="9"/>
  <c r="F33" i="9"/>
  <c r="F34" i="9"/>
  <c r="L43" i="9"/>
  <c r="C43" i="9" s="1"/>
  <c r="M43" i="9"/>
  <c r="E43" i="9" s="1"/>
  <c r="E84" i="9" s="1"/>
  <c r="N43" i="9"/>
  <c r="L44" i="9"/>
  <c r="C44" i="9" s="1"/>
  <c r="M44" i="9"/>
  <c r="N44" i="9"/>
  <c r="L45" i="9"/>
  <c r="C45" i="9" s="1"/>
  <c r="M45" i="9"/>
  <c r="E45" i="9" s="1"/>
  <c r="E86" i="9" s="1"/>
  <c r="N45" i="9"/>
  <c r="L46" i="9"/>
  <c r="C46" i="9" s="1"/>
  <c r="M46" i="9"/>
  <c r="E46" i="9" s="1"/>
  <c r="E87" i="9" s="1"/>
  <c r="N46" i="9"/>
  <c r="L47" i="9"/>
  <c r="C47" i="9" s="1"/>
  <c r="M47" i="9"/>
  <c r="N47" i="9"/>
  <c r="L48" i="9"/>
  <c r="C48" i="9" s="1"/>
  <c r="M48" i="9"/>
  <c r="N48" i="9"/>
  <c r="L49" i="9"/>
  <c r="C49" i="9" s="1"/>
  <c r="M49" i="9"/>
  <c r="E49" i="9" s="1"/>
  <c r="E90" i="9" s="1"/>
  <c r="N49" i="9"/>
  <c r="L50" i="9"/>
  <c r="C50" i="9" s="1"/>
  <c r="C91" i="9" s="1"/>
  <c r="M50" i="9"/>
  <c r="E50" i="9" s="1"/>
  <c r="E91" i="9" s="1"/>
  <c r="N50" i="9"/>
  <c r="E51" i="9"/>
  <c r="E92" i="9" s="1"/>
  <c r="L51" i="9"/>
  <c r="C51" i="9" s="1"/>
  <c r="M51" i="9"/>
  <c r="N51" i="9"/>
  <c r="L53" i="9"/>
  <c r="C53" i="9" s="1"/>
  <c r="M53" i="9"/>
  <c r="E53" i="9" s="1"/>
  <c r="E94" i="9" s="1"/>
  <c r="N53" i="9"/>
  <c r="L54" i="9"/>
  <c r="C54" i="9" s="1"/>
  <c r="C95" i="9" s="1"/>
  <c r="M54" i="9"/>
  <c r="N54" i="9"/>
  <c r="L55" i="9"/>
  <c r="C55" i="9" s="1"/>
  <c r="M55" i="9"/>
  <c r="E55" i="9" s="1"/>
  <c r="E96" i="9" s="1"/>
  <c r="N55" i="9"/>
  <c r="L56" i="9"/>
  <c r="C56" i="9" s="1"/>
  <c r="M56" i="9"/>
  <c r="N56" i="9"/>
  <c r="L57" i="9"/>
  <c r="C57" i="9" s="1"/>
  <c r="M57" i="9"/>
  <c r="E57" i="9" s="1"/>
  <c r="E98" i="9" s="1"/>
  <c r="N57" i="9"/>
  <c r="L58" i="9"/>
  <c r="C58" i="9" s="1"/>
  <c r="M58" i="9"/>
  <c r="N58" i="9"/>
  <c r="L60" i="9"/>
  <c r="C60" i="9" s="1"/>
  <c r="M60" i="9"/>
  <c r="N60" i="9"/>
  <c r="C61" i="9"/>
  <c r="C102" i="9" s="1"/>
  <c r="L61" i="9"/>
  <c r="M61" i="9"/>
  <c r="E61" i="9" s="1"/>
  <c r="E102" i="9" s="1"/>
  <c r="N61" i="9"/>
  <c r="L62" i="9"/>
  <c r="C62" i="9" s="1"/>
  <c r="M62" i="9"/>
  <c r="N62" i="9"/>
  <c r="L63" i="9"/>
  <c r="C63" i="9" s="1"/>
  <c r="M63" i="9"/>
  <c r="N63" i="9"/>
  <c r="L64" i="9"/>
  <c r="C64" i="9" s="1"/>
  <c r="M64" i="9"/>
  <c r="E64" i="9" s="1"/>
  <c r="E105" i="9" s="1"/>
  <c r="N64" i="9"/>
  <c r="I75" i="9"/>
  <c r="J75" i="9"/>
  <c r="K75" i="9"/>
  <c r="C78" i="9"/>
  <c r="H79" i="9"/>
  <c r="I79" i="9"/>
  <c r="C88" i="9"/>
  <c r="L12" i="8"/>
  <c r="F13" i="8"/>
  <c r="L13" i="8"/>
  <c r="F14" i="8"/>
  <c r="L14" i="8"/>
  <c r="F15" i="8"/>
  <c r="L15" i="8"/>
  <c r="F16" i="8"/>
  <c r="L16" i="8"/>
  <c r="F17" i="8"/>
  <c r="L17" i="8"/>
  <c r="F18" i="8"/>
  <c r="L18" i="8"/>
  <c r="F19" i="8"/>
  <c r="L19" i="8"/>
  <c r="F20" i="8"/>
  <c r="F21" i="8"/>
  <c r="J21" i="8"/>
  <c r="K21" i="8"/>
  <c r="F23" i="8"/>
  <c r="F24" i="8"/>
  <c r="F25" i="8"/>
  <c r="F26" i="8"/>
  <c r="F27" i="8"/>
  <c r="F28" i="8"/>
  <c r="F30" i="8"/>
  <c r="F31" i="8"/>
  <c r="F32" i="8"/>
  <c r="F33" i="8"/>
  <c r="F34" i="8"/>
  <c r="F32" i="7"/>
  <c r="F33" i="7"/>
  <c r="I33" i="7"/>
  <c r="I34" i="7" s="1"/>
  <c r="J33" i="7" s="1"/>
  <c r="F34" i="7"/>
  <c r="F35" i="7"/>
  <c r="F36" i="7"/>
  <c r="F37" i="7"/>
  <c r="F38" i="7"/>
  <c r="F39" i="7"/>
  <c r="F40" i="7"/>
  <c r="F41" i="7"/>
  <c r="F42" i="7"/>
  <c r="E57" i="7"/>
  <c r="E58" i="7"/>
  <c r="E59" i="7"/>
  <c r="D26" i="5" a="1"/>
  <c r="E44" i="5" s="1"/>
  <c r="E61" i="5" s="1"/>
  <c r="D27" i="5" a="1"/>
  <c r="D27" i="5" s="1"/>
  <c r="D28" i="5" a="1"/>
  <c r="D28" i="5" s="1"/>
  <c r="D30" i="5"/>
  <c r="E30" i="5"/>
  <c r="F30" i="5"/>
  <c r="G30" i="5"/>
  <c r="H30" i="5"/>
  <c r="I30" i="5"/>
  <c r="D48" i="5"/>
  <c r="E48" i="5"/>
  <c r="F48" i="5"/>
  <c r="G48" i="5"/>
  <c r="H48" i="5"/>
  <c r="I48" i="5"/>
  <c r="D65" i="5"/>
  <c r="E65" i="5"/>
  <c r="F65" i="5"/>
  <c r="G65" i="5"/>
  <c r="H65" i="5"/>
  <c r="I65" i="5"/>
  <c r="J65" i="5"/>
  <c r="D28" i="3"/>
  <c r="E28" i="3"/>
  <c r="F28" i="3"/>
  <c r="G28" i="3"/>
  <c r="G61" i="3" s="1"/>
  <c r="H28" i="3"/>
  <c r="H44" i="3" s="1"/>
  <c r="I28" i="3"/>
  <c r="I44" i="3" s="1"/>
  <c r="J28" i="3"/>
  <c r="D61" i="3" s="1"/>
  <c r="K28" i="3"/>
  <c r="K44" i="3" s="1"/>
  <c r="L28" i="3"/>
  <c r="L61" i="3" s="1"/>
  <c r="D29" i="3"/>
  <c r="E29" i="3" s="1"/>
  <c r="F29" i="3"/>
  <c r="F30" i="3" s="1"/>
  <c r="G29" i="3"/>
  <c r="G30" i="3" s="1"/>
  <c r="H29" i="3"/>
  <c r="I29" i="3" s="1"/>
  <c r="J29" i="3"/>
  <c r="K29" i="3" s="1"/>
  <c r="L29" i="3"/>
  <c r="L62" i="3" s="1"/>
  <c r="D30" i="3"/>
  <c r="J30" i="3"/>
  <c r="J46" i="3" s="1"/>
  <c r="L30" i="3"/>
  <c r="L46" i="3" s="1"/>
  <c r="D31" i="3"/>
  <c r="D64" i="3" s="1"/>
  <c r="E31" i="3"/>
  <c r="E64" i="3" s="1"/>
  <c r="F31" i="3"/>
  <c r="G31" i="3"/>
  <c r="H31" i="3"/>
  <c r="I31" i="3"/>
  <c r="J31" i="3"/>
  <c r="K31" i="3"/>
  <c r="K64" i="3" s="1"/>
  <c r="L31" i="3"/>
  <c r="L64" i="3" s="1"/>
  <c r="D44" i="3"/>
  <c r="E44" i="3"/>
  <c r="F44" i="3"/>
  <c r="G44" i="3"/>
  <c r="D46" i="3"/>
  <c r="D47" i="3" s="1"/>
  <c r="E46" i="3"/>
  <c r="E47" i="3" s="1"/>
  <c r="G46" i="3"/>
  <c r="H46" i="3"/>
  <c r="F61" i="3"/>
  <c r="D62" i="3"/>
  <c r="F62" i="3"/>
  <c r="H62" i="3"/>
  <c r="F64" i="3"/>
  <c r="G64" i="3"/>
  <c r="H64" i="3"/>
  <c r="I64" i="3"/>
  <c r="J64" i="3"/>
  <c r="D26" i="5" l="1"/>
  <c r="D44" i="5" s="1"/>
  <c r="D61" i="5" s="1"/>
  <c r="G99" i="21"/>
  <c r="H96" i="21"/>
  <c r="D89" i="21"/>
  <c r="E59" i="19"/>
  <c r="D59" i="19"/>
  <c r="F59" i="19" s="1"/>
  <c r="C72" i="19" s="1"/>
  <c r="C159" i="17"/>
  <c r="C167" i="17"/>
  <c r="H140" i="17"/>
  <c r="D167" i="17" s="1"/>
  <c r="F197" i="17"/>
  <c r="D132" i="17"/>
  <c r="G132" i="17" s="1"/>
  <c r="H132" i="17" s="1"/>
  <c r="D159" i="17" s="1"/>
  <c r="G72" i="17"/>
  <c r="E196" i="17"/>
  <c r="G77" i="17"/>
  <c r="E184" i="17"/>
  <c r="F143" i="17"/>
  <c r="H143" i="17" s="1"/>
  <c r="D170" i="17" s="1"/>
  <c r="D136" i="17"/>
  <c r="G136" i="17" s="1"/>
  <c r="F97" i="17"/>
  <c r="F181" i="17"/>
  <c r="G70" i="17"/>
  <c r="F136" i="17"/>
  <c r="G131" i="17"/>
  <c r="E192" i="17"/>
  <c r="F192" i="17" s="1"/>
  <c r="H133" i="17"/>
  <c r="D160" i="17" s="1"/>
  <c r="G160" i="17" s="1"/>
  <c r="F185" i="17"/>
  <c r="E47" i="15"/>
  <c r="F44" i="15"/>
  <c r="F46" i="15"/>
  <c r="F48" i="15"/>
  <c r="F45" i="15"/>
  <c r="G58" i="13"/>
  <c r="I58" i="13" s="1"/>
  <c r="E61" i="13"/>
  <c r="E47" i="13"/>
  <c r="G47" i="13" s="1"/>
  <c r="I47" i="13" s="1"/>
  <c r="I57" i="13"/>
  <c r="E60" i="13"/>
  <c r="E46" i="13"/>
  <c r="E70" i="13" s="1"/>
  <c r="D85" i="13"/>
  <c r="D93" i="13" s="1"/>
  <c r="D96" i="13" s="1"/>
  <c r="E56" i="13"/>
  <c r="G56" i="13" s="1"/>
  <c r="I56" i="13" s="1"/>
  <c r="E55" i="13"/>
  <c r="E68" i="13"/>
  <c r="G68" i="13" s="1"/>
  <c r="I68" i="13" s="1"/>
  <c r="E54" i="13"/>
  <c r="D113" i="13" s="1"/>
  <c r="D115" i="13" s="1"/>
  <c r="E37" i="11"/>
  <c r="E46" i="11" s="1"/>
  <c r="E49" i="11" s="1"/>
  <c r="E51" i="11" s="1"/>
  <c r="F56" i="9"/>
  <c r="I56" i="9" s="1"/>
  <c r="C97" i="9"/>
  <c r="C84" i="9"/>
  <c r="F43" i="9"/>
  <c r="H43" i="9"/>
  <c r="C96" i="9"/>
  <c r="F55" i="9"/>
  <c r="I55" i="9" s="1"/>
  <c r="C87" i="9"/>
  <c r="H87" i="9" s="1"/>
  <c r="F46" i="9"/>
  <c r="H46" i="9"/>
  <c r="C75" i="9"/>
  <c r="F75" i="9" s="1"/>
  <c r="E48" i="9"/>
  <c r="E56" i="9"/>
  <c r="E97" i="9" s="1"/>
  <c r="H61" i="9"/>
  <c r="F61" i="9"/>
  <c r="E47" i="9"/>
  <c r="E88" i="9" s="1"/>
  <c r="E63" i="9"/>
  <c r="E104" i="9" s="1"/>
  <c r="E54" i="9"/>
  <c r="E44" i="9"/>
  <c r="E85" i="9" s="1"/>
  <c r="E60" i="9"/>
  <c r="E101" i="9" s="1"/>
  <c r="F36" i="8"/>
  <c r="L21" i="8"/>
  <c r="E44" i="7"/>
  <c r="J42" i="7"/>
  <c r="J32" i="7"/>
  <c r="E60" i="7"/>
  <c r="D34" i="5"/>
  <c r="D46" i="5"/>
  <c r="D63" i="5" s="1"/>
  <c r="E46" i="5"/>
  <c r="E63" i="5" s="1"/>
  <c r="D52" i="5"/>
  <c r="I46" i="5"/>
  <c r="I63" i="5" s="1"/>
  <c r="D69" i="5"/>
  <c r="F34" i="5"/>
  <c r="F46" i="5"/>
  <c r="E52" i="5"/>
  <c r="I44" i="5"/>
  <c r="I61" i="5" s="1"/>
  <c r="H44" i="5"/>
  <c r="H61" i="5" s="1"/>
  <c r="E34" i="5"/>
  <c r="E69" i="5"/>
  <c r="H46" i="5"/>
  <c r="H63" i="5" s="1"/>
  <c r="G46" i="5"/>
  <c r="G44" i="5"/>
  <c r="G61" i="5" s="1"/>
  <c r="F44" i="5"/>
  <c r="F61" i="5" s="1"/>
  <c r="E30" i="3"/>
  <c r="E62" i="3"/>
  <c r="H47" i="3"/>
  <c r="L44" i="3"/>
  <c r="L47" i="3" s="1"/>
  <c r="E52" i="3" s="1"/>
  <c r="D65" i="3"/>
  <c r="K61" i="3"/>
  <c r="I61" i="3"/>
  <c r="J44" i="3"/>
  <c r="J47" i="3" s="1"/>
  <c r="G47" i="3"/>
  <c r="F47" i="3"/>
  <c r="J61" i="3"/>
  <c r="J63" i="3"/>
  <c r="H61" i="3"/>
  <c r="D63" i="3"/>
  <c r="F67" i="3"/>
  <c r="F68" i="3" s="1"/>
  <c r="E61" i="3"/>
  <c r="E67" i="3"/>
  <c r="E68" i="3" s="1"/>
  <c r="D67" i="3"/>
  <c r="D68" i="3" s="1"/>
  <c r="G62" i="3"/>
  <c r="J32" i="3"/>
  <c r="D32" i="3"/>
  <c r="H67" i="3"/>
  <c r="H68" i="3" s="1"/>
  <c r="G67" i="3"/>
  <c r="G68" i="3" s="1"/>
  <c r="I46" i="3"/>
  <c r="I67" i="3" s="1"/>
  <c r="C54" i="21"/>
  <c r="C56" i="21" s="1"/>
  <c r="C58" i="21" s="1"/>
  <c r="C89" i="21"/>
  <c r="C91" i="21" s="1"/>
  <c r="C114" i="21" s="1"/>
  <c r="G100" i="21"/>
  <c r="H98" i="21"/>
  <c r="C110" i="21" s="1"/>
  <c r="C113" i="21" s="1"/>
  <c r="C115" i="21" s="1"/>
  <c r="C73" i="19"/>
  <c r="C78" i="19" s="1"/>
  <c r="H130" i="17"/>
  <c r="D157" i="17" s="1"/>
  <c r="G157" i="17" s="1"/>
  <c r="C157" i="17"/>
  <c r="F127" i="17"/>
  <c r="G127" i="17"/>
  <c r="G135" i="17"/>
  <c r="F135" i="17"/>
  <c r="F90" i="17"/>
  <c r="E183" i="17"/>
  <c r="F188" i="17"/>
  <c r="F89" i="17"/>
  <c r="E182" i="17"/>
  <c r="F87" i="17"/>
  <c r="F91" i="17"/>
  <c r="F95" i="17"/>
  <c r="F99" i="17"/>
  <c r="F103" i="17"/>
  <c r="F196" i="17"/>
  <c r="F88" i="17"/>
  <c r="G68" i="17"/>
  <c r="D134" i="17"/>
  <c r="G134" i="17" s="1"/>
  <c r="F137" i="17"/>
  <c r="H134" i="17"/>
  <c r="D161" i="17" s="1"/>
  <c r="G161" i="17" s="1"/>
  <c r="C161" i="17"/>
  <c r="F102" i="17"/>
  <c r="E195" i="17"/>
  <c r="G139" i="17"/>
  <c r="H128" i="17"/>
  <c r="D155" i="17" s="1"/>
  <c r="F101" i="17"/>
  <c r="F94" i="17"/>
  <c r="E187" i="17"/>
  <c r="G155" i="17"/>
  <c r="C80" i="17"/>
  <c r="F184" i="17"/>
  <c r="D142" i="17"/>
  <c r="G142" i="17" s="1"/>
  <c r="H142" i="17" s="1"/>
  <c r="D169" i="17" s="1"/>
  <c r="G169" i="17" s="1"/>
  <c r="G75" i="17"/>
  <c r="D141" i="17"/>
  <c r="G141" i="17" s="1"/>
  <c r="F93" i="17"/>
  <c r="C168" i="17"/>
  <c r="H141" i="17"/>
  <c r="D168" i="17" s="1"/>
  <c r="G168" i="17" s="1"/>
  <c r="H139" i="17"/>
  <c r="D166" i="17" s="1"/>
  <c r="G166" i="17" s="1"/>
  <c r="C166" i="17"/>
  <c r="C158" i="17"/>
  <c r="H131" i="17"/>
  <c r="D158" i="17" s="1"/>
  <c r="G158" i="17" s="1"/>
  <c r="G63" i="17"/>
  <c r="G80" i="17" s="1"/>
  <c r="C109" i="17" s="1"/>
  <c r="D129" i="17"/>
  <c r="G129" i="17" s="1"/>
  <c r="F96" i="17"/>
  <c r="C156" i="17"/>
  <c r="H129" i="17"/>
  <c r="D156" i="17" s="1"/>
  <c r="G156" i="17" s="1"/>
  <c r="F100" i="17"/>
  <c r="G144" i="17"/>
  <c r="H144" i="17" s="1"/>
  <c r="D171" i="17" s="1"/>
  <c r="F125" i="17"/>
  <c r="F92" i="17"/>
  <c r="F86" i="17"/>
  <c r="G138" i="17"/>
  <c r="H138" i="17" s="1"/>
  <c r="D165" i="17" s="1"/>
  <c r="G165" i="17" s="1"/>
  <c r="F98" i="17"/>
  <c r="E191" i="17"/>
  <c r="G167" i="17"/>
  <c r="E194" i="17"/>
  <c r="E190" i="17"/>
  <c r="E186" i="17"/>
  <c r="E179" i="17"/>
  <c r="D126" i="17"/>
  <c r="D80" i="17"/>
  <c r="C126" i="17"/>
  <c r="F126" i="17" s="1"/>
  <c r="E74" i="15"/>
  <c r="G60" i="13"/>
  <c r="I60" i="13"/>
  <c r="D130" i="13"/>
  <c r="D132" i="13" s="1"/>
  <c r="G55" i="13"/>
  <c r="I55" i="13"/>
  <c r="E93" i="13"/>
  <c r="G67" i="13"/>
  <c r="I67" i="13"/>
  <c r="G53" i="13"/>
  <c r="I53" i="13"/>
  <c r="G61" i="13"/>
  <c r="I61" i="13" s="1"/>
  <c r="C93" i="13"/>
  <c r="I65" i="13"/>
  <c r="I49" i="13"/>
  <c r="I64" i="13"/>
  <c r="I48" i="13"/>
  <c r="C46" i="11"/>
  <c r="D49" i="11"/>
  <c r="D51" i="11" s="1"/>
  <c r="C90" i="9"/>
  <c r="F90" i="9" s="1"/>
  <c r="I90" i="9" s="1"/>
  <c r="F49" i="9"/>
  <c r="I49" i="9" s="1"/>
  <c r="F91" i="9"/>
  <c r="H91" i="9"/>
  <c r="C103" i="9"/>
  <c r="I43" i="9"/>
  <c r="L21" i="9"/>
  <c r="E75" i="9"/>
  <c r="E89" i="9" s="1"/>
  <c r="E62" i="9"/>
  <c r="E103" i="9" s="1"/>
  <c r="F53" i="9"/>
  <c r="H53" i="9"/>
  <c r="C94" i="9"/>
  <c r="C99" i="9"/>
  <c r="C105" i="9"/>
  <c r="F105" i="9" s="1"/>
  <c r="F64" i="9"/>
  <c r="F88" i="9"/>
  <c r="H88" i="9"/>
  <c r="F48" i="9"/>
  <c r="I48" i="9" s="1"/>
  <c r="I61" i="9"/>
  <c r="F96" i="9"/>
  <c r="I96" i="9" s="1"/>
  <c r="F51" i="9"/>
  <c r="I51" i="9" s="1"/>
  <c r="C92" i="9"/>
  <c r="F92" i="9" s="1"/>
  <c r="I92" i="9" s="1"/>
  <c r="C86" i="9"/>
  <c r="F45" i="9"/>
  <c r="H45" i="9"/>
  <c r="F54" i="9"/>
  <c r="I54" i="9" s="1"/>
  <c r="E95" i="9"/>
  <c r="F95" i="9" s="1"/>
  <c r="I95" i="9" s="1"/>
  <c r="F36" i="9"/>
  <c r="F60" i="9"/>
  <c r="H60" i="9"/>
  <c r="C101" i="9"/>
  <c r="E58" i="9"/>
  <c r="E99" i="9" s="1"/>
  <c r="I46" i="9"/>
  <c r="C104" i="9"/>
  <c r="F104" i="9" s="1"/>
  <c r="I104" i="9" s="1"/>
  <c r="F87" i="9"/>
  <c r="F84" i="9"/>
  <c r="H84" i="9"/>
  <c r="F57" i="9"/>
  <c r="I57" i="9" s="1"/>
  <c r="C98" i="9"/>
  <c r="F98" i="9" s="1"/>
  <c r="I98" i="9" s="1"/>
  <c r="F102" i="9"/>
  <c r="H102" i="9"/>
  <c r="F47" i="9"/>
  <c r="H47" i="9"/>
  <c r="F50" i="9"/>
  <c r="H50" i="9"/>
  <c r="F44" i="9"/>
  <c r="H44" i="9"/>
  <c r="C85" i="9"/>
  <c r="E55" i="7"/>
  <c r="E64" i="7" s="1"/>
  <c r="I35" i="7"/>
  <c r="D45" i="5"/>
  <c r="D29" i="5"/>
  <c r="D31" i="5" s="1"/>
  <c r="D32" i="5" s="1"/>
  <c r="I29" i="5"/>
  <c r="H29" i="5"/>
  <c r="I45" i="5"/>
  <c r="G29" i="5"/>
  <c r="H45" i="5"/>
  <c r="F29" i="5"/>
  <c r="F31" i="5" s="1"/>
  <c r="F32" i="5" s="1"/>
  <c r="G45" i="5"/>
  <c r="E29" i="5"/>
  <c r="E31" i="5" s="1"/>
  <c r="E32" i="5" s="1"/>
  <c r="F45" i="5"/>
  <c r="E45" i="5"/>
  <c r="I62" i="3"/>
  <c r="I30" i="3"/>
  <c r="G32" i="3"/>
  <c r="G63" i="3"/>
  <c r="G65" i="3" s="1"/>
  <c r="F63" i="3"/>
  <c r="F65" i="3" s="1"/>
  <c r="F32" i="3"/>
  <c r="E63" i="3"/>
  <c r="E65" i="3" s="1"/>
  <c r="E32" i="3"/>
  <c r="E35" i="3" s="1"/>
  <c r="E71" i="3"/>
  <c r="L67" i="3"/>
  <c r="L68" i="3" s="1"/>
  <c r="I73" i="3" s="1"/>
  <c r="J67" i="3"/>
  <c r="K30" i="3"/>
  <c r="K62" i="3"/>
  <c r="H30" i="3"/>
  <c r="I47" i="3"/>
  <c r="L32" i="3"/>
  <c r="E37" i="3" s="1"/>
  <c r="J62" i="3"/>
  <c r="L63" i="3"/>
  <c r="L65" i="3" s="1"/>
  <c r="E73" i="3" s="1"/>
  <c r="E79" i="3" s="1"/>
  <c r="D98" i="13" l="1"/>
  <c r="I71" i="3"/>
  <c r="E50" i="3"/>
  <c r="G159" i="17"/>
  <c r="C170" i="17"/>
  <c r="H136" i="17"/>
  <c r="D163" i="17" s="1"/>
  <c r="C163" i="17"/>
  <c r="G126" i="17"/>
  <c r="C146" i="17"/>
  <c r="G106" i="17"/>
  <c r="C110" i="17" s="1"/>
  <c r="C111" i="17" s="1"/>
  <c r="F73" i="15"/>
  <c r="G73" i="15" s="1"/>
  <c r="F47" i="15"/>
  <c r="F51" i="15" s="1"/>
  <c r="F53" i="15" s="1"/>
  <c r="F61" i="15" s="1"/>
  <c r="G93" i="15" s="1"/>
  <c r="G54" i="13"/>
  <c r="I54" i="13" s="1"/>
  <c r="I70" i="13" s="1"/>
  <c r="I76" i="13" s="1"/>
  <c r="C102" i="13" s="1"/>
  <c r="C113" i="13"/>
  <c r="C115" i="13" s="1"/>
  <c r="F115" i="13" s="1"/>
  <c r="G46" i="13"/>
  <c r="I46" i="13" s="1"/>
  <c r="E113" i="13"/>
  <c r="E115" i="13" s="1"/>
  <c r="F85" i="13"/>
  <c r="F37" i="11"/>
  <c r="F63" i="9"/>
  <c r="I63" i="9" s="1"/>
  <c r="I50" i="9"/>
  <c r="I47" i="9"/>
  <c r="C89" i="9"/>
  <c r="F89" i="9" s="1"/>
  <c r="I89" i="9" s="1"/>
  <c r="F58" i="9"/>
  <c r="I58" i="9" s="1"/>
  <c r="F99" i="9"/>
  <c r="I99" i="9" s="1"/>
  <c r="I91" i="9"/>
  <c r="F97" i="9"/>
  <c r="I97" i="9" s="1"/>
  <c r="F63" i="5"/>
  <c r="F69" i="5" s="1"/>
  <c r="L69" i="5" s="1"/>
  <c r="F52" i="5"/>
  <c r="L52" i="5" s="1"/>
  <c r="J63" i="5"/>
  <c r="G63" i="5" s="1"/>
  <c r="L34" i="5"/>
  <c r="J68" i="3"/>
  <c r="I68" i="3"/>
  <c r="J65" i="3"/>
  <c r="H99" i="21"/>
  <c r="G101" i="21"/>
  <c r="H125" i="17"/>
  <c r="D152" i="17" s="1"/>
  <c r="F146" i="17"/>
  <c r="G147" i="17" s="1"/>
  <c r="C152" i="17"/>
  <c r="H137" i="17"/>
  <c r="D164" i="17" s="1"/>
  <c r="G164" i="17" s="1"/>
  <c r="C164" i="17"/>
  <c r="H135" i="17"/>
  <c r="D162" i="17" s="1"/>
  <c r="C162" i="17"/>
  <c r="F191" i="17"/>
  <c r="F182" i="17"/>
  <c r="G171" i="17"/>
  <c r="C153" i="17"/>
  <c r="H126" i="17"/>
  <c r="D153" i="17" s="1"/>
  <c r="G153" i="17" s="1"/>
  <c r="G170" i="17"/>
  <c r="F194" i="17"/>
  <c r="H127" i="17"/>
  <c r="D154" i="17" s="1"/>
  <c r="C154" i="17"/>
  <c r="F179" i="17"/>
  <c r="F195" i="17"/>
  <c r="F190" i="17"/>
  <c r="F187" i="17"/>
  <c r="F186" i="17"/>
  <c r="F183" i="17"/>
  <c r="E77" i="15"/>
  <c r="G91" i="15" s="1"/>
  <c r="G74" i="15"/>
  <c r="G77" i="15" s="1"/>
  <c r="G79" i="15" s="1"/>
  <c r="G87" i="15" s="1"/>
  <c r="G94" i="15" s="1"/>
  <c r="D135" i="13"/>
  <c r="D137" i="13" s="1"/>
  <c r="C130" i="13"/>
  <c r="C132" i="13" s="1"/>
  <c r="F93" i="13"/>
  <c r="C96" i="13"/>
  <c r="E118" i="13"/>
  <c r="E120" i="13" s="1"/>
  <c r="D118" i="13"/>
  <c r="D120" i="13" s="1"/>
  <c r="E96" i="13"/>
  <c r="E98" i="13" s="1"/>
  <c r="E130" i="13"/>
  <c r="E132" i="13" s="1"/>
  <c r="C49" i="11"/>
  <c r="F49" i="11" s="1"/>
  <c r="F46" i="11"/>
  <c r="I102" i="9"/>
  <c r="F103" i="9"/>
  <c r="I103" i="9" s="1"/>
  <c r="I60" i="9"/>
  <c r="H101" i="9"/>
  <c r="F101" i="9"/>
  <c r="I101" i="9" s="1"/>
  <c r="I84" i="9"/>
  <c r="I44" i="9"/>
  <c r="F62" i="9"/>
  <c r="I62" i="9" s="1"/>
  <c r="H94" i="9"/>
  <c r="F94" i="9"/>
  <c r="I88" i="9"/>
  <c r="H64" i="9"/>
  <c r="H66" i="9" s="1"/>
  <c r="F85" i="9"/>
  <c r="H85" i="9"/>
  <c r="H105" i="9"/>
  <c r="H107" i="9" s="1"/>
  <c r="I105" i="9"/>
  <c r="I45" i="9"/>
  <c r="I87" i="9"/>
  <c r="F86" i="9"/>
  <c r="H86" i="9"/>
  <c r="I53" i="9"/>
  <c r="I36" i="7"/>
  <c r="J34" i="7"/>
  <c r="F62" i="5"/>
  <c r="F64" i="5" s="1"/>
  <c r="F66" i="5" s="1"/>
  <c r="F67" i="5" s="1"/>
  <c r="F47" i="5"/>
  <c r="F49" i="5" s="1"/>
  <c r="F50" i="5" s="1"/>
  <c r="G62" i="5"/>
  <c r="G47" i="5"/>
  <c r="H62" i="5"/>
  <c r="H64" i="5" s="1"/>
  <c r="H47" i="5"/>
  <c r="G31" i="5"/>
  <c r="I62" i="5"/>
  <c r="I64" i="5" s="1"/>
  <c r="I47" i="5"/>
  <c r="H31" i="5"/>
  <c r="I31" i="5"/>
  <c r="L32" i="5"/>
  <c r="E62" i="5"/>
  <c r="E64" i="5" s="1"/>
  <c r="E66" i="5" s="1"/>
  <c r="E67" i="5" s="1"/>
  <c r="E47" i="5"/>
  <c r="E49" i="5" s="1"/>
  <c r="E50" i="5" s="1"/>
  <c r="D62" i="5"/>
  <c r="D64" i="5" s="1"/>
  <c r="D66" i="5" s="1"/>
  <c r="D67" i="5" s="1"/>
  <c r="D47" i="5"/>
  <c r="D49" i="5" s="1"/>
  <c r="D50" i="5" s="1"/>
  <c r="I77" i="3"/>
  <c r="E77" i="3"/>
  <c r="I79" i="3"/>
  <c r="I32" i="3"/>
  <c r="I63" i="3"/>
  <c r="I65" i="3" s="1"/>
  <c r="H63" i="3"/>
  <c r="H65" i="3" s="1"/>
  <c r="E72" i="3" s="1"/>
  <c r="H32" i="3"/>
  <c r="K32" i="3"/>
  <c r="K46" i="3"/>
  <c r="K63" i="3"/>
  <c r="K65" i="3" s="1"/>
  <c r="I32" i="5" l="1"/>
  <c r="I33" i="5"/>
  <c r="I34" i="5" s="1"/>
  <c r="H32" i="5"/>
  <c r="H33" i="5"/>
  <c r="H34" i="5" s="1"/>
  <c r="G32" i="5"/>
  <c r="M32" i="5" s="1"/>
  <c r="N32" i="5" s="1"/>
  <c r="G33" i="5"/>
  <c r="G34" i="5" s="1"/>
  <c r="G163" i="17"/>
  <c r="G96" i="15"/>
  <c r="G70" i="13"/>
  <c r="C118" i="13"/>
  <c r="C120" i="13" s="1"/>
  <c r="F96" i="13"/>
  <c r="I86" i="9"/>
  <c r="E36" i="3"/>
  <c r="G102" i="21"/>
  <c r="H100" i="21"/>
  <c r="G162" i="17"/>
  <c r="C113" i="17"/>
  <c r="C114" i="17"/>
  <c r="C116" i="17" s="1"/>
  <c r="G154" i="17"/>
  <c r="G152" i="17"/>
  <c r="G199" i="17"/>
  <c r="C203" i="17" s="1"/>
  <c r="F120" i="13"/>
  <c r="F126" i="13" s="1"/>
  <c r="E135" i="13"/>
  <c r="E137" i="13" s="1"/>
  <c r="F132" i="13"/>
  <c r="C135" i="13"/>
  <c r="C137" i="13" s="1"/>
  <c r="F137" i="13" s="1"/>
  <c r="C98" i="13"/>
  <c r="F98" i="13" s="1"/>
  <c r="C101" i="13" s="1"/>
  <c r="C104" i="13" s="1"/>
  <c r="C51" i="11"/>
  <c r="F51" i="11" s="1"/>
  <c r="F107" i="9"/>
  <c r="I107" i="9" s="1"/>
  <c r="I85" i="9"/>
  <c r="I64" i="9"/>
  <c r="F66" i="9"/>
  <c r="I66" i="9" s="1"/>
  <c r="I94" i="9"/>
  <c r="I37" i="7"/>
  <c r="J35" i="7"/>
  <c r="I49" i="5"/>
  <c r="I66" i="5"/>
  <c r="L50" i="5"/>
  <c r="M34" i="5"/>
  <c r="N34" i="5" s="1"/>
  <c r="L67" i="5"/>
  <c r="H49" i="5"/>
  <c r="H66" i="5"/>
  <c r="G49" i="5"/>
  <c r="G64" i="5"/>
  <c r="J62" i="5"/>
  <c r="J64" i="5" s="1"/>
  <c r="E78" i="3"/>
  <c r="E80" i="3"/>
  <c r="K67" i="3"/>
  <c r="K68" i="3" s="1"/>
  <c r="I72" i="3" s="1"/>
  <c r="K47" i="3"/>
  <c r="E51" i="3" s="1"/>
  <c r="E74" i="3"/>
  <c r="I67" i="5" l="1"/>
  <c r="I68" i="5"/>
  <c r="I69" i="5" s="1"/>
  <c r="H67" i="5"/>
  <c r="H68" i="5"/>
  <c r="H69" i="5" s="1"/>
  <c r="G50" i="5"/>
  <c r="G51" i="5"/>
  <c r="G52" i="5" s="1"/>
  <c r="I50" i="5"/>
  <c r="I51" i="5"/>
  <c r="I52" i="5" s="1"/>
  <c r="H50" i="5"/>
  <c r="H51" i="5"/>
  <c r="H52" i="5" s="1"/>
  <c r="M52" i="5" s="1"/>
  <c r="N52" i="5" s="1"/>
  <c r="G173" i="17"/>
  <c r="C202" i="17" s="1"/>
  <c r="C204" i="17" s="1"/>
  <c r="H101" i="21"/>
  <c r="G103" i="21"/>
  <c r="H102" i="21" s="1"/>
  <c r="C212" i="17"/>
  <c r="C213" i="17" s="1"/>
  <c r="C117" i="17"/>
  <c r="F140" i="13"/>
  <c r="D60" i="11"/>
  <c r="D62" i="11"/>
  <c r="D58" i="11"/>
  <c r="J36" i="7"/>
  <c r="E47" i="7" s="1"/>
  <c r="E49" i="7" s="1"/>
  <c r="E51" i="7" s="1"/>
  <c r="I38" i="7"/>
  <c r="G66" i="5"/>
  <c r="J66" i="5"/>
  <c r="I78" i="3"/>
  <c r="I80" i="3" s="1"/>
  <c r="I74" i="3"/>
  <c r="M50" i="5" l="1"/>
  <c r="N50" i="5" s="1"/>
  <c r="J67" i="5"/>
  <c r="J68" i="5"/>
  <c r="J69" i="5" s="1"/>
  <c r="G67" i="5"/>
  <c r="G68" i="5"/>
  <c r="G69" i="5" s="1"/>
  <c r="M69" i="5" s="1"/>
  <c r="N69" i="5" s="1"/>
  <c r="C206" i="17"/>
  <c r="C207" i="17"/>
  <c r="J37" i="7"/>
  <c r="I39" i="7"/>
  <c r="M67" i="5"/>
  <c r="N67" i="5" s="1"/>
  <c r="C209" i="17" l="1"/>
  <c r="C215" i="17" s="1"/>
  <c r="I40" i="7"/>
  <c r="J38" i="7"/>
  <c r="C210" i="17" l="1"/>
  <c r="I41" i="7"/>
  <c r="J39" i="7"/>
  <c r="I42" i="7" l="1"/>
  <c r="J41" i="7" s="1"/>
  <c r="J40"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<sst xmlns="http://schemas.openxmlformats.org/spreadsheetml/2006/main" count="2649" uniqueCount="759">
  <si>
    <t>Calculate the total allowed cost and member cost sharing PMPM assuming Healthy Habits is able to shift 25% of utilization from Drug #4 to Drug #1.</t>
  </si>
  <si>
    <t>c)</t>
  </si>
  <si>
    <t xml:space="preserve">Drug #1 is the generic equivalent to Drug #4. </t>
  </si>
  <si>
    <t>Calculate the member cost sharing PMPM for brand, generic, and specialty drugs.</t>
  </si>
  <si>
    <t>b)</t>
  </si>
  <si>
    <t>Calculate the allowed cost per member per month (PMPM) for brand, generic, and specialty drugs under the pharmacy contract terms.</t>
  </si>
  <si>
    <t>a)</t>
  </si>
  <si>
    <t xml:space="preserve">Healthy Habits is a Medicare Advantage Organization that offers Part D drug coverage and has a pharmacy contract with Independent Pharmacy. </t>
  </si>
  <si>
    <t>Brand/Generic Mail Utilization %</t>
  </si>
  <si>
    <t>N/A</t>
  </si>
  <si>
    <t>Specialty</t>
  </si>
  <si>
    <t>Tier 5</t>
  </si>
  <si>
    <t>Drug #6</t>
  </si>
  <si>
    <t>Brand</t>
  </si>
  <si>
    <t>Tier 3</t>
  </si>
  <si>
    <t>Drug #5</t>
  </si>
  <si>
    <t>Generic</t>
  </si>
  <si>
    <t>Mail</t>
  </si>
  <si>
    <t>Tier 4</t>
  </si>
  <si>
    <t>Drug #4</t>
  </si>
  <si>
    <t>Non-Preferred Brand</t>
  </si>
  <si>
    <t>Drug #3</t>
  </si>
  <si>
    <t>Preferred Brand</t>
  </si>
  <si>
    <t>Tier 2</t>
  </si>
  <si>
    <t>Drug #2</t>
  </si>
  <si>
    <t>Non-Preferred Generic</t>
  </si>
  <si>
    <t>Tier 1</t>
  </si>
  <si>
    <t>Drug #1</t>
  </si>
  <si>
    <t>Preferred Generic</t>
  </si>
  <si>
    <t>Retail</t>
  </si>
  <si>
    <t>per 1,000</t>
  </si>
  <si>
    <t>Script</t>
  </si>
  <si>
    <t>Tier</t>
  </si>
  <si>
    <t>Name</t>
  </si>
  <si>
    <t>Type</t>
  </si>
  <si>
    <t>Cost Sharing</t>
  </si>
  <si>
    <t>Fee</t>
  </si>
  <si>
    <t>Off AWP</t>
  </si>
  <si>
    <t>Utilization</t>
  </si>
  <si>
    <t>AWP per</t>
  </si>
  <si>
    <t>Formulary</t>
  </si>
  <si>
    <t>Drug</t>
  </si>
  <si>
    <t>Member</t>
  </si>
  <si>
    <t>Dispensing</t>
  </si>
  <si>
    <t>Discount</t>
  </si>
  <si>
    <t>Healthy Habits Projected Drug Experience</t>
  </si>
  <si>
    <t>Healthy Habits Formulary Tier Structure</t>
  </si>
  <si>
    <t>Independent Pharmacy Contract Terms</t>
  </si>
  <si>
    <t>Table 1.3</t>
  </si>
  <si>
    <t>Table 1.2</t>
  </si>
  <si>
    <t>Table 1.1</t>
  </si>
  <si>
    <t>Group Insurance, 
8th Ed, Chapter 7</t>
  </si>
  <si>
    <t>Source:</t>
  </si>
  <si>
    <t>Total</t>
  </si>
  <si>
    <t>Change in Member Cost Sharing PMPM</t>
  </si>
  <si>
    <t>Change in Allowed Cost PMPM</t>
  </si>
  <si>
    <t>Member Cost Sharing PMPM</t>
  </si>
  <si>
    <t>Allowed Cost PMPM</t>
  </si>
  <si>
    <t>Same as question (b).</t>
  </si>
  <si>
    <t>Member Cost Sharing/Script</t>
  </si>
  <si>
    <t>Same as question (a).</t>
  </si>
  <si>
    <t>Dispensing Fee</t>
  </si>
  <si>
    <t>Ingredient Cost/Script</t>
  </si>
  <si>
    <t>AWP/script</t>
  </si>
  <si>
    <t>Same as question (a) except 25% of Tier 4 scripts shift to Tier 1.</t>
  </si>
  <si>
    <t>Util/1,000</t>
  </si>
  <si>
    <t>Drug Type</t>
  </si>
  <si>
    <t xml:space="preserve">The member cost sharing PMPM is calculated as Util/1,000 * member cost sharing/script divided by 12,000. </t>
  </si>
  <si>
    <t>For copays the member cost sharing is the copay amount while for coinsurance it is calculated by the coinsurance % * ingredient cost/script.</t>
  </si>
  <si>
    <t>The allowed cost PMPM is calculated as Util/1,000 * cost/script divided by 12,000. The cost/script for the plan is the ingredient cost plus the dispensing fee.</t>
  </si>
  <si>
    <t>The dispensing fee is given in Table 1.1.</t>
  </si>
  <si>
    <t>The ingredient cost/script is calculated as AWP/Script from row above times (1 - Discount off AWP) from Table 1.1.</t>
  </si>
  <si>
    <t>The AWP/script is given in Table 1.3 and is assumed to be the same between retail and mail. For Tier 3 a weighted average is calculated between Drug #3 and Drug #5.</t>
  </si>
  <si>
    <t>The utilization is taken from Table 1.3 and brand/generic is split by the mail utilization assumption.</t>
  </si>
  <si>
    <t>Drug type is defined by the general categories from the formulary in Table 1.2</t>
  </si>
  <si>
    <t>Notes:</t>
  </si>
  <si>
    <t>A new biosimilar for Drug #4 comes to market with a price 15% lower than  the brand version. The plan expects 30% of the brand utilization will switch to the biosimilar.</t>
  </si>
  <si>
    <t>The step therapy is expected to result in shifting 40% of utilization from Drug #5 to Drug #3; however, the rebate per script is expected to be reduced by 75%.</t>
  </si>
  <si>
    <t>A step therapy is added to Drug #5 requiring a member to first start on Drug #3, which is therapeutic alternative.</t>
  </si>
  <si>
    <t>Harmony insurance offers standalone drug coverage and directly contracts with Local pharmacy where members can fill their prescriptions.</t>
  </si>
  <si>
    <t>0% - 25%</t>
  </si>
  <si>
    <t>25% - 49%</t>
  </si>
  <si>
    <t>50% - 74%</t>
  </si>
  <si>
    <t>75% - 99%</t>
  </si>
  <si>
    <t>Rebate Change</t>
  </si>
  <si>
    <t>Brand Usage</t>
  </si>
  <si>
    <t>per Script</t>
  </si>
  <si>
    <t>AWP</t>
  </si>
  <si>
    <t>Rebate</t>
  </si>
  <si>
    <t>Biosimilar Rebate Changes</t>
  </si>
  <si>
    <t xml:space="preserve">Harmony Projected Drug Experience </t>
  </si>
  <si>
    <t>Harmony Benefit Design</t>
  </si>
  <si>
    <t>Local Pharmacy Contract Terms</t>
  </si>
  <si>
    <t>Table 1.4</t>
  </si>
  <si>
    <t>Group Insurance, 8th Ed, Chapter 23</t>
  </si>
  <si>
    <t>Remaining items are the same as question b).</t>
  </si>
  <si>
    <t>Same as question b) except for 30% of Drug #4's utilization/1,000 is shifted to Drug #7</t>
  </si>
  <si>
    <t>Utilization per 1,000</t>
  </si>
  <si>
    <t>Same as question b) with Drug #7 added with a 15% lower price than Drug #4.</t>
  </si>
  <si>
    <t>AWP per Script</t>
  </si>
  <si>
    <t>Same as question b) except for Drug #4's rebate per script decreasing by 40% based on Table 1.4 as the brand will only maintain 70%  usage.</t>
  </si>
  <si>
    <t>Rebate per Script</t>
  </si>
  <si>
    <t>Drug #7 added which is a brand drug as it is a biosimilar.</t>
  </si>
  <si>
    <t>Drug #7</t>
  </si>
  <si>
    <t>Drug Name</t>
  </si>
  <si>
    <t>Remaining items are the same as question a).</t>
  </si>
  <si>
    <t>Same as question a) except for 40% of Drug #5's utilization/1,000 is shifted to Drug #3</t>
  </si>
  <si>
    <t>Same as question a).</t>
  </si>
  <si>
    <t>Same as question a) except for Drug #5's rebate per script decreasing by 75%.</t>
  </si>
  <si>
    <t xml:space="preserve">The allowed cost PMPM is calculated as Util/1,000 * cost/script divided by 12,000. </t>
  </si>
  <si>
    <t>The Util/1,000 per script is given in Table 1.3.</t>
  </si>
  <si>
    <t>The AWP per script is given in Table 1.3.</t>
  </si>
  <si>
    <t>The rebate per script is given in Table 1.3.</t>
  </si>
  <si>
    <t xml:space="preserve">A2 </t>
  </si>
  <si>
    <t>A1</t>
  </si>
  <si>
    <t>Calculate the expected annual allowed claim cost assuming a 65% weight on Sound Living's experience.</t>
  </si>
  <si>
    <t>$10,000 +</t>
  </si>
  <si>
    <t>$7,500.01 - $10,000.00</t>
  </si>
  <si>
    <t>$5,000.01 - $7,500.00</t>
  </si>
  <si>
    <t>$3,000.01 - $5,000.00</t>
  </si>
  <si>
    <t>$2,000.01 - $3,000.00</t>
  </si>
  <si>
    <t>$1,000.01 - $2,000.00</t>
  </si>
  <si>
    <t>$500.01 - $1,000.00</t>
  </si>
  <si>
    <t>$250.01 - $500.00</t>
  </si>
  <si>
    <t>$100.01 - $250.00</t>
  </si>
  <si>
    <t>Bronze</t>
  </si>
  <si>
    <t>$0.01 - $100.00</t>
  </si>
  <si>
    <t>Silver</t>
  </si>
  <si>
    <t>Gold</t>
  </si>
  <si>
    <t>Paid Claim Cost</t>
  </si>
  <si>
    <t>Frequency</t>
  </si>
  <si>
    <t>Annual Claims</t>
  </si>
  <si>
    <t>Range</t>
  </si>
  <si>
    <t>Platinum</t>
  </si>
  <si>
    <t xml:space="preserve"> Allowed Claim Cost</t>
  </si>
  <si>
    <t>Average</t>
  </si>
  <si>
    <t>Claim</t>
  </si>
  <si>
    <t>Induced Utilization by Metal Level</t>
  </si>
  <si>
    <t>Rate Manual</t>
  </si>
  <si>
    <t>Sound Living Claims Experience</t>
  </si>
  <si>
    <t>Group Insurance, 8th Ed, Chapter 21</t>
  </si>
  <si>
    <t>The blended annual allowed claim cost is the weighted average of the experience claim cost and the manual claim cost using the given credibility assumption.</t>
  </si>
  <si>
    <t>Blended Annual Claim Cost</t>
  </si>
  <si>
    <t>The claim credibility is given in the question.</t>
  </si>
  <si>
    <t>Credibility</t>
  </si>
  <si>
    <t>The manual annual allowed claim cost is adjusted by the IU adjustment to be on the same AV basis as the experience plan.</t>
  </si>
  <si>
    <t>Manual Annual Allowed Claim Cost - AV Adj</t>
  </si>
  <si>
    <t>The IU adjustment is calculated as the IU factors from Table 1.3 as the ratio of the gold IU (80% AV based on the plan experience) and the silver IU (70% AV based on the manual rate).</t>
  </si>
  <si>
    <t>IU Adjustment</t>
  </si>
  <si>
    <t>The manual rate actuarial value is calculated from the paid and allowed costs given in Table 1.2.</t>
  </si>
  <si>
    <t>Manual Rate AV</t>
  </si>
  <si>
    <t>The manual allowed claim cost was given in Table 1.2.</t>
  </si>
  <si>
    <t>Manual Annual Allowed Claim Cost</t>
  </si>
  <si>
    <t>The experience annual claim cost was calculated in part (a) above.</t>
  </si>
  <si>
    <t>Experience Annual Allowed Claim Cost</t>
  </si>
  <si>
    <t>The actuarial value is the ratio of the  paid claim costs divided by the allowed claim costs, or the portion of claims the plan will cover.</t>
  </si>
  <si>
    <t>Actuarial Value</t>
  </si>
  <si>
    <t>The annual paid claim cost is calculated as the annual allowed claim cost less the value of the deductible as there are no other cost sharing components of the plan.</t>
  </si>
  <si>
    <t>Annual Paid Claim Costs</t>
  </si>
  <si>
    <t>Since the deductible is not at a specific claim interval then the value of the deductible is calculated as an interpolation between the claim interval above and below.</t>
  </si>
  <si>
    <t>Value of Deductible</t>
  </si>
  <si>
    <t>The value of a deductible is calculated as the sum the claim cost before the deductible plus the value of the deductible times the accumulated frequency of exceeding the deductible value.</t>
  </si>
  <si>
    <t>Deductible</t>
  </si>
  <si>
    <t>The annual cost is calculated by taking the average annual claim cost in each interval times the interval's frequency.</t>
  </si>
  <si>
    <t>Annual Allowed Claim Cost</t>
  </si>
  <si>
    <t>The first calculates the average annual claim cost while the second calculates the value of the deductible for each claim interval.</t>
  </si>
  <si>
    <t>The calculations are broken into two steps based on the claim frequency provided in Table 1.1.</t>
  </si>
  <si>
    <t>end of the range</t>
  </si>
  <si>
    <t>Claim Cost</t>
  </si>
  <si>
    <t>equal to high</t>
  </si>
  <si>
    <t>Accumulated</t>
  </si>
  <si>
    <t>Claim Maximum</t>
  </si>
  <si>
    <t>Average Annual</t>
  </si>
  <si>
    <t>deductible</t>
  </si>
  <si>
    <t>Value of</t>
  </si>
  <si>
    <t>Allowed Claim Cost</t>
  </si>
  <si>
    <t>Calculate the revised 20X3 net PMPM health costs using a 60% weight on the manual rate.</t>
  </si>
  <si>
    <t>Calculate the 20X3 net per member per month (PMPM) health costs for TrustSource, assuming its experience is fully credible.</t>
  </si>
  <si>
    <t>80+</t>
  </si>
  <si>
    <t>Female</t>
  </si>
  <si>
    <t>75-80</t>
  </si>
  <si>
    <t>Scripts</t>
  </si>
  <si>
    <t>H. Rx</t>
  </si>
  <si>
    <t>70-75</t>
  </si>
  <si>
    <t>Procedures</t>
  </si>
  <si>
    <t xml:space="preserve">   4. Other Professional</t>
  </si>
  <si>
    <t>65-70</t>
  </si>
  <si>
    <t>Area 5</t>
  </si>
  <si>
    <t xml:space="preserve">   3. Immunizations</t>
  </si>
  <si>
    <t>Male</t>
  </si>
  <si>
    <t>Area 4</t>
  </si>
  <si>
    <t>Visits</t>
  </si>
  <si>
    <t xml:space="preserve">   2. Consultations</t>
  </si>
  <si>
    <t>Area 3</t>
  </si>
  <si>
    <t xml:space="preserve">   1. Office Visits</t>
  </si>
  <si>
    <t>Area 2</t>
  </si>
  <si>
    <t>G. Professional</t>
  </si>
  <si>
    <t>Area 1</t>
  </si>
  <si>
    <t>Cases</t>
  </si>
  <si>
    <t xml:space="preserve">   6. Other Outpatient</t>
  </si>
  <si>
    <t>Distribution</t>
  </si>
  <si>
    <t>Rating Factor</t>
  </si>
  <si>
    <t>Age Band</t>
  </si>
  <si>
    <t>Gender</t>
  </si>
  <si>
    <t xml:space="preserve">   5. Preventive</t>
  </si>
  <si>
    <t>TrustSource</t>
  </si>
  <si>
    <t xml:space="preserve">   4. Surgery</t>
  </si>
  <si>
    <t xml:space="preserve">   3. Pathology</t>
  </si>
  <si>
    <t>Age-Gender Rating Factors</t>
  </si>
  <si>
    <t>Geographic Rating Factors</t>
  </si>
  <si>
    <t xml:space="preserve">   2. Radiology</t>
  </si>
  <si>
    <t>Table 1.5</t>
  </si>
  <si>
    <t xml:space="preserve">   1. ER</t>
  </si>
  <si>
    <t>F. Outpatient</t>
  </si>
  <si>
    <t>E. DME</t>
  </si>
  <si>
    <t>D. Ambulance</t>
  </si>
  <si>
    <t>Rx</t>
  </si>
  <si>
    <t>C. Home Health</t>
  </si>
  <si>
    <t>Professional</t>
  </si>
  <si>
    <t>Days</t>
  </si>
  <si>
    <t>B. Skilled Nursing Facility</t>
  </si>
  <si>
    <t>Outpatient</t>
  </si>
  <si>
    <t xml:space="preserve">   5. Substance Abuse</t>
  </si>
  <si>
    <t>DME</t>
  </si>
  <si>
    <t xml:space="preserve">   4. Psychiatric</t>
  </si>
  <si>
    <t>Ambulance</t>
  </si>
  <si>
    <t xml:space="preserve">   3. Rehabilitation</t>
  </si>
  <si>
    <t>Home Health</t>
  </si>
  <si>
    <t xml:space="preserve">   2. Surgical</t>
  </si>
  <si>
    <t>Skilled Nursing Facility</t>
  </si>
  <si>
    <t xml:space="preserve">   1. Medical</t>
  </si>
  <si>
    <t>Inpatient</t>
  </si>
  <si>
    <t>A. Inpatient</t>
  </si>
  <si>
    <t>Trend</t>
  </si>
  <si>
    <t>Cost</t>
  </si>
  <si>
    <t>per Service</t>
  </si>
  <si>
    <t>Amount</t>
  </si>
  <si>
    <t>Service Day</t>
  </si>
  <si>
    <t>Mix</t>
  </si>
  <si>
    <t>Cost/Service</t>
  </si>
  <si>
    <t>PMPM</t>
  </si>
  <si>
    <t>Avg Cost</t>
  </si>
  <si>
    <t>Copay</t>
  </si>
  <si>
    <t>Annual Trend Assumptions</t>
  </si>
  <si>
    <t>Cost Model - Rate Manual (20X1 Experience)</t>
  </si>
  <si>
    <t>Cost Model - TrustSource (20X2 Experience)</t>
  </si>
  <si>
    <t>All other amounts are taken from question a) and calculated similarly for the Net PMPM cost.</t>
  </si>
  <si>
    <t xml:space="preserve">from the calculations above for question b). </t>
  </si>
  <si>
    <t xml:space="preserve">The SNF amounts are blended between the experience projection from question a) and the amounts </t>
  </si>
  <si>
    <t>Net PMPM</t>
  </si>
  <si>
    <t>Experience Credibility</t>
  </si>
  <si>
    <t>Age-Gender</t>
  </si>
  <si>
    <t>Geographic</t>
  </si>
  <si>
    <t>Manual Credibility</t>
  </si>
  <si>
    <t>The geographic and age-gender factors are calculated from Tables 1.4 and 1.5 and applied to Util/1,000.</t>
  </si>
  <si>
    <t>The SNF manual rate is given in Table 1.2 and then trended two years (20X1 to 20X3).</t>
  </si>
  <si>
    <t>Lookup</t>
  </si>
  <si>
    <t>Cost sharing is assumed to be the same and the net PMPM cost is calculated as in Table 1.1.</t>
  </si>
  <si>
    <t>The cost/service trend and mix trend are applied to Avg Cost per Service.</t>
  </si>
  <si>
    <t>The utilization trend is applied to Util/1,000.</t>
  </si>
  <si>
    <t>The trend Is applied for one year from experience year (20X2) to projection year (20X3)</t>
  </si>
  <si>
    <t>The cost model given in Table 1.1 is trended using the annual trend assumptions in Table 1.3</t>
  </si>
  <si>
    <t>Calculate the revised benefit cost for a $5,000, $2,500, and $2,000 annual maximum.</t>
  </si>
  <si>
    <t xml:space="preserve">VitalHealth is considering adding an annual benefit maximum to the dental plan. </t>
  </si>
  <si>
    <t>Calculate the expected net benefit cost for VitalHealth's dental plan assuming a 6% total annual trend.</t>
  </si>
  <si>
    <t>VitalHealth is a physician group consisting of 40 employees in the south of the US, evenly distributed amongst age-gender.</t>
  </si>
  <si>
    <t xml:space="preserve">VitalHealth announced on November 1st they will be offering a dental plan to their employees at the beginning of next year (January 1, 20X3). </t>
  </si>
  <si>
    <t>Other</t>
  </si>
  <si>
    <t>Child (0-19)</t>
  </si>
  <si>
    <t>Medical</t>
  </si>
  <si>
    <t>100+</t>
  </si>
  <si>
    <t>West</t>
  </si>
  <si>
    <t>Female (Age 45 - 65)</t>
  </si>
  <si>
    <t>Entertainment</t>
  </si>
  <si>
    <t>50 - 100</t>
  </si>
  <si>
    <t>South</t>
  </si>
  <si>
    <t>Female (Age 20 - 45)</t>
  </si>
  <si>
    <t>Construction</t>
  </si>
  <si>
    <t>25 - 50</t>
  </si>
  <si>
    <t>Midwest</t>
  </si>
  <si>
    <t>Male (Age 45 - 65)</t>
  </si>
  <si>
    <t>0 - 25</t>
  </si>
  <si>
    <t>5% per month</t>
  </si>
  <si>
    <t>Pre-Announcement</t>
  </si>
  <si>
    <t>Northeast</t>
  </si>
  <si>
    <t>Male (Age 20 - 45)</t>
  </si>
  <si>
    <t xml:space="preserve"> Factor</t>
  </si>
  <si>
    <t>Annual Max</t>
  </si>
  <si>
    <t>Industry</t>
  </si>
  <si>
    <t>Group Size</t>
  </si>
  <si>
    <t>Waiting Period</t>
  </si>
  <si>
    <t>Area Factor</t>
  </si>
  <si>
    <t>Class III</t>
  </si>
  <si>
    <t>Class II</t>
  </si>
  <si>
    <t>Class I</t>
  </si>
  <si>
    <t>Adjustment</t>
  </si>
  <si>
    <t>Annual Maximum Adjustment Factors</t>
  </si>
  <si>
    <t>Industry Rating Factors</t>
  </si>
  <si>
    <t>Group Size Rating Factors</t>
  </si>
  <si>
    <t>Waiting Period Rating Factors</t>
  </si>
  <si>
    <t>Table 1.8</t>
  </si>
  <si>
    <t>Table 1.7</t>
  </si>
  <si>
    <t>Table 1.6</t>
  </si>
  <si>
    <t>Major</t>
  </si>
  <si>
    <t>Basic</t>
  </si>
  <si>
    <t>Diagnostic &amp; Preventive</t>
  </si>
  <si>
    <t>Allowed Cost</t>
  </si>
  <si>
    <t>Rate Manual (20X1)</t>
  </si>
  <si>
    <t>VitalHealth Benefit Design (20X2)</t>
  </si>
  <si>
    <t>Group Insurance, 8th Ed, Chapter 22</t>
  </si>
  <si>
    <t>$2,000 Annual Max</t>
  </si>
  <si>
    <t>$2,500 Annual Max</t>
  </si>
  <si>
    <t>$5,000 Annual Max</t>
  </si>
  <si>
    <t>Net Cost PMPM</t>
  </si>
  <si>
    <t>Adj Factor</t>
  </si>
  <si>
    <t>The net cost PMPM is the allowed cost PMPM less the cost sharing PMPM.</t>
  </si>
  <si>
    <t>Net Benefit Cost PMPM</t>
  </si>
  <si>
    <t>The cost sharing % is calculated as the coinsurance % times the adjusted allowed PMPM cost.</t>
  </si>
  <si>
    <t>Cost Sharing PMPM</t>
  </si>
  <si>
    <t>The coinsurance % is from the benefit design in Table 1.1</t>
  </si>
  <si>
    <t>Coinsurance</t>
  </si>
  <si>
    <t>The adjusted allowed PMPM is calculated by the product of all the above adjustment factors.</t>
  </si>
  <si>
    <t>Adjusted Allowed Cost PMPM</t>
  </si>
  <si>
    <t>The industry factor is from Table 1.6 based on the employees being in the medical industry (physicians).</t>
  </si>
  <si>
    <t>The group size factor from Table 1.5 was applied based on the 40 employee assumption from the question.</t>
  </si>
  <si>
    <t>The plan was announced 2 months in advanced so a 10% (2 x 5%) adjustment was applied from Table 1.5.</t>
  </si>
  <si>
    <t>The geographic factor is from Table 1.4 based on the South region assumption in the problem</t>
  </si>
  <si>
    <t>The age/gender factor is the average of the age-gender factors in Table 1.3, excluding children, as the question states to assume uniform distribution by age-gender and only employees are covered.</t>
  </si>
  <si>
    <t>The trend is a 2-year trend from the rating manual (20X1) to benefit year (20X3) with the 6% assumption from the question.</t>
  </si>
  <si>
    <t>Avg Cost/Service</t>
  </si>
  <si>
    <t>The util/1,000 and avg cost/service are from the rating manual given in Table 1.2</t>
  </si>
  <si>
    <t>Calculate the revised 20X4 net benefit cost under the proposed plan design.</t>
  </si>
  <si>
    <t xml:space="preserve">BigGrowth Inc. wants to evaluate the cost of offering a richer plan design with coinsurance of 0%, 25%, 50% of Class I, Class II, and Class III respectively. </t>
  </si>
  <si>
    <t>Calculate the 20X4 net benefit cost assuming 75% credibility on its experience.</t>
  </si>
  <si>
    <t>Due to the significant changes among its employee base, BigGrowth is planning on blending its experience with the rate manual for a more credible projection.</t>
  </si>
  <si>
    <t xml:space="preserve">Additionally, it has noticed an increase in the employee turnover rate in 20X3 and is now considered a high turnover company.  </t>
  </si>
  <si>
    <t xml:space="preserve">BigGrowth Inc. offered a 100% company sponsored dental plan in 20X2 but expects significant growth among it's workforce and will double its employee headcount by 20X4. </t>
  </si>
  <si>
    <t>0%/50%/75%</t>
  </si>
  <si>
    <t>Cost Sharing (Class I/II/III)</t>
  </si>
  <si>
    <t>Implants</t>
  </si>
  <si>
    <t>75% Professional, 25% Service</t>
  </si>
  <si>
    <t>Repair</t>
  </si>
  <si>
    <t>Urban</t>
  </si>
  <si>
    <t>Geographic Region</t>
  </si>
  <si>
    <t>Bridges</t>
  </si>
  <si>
    <t>Number of Employees</t>
  </si>
  <si>
    <t>Dentures</t>
  </si>
  <si>
    <t>Low</t>
  </si>
  <si>
    <t>Employee Turnover</t>
  </si>
  <si>
    <t>Benefit Richness</t>
  </si>
  <si>
    <t>Inlays and Crowns</t>
  </si>
  <si>
    <t>Class III: Major</t>
  </si>
  <si>
    <t>BigGrowth Inc. (20X2)</t>
  </si>
  <si>
    <t>Coinsurance Benefit Richness Factors</t>
  </si>
  <si>
    <t>Endodontics</t>
  </si>
  <si>
    <t>Periodontics</t>
  </si>
  <si>
    <t>Restorations</t>
  </si>
  <si>
    <t>Unskilled</t>
  </si>
  <si>
    <t>Anesthesia</t>
  </si>
  <si>
    <t>51 - 100</t>
  </si>
  <si>
    <t>Agriculture/Trades</t>
  </si>
  <si>
    <t>Oral Surgery</t>
  </si>
  <si>
    <t>6 - 50</t>
  </si>
  <si>
    <t>Service</t>
  </si>
  <si>
    <t>Surgical Extractions</t>
  </si>
  <si>
    <t>0 - 5</t>
  </si>
  <si>
    <t>High</t>
  </si>
  <si>
    <t>Simple Extractions</t>
  </si>
  <si>
    <t>Factor</t>
  </si>
  <si>
    <t>Size</t>
  </si>
  <si>
    <t>Contribution</t>
  </si>
  <si>
    <t>Employer Turnover</t>
  </si>
  <si>
    <t>Space Maintainers</t>
  </si>
  <si>
    <t>Rating</t>
  </si>
  <si>
    <t>Group</t>
  </si>
  <si>
    <t>Emergency</t>
  </si>
  <si>
    <t>Class II: Basic</t>
  </si>
  <si>
    <t>Employer Turnover Rating Factors</t>
  </si>
  <si>
    <t>Lab &amp; Other Diagnostic</t>
  </si>
  <si>
    <t>Diagnostic Imaging</t>
  </si>
  <si>
    <t>Fluoride</t>
  </si>
  <si>
    <t>20X3 to 20X4</t>
  </si>
  <si>
    <t>Cleanings</t>
  </si>
  <si>
    <t>20X2 to 20X3</t>
  </si>
  <si>
    <t>Oral Exams</t>
  </si>
  <si>
    <t>20X1 to 20X2</t>
  </si>
  <si>
    <t>Class I: Preventive and Diagnostic</t>
  </si>
  <si>
    <t>Annual Trend</t>
  </si>
  <si>
    <t>Trend Year</t>
  </si>
  <si>
    <t>Per Service</t>
  </si>
  <si>
    <t>Trend Assumption</t>
  </si>
  <si>
    <t>Dental Cost Model (20X2)</t>
  </si>
  <si>
    <t>Blended experience and rate manual based on credibility percentage given in question b)</t>
  </si>
  <si>
    <t>Blended Net Cost PMPM</t>
  </si>
  <si>
    <t>Recalculated net benefit cost with the revised coinsurance % given in question c)</t>
  </si>
  <si>
    <t>Allowed Cost Adj PMPM</t>
  </si>
  <si>
    <t>Applied benefit richness adjustment for Class II and III based on relativity of benefit richness factors in Table 1.7 between rate manual coinsurance % and proposed coinsurance % given in question c)</t>
  </si>
  <si>
    <t>Benefit Richness Adjustment</t>
  </si>
  <si>
    <t>Applied benefit richness adjustment for Class II and III from benefit richness factors in Table 1.7 based on coinsurance % change given in question c).</t>
  </si>
  <si>
    <t>Summarized rate manual allowed cost at class level from question b)</t>
  </si>
  <si>
    <t>Manual</t>
  </si>
  <si>
    <t>Adjusted Net Cost PMPM</t>
  </si>
  <si>
    <t>Employer Turnover Adjustment</t>
  </si>
  <si>
    <t>Group Size Adjustment</t>
  </si>
  <si>
    <t>Applied the same experience adjustment factors from expected BigGrowth Inc. changes as in question a)</t>
  </si>
  <si>
    <t>Applied benefit richness adjustment for Class II and III based on relativity of benefit richness factors in Table 1.7 between experience coinsurance % and proposed coinsurance % given in question c)</t>
  </si>
  <si>
    <t>Summarized allowed cost at class level from question a)</t>
  </si>
  <si>
    <t>Experience</t>
  </si>
  <si>
    <t>Experience Projection</t>
  </si>
  <si>
    <t>Applied group size adjustment to reflect employee count of 150 (100+ group size range) from question a)</t>
  </si>
  <si>
    <t>Applied employee contribution rating factor of 0% employee contribution based on 100% employer coverage in question a)</t>
  </si>
  <si>
    <t>Applied employer turnover rating factor based on high turnover in question a)</t>
  </si>
  <si>
    <t>Applied industry rating factory from industry assumptions in question a)</t>
  </si>
  <si>
    <t>Trended rate manual from 20X1 to 20X4 from trend assumptions in Table 1.3</t>
  </si>
  <si>
    <t>Applied employer turnover adjustment to reflect increase in employee turnover</t>
  </si>
  <si>
    <t>Applied group size adjustment to reflect increase in employee count from 75 (51 - 100 group size range) to 150 (100+ group size range)</t>
  </si>
  <si>
    <t>Trended experience from 20X2 to 20X4 from trend assumptions in Table 1.3</t>
  </si>
  <si>
    <t>Cost PMPM</t>
  </si>
  <si>
    <t>Net Cost</t>
  </si>
  <si>
    <t>Employee</t>
  </si>
  <si>
    <t>Allowed</t>
  </si>
  <si>
    <t>Calculate the expected monthly claim rate for the optional coverage only and the revised total expected monthly claim rate across all employees.</t>
  </si>
  <si>
    <t xml:space="preserve">Only Employee #1 and #5 purchase the optional coverage. </t>
  </si>
  <si>
    <t xml:space="preserve">BuildRight Inc. is also considering offering optional coverage for the employee to purchase an additional two time salary fully with no employer contribution. </t>
  </si>
  <si>
    <t xml:space="preserve">BuildRight Inc. announced the benefit in October and the benefit will begin coverage at the start of next year.  </t>
  </si>
  <si>
    <t xml:space="preserve">BuildRight Inc is planning to offer a fully covered life insurance benefit to all of its employees with an insured amount of one times their annual salary.  </t>
  </si>
  <si>
    <t>BuildRight Inc. is a roofing company based in the South of the United States.</t>
  </si>
  <si>
    <t>M</t>
  </si>
  <si>
    <t>Employee #7</t>
  </si>
  <si>
    <t>December</t>
  </si>
  <si>
    <t>Employee #6</t>
  </si>
  <si>
    <t>October - November</t>
  </si>
  <si>
    <t>Employee #5</t>
  </si>
  <si>
    <t>August - September</t>
  </si>
  <si>
    <t>F</t>
  </si>
  <si>
    <t>Employee #4</t>
  </si>
  <si>
    <t>June - July</t>
  </si>
  <si>
    <t>Employee #3</t>
  </si>
  <si>
    <t>April - May</t>
  </si>
  <si>
    <t>Employee #2</t>
  </si>
  <si>
    <t>February - March</t>
  </si>
  <si>
    <t>Employee #1</t>
  </si>
  <si>
    <t>January</t>
  </si>
  <si>
    <t>Salary</t>
  </si>
  <si>
    <t>Age</t>
  </si>
  <si>
    <t>Sex</t>
  </si>
  <si>
    <t>Central Date</t>
  </si>
  <si>
    <t>Employee Information</t>
  </si>
  <si>
    <t>Central Date Rating Factors</t>
  </si>
  <si>
    <t>Contribution Rating Factors</t>
  </si>
  <si>
    <t>Finance</t>
  </si>
  <si>
    <t>Health</t>
  </si>
  <si>
    <t>Pacific</t>
  </si>
  <si>
    <t>Manufacturing</t>
  </si>
  <si>
    <t>Non-Smoking</t>
  </si>
  <si>
    <t>Mining</t>
  </si>
  <si>
    <t>Smoking</t>
  </si>
  <si>
    <t>Agriculture</t>
  </si>
  <si>
    <t>Lifestyle</t>
  </si>
  <si>
    <t>Region</t>
  </si>
  <si>
    <t>Occupation</t>
  </si>
  <si>
    <t>Lifestyle Rating Factor</t>
  </si>
  <si>
    <t>Regional Rating Factor</t>
  </si>
  <si>
    <t>Occupational Rating Factor</t>
  </si>
  <si>
    <t>Rate Manual - Monthly Claim Rate per $1,000 of coverage</t>
  </si>
  <si>
    <t>Group Insurance, 8th Ed, Chapter 24</t>
  </si>
  <si>
    <t>Aggregate Final Monthly Claim Rate (per $1,000)</t>
  </si>
  <si>
    <t>Average Final Monthly Claim Rate (per $1,000)</t>
  </si>
  <si>
    <t>Average Non-Contributory Monthly Claim Rate (per $1,000)</t>
  </si>
  <si>
    <t>Total Optional Insured Value</t>
  </si>
  <si>
    <t>The final aggregate monthly claim rate is calculated as the weighted average of the monthly claim rates with the respective coverage amounts for each benefit.</t>
  </si>
  <si>
    <t>Total Non-Contributory Insured Value</t>
  </si>
  <si>
    <t>All rating adjustments were applied to the average expected monthly claim rate for the final average expected monthly claim rate for the optional coverage</t>
  </si>
  <si>
    <t>Final Average Expected Monthly Claim Rate (per $1,000) for Optional Coverage</t>
  </si>
  <si>
    <t>Central Date Rating Factor</t>
  </si>
  <si>
    <t>The optional coverage is 100% employee contribution so the 100% employee contribution rating factor is applied.</t>
  </si>
  <si>
    <t>Contribution Rating Factor</t>
  </si>
  <si>
    <t>All rating factor adjustments are the same as question a) except for the contribution rating factor</t>
  </si>
  <si>
    <t>Average Expected Monthly Claim Rate (per $1,000)</t>
  </si>
  <si>
    <t>The monthly claim rate, expected monthly claims, and average expected monthly claim rate are calculated the same as question a)</t>
  </si>
  <si>
    <t>Only Employee #1 and Employee #5 purchased the optional coverage at 2 times their annual salary</t>
  </si>
  <si>
    <t>Monthly Claims</t>
  </si>
  <si>
    <t>Claim Rate</t>
  </si>
  <si>
    <t>Coverage</t>
  </si>
  <si>
    <t>Expected</t>
  </si>
  <si>
    <t>Monthly</t>
  </si>
  <si>
    <t>Optional</t>
  </si>
  <si>
    <t>All rating adjustments were applied to the average expected monthly claim rate for the final average expected monthly claim rate</t>
  </si>
  <si>
    <t>Final Average Expected Monthly Claim Rate (per $1,000)</t>
  </si>
  <si>
    <t>Since the age was calculated using the difference from the policy year and the birth year a January central date rating factor was applied as the policy will be effective in January.</t>
  </si>
  <si>
    <t>The benefit was fully covered by the employer so the 0% employee contribution rating factor was applied</t>
  </si>
  <si>
    <t>There was no smoking/non-smoking status information provided so no lifestyle adjustment was applied</t>
  </si>
  <si>
    <t>The South regional rating factor was applied</t>
  </si>
  <si>
    <t>The construction occupational rating factor was applied</t>
  </si>
  <si>
    <t>The average expected monthly claim rate was calculated as the weighted average of the expected monthly claims with the total salary</t>
  </si>
  <si>
    <t>The expected monthly claims were calculated as the monthly claim rate, times the annual salary, and divided by $1,000</t>
  </si>
  <si>
    <t>For employees between age bands, the monthly claim rate was calculated as a linear interpolation between the two age bounds</t>
  </si>
  <si>
    <t>Monthly claim rate is looked up from Table 1.1 based on age and sex of each employee</t>
  </si>
  <si>
    <t>The employee age is given in Table 1.7</t>
  </si>
  <si>
    <t>Calculate the difference in total premium collected compare to what would have been charged based on the actual employee lapse information.</t>
  </si>
  <si>
    <t xml:space="preserve">When the benefit change occurred, 50% of employees aged 35 and under and 10% of its employees above the age of 35 elected not to continue coverage. </t>
  </si>
  <si>
    <t xml:space="preserve">Calculate the expected premium per employee in 20X1 assuming a 20% administrative margin and 5% risk margin. </t>
  </si>
  <si>
    <t xml:space="preserve">MarsBound's insurer plans to use 15% credibility for MarsBound's experience and 85% from its rate manual. </t>
  </si>
  <si>
    <t>Beginning in 20X1, MarsBound is planning to require 50% employee contribution for the benefit to cut costs, but still expects all employees to continue coverage.</t>
  </si>
  <si>
    <t>MarsBound is an aerospace manufacturing corporation with employees across the US who has historically offered a fully covered life insurance benefit to its employees.</t>
  </si>
  <si>
    <t>5,000+</t>
  </si>
  <si>
    <t>2,500 - 5,000</t>
  </si>
  <si>
    <t>75 - 100%</t>
  </si>
  <si>
    <t>500 - 2,500</t>
  </si>
  <si>
    <t>50 - 75%</t>
  </si>
  <si>
    <t>100 - 500</t>
  </si>
  <si>
    <t>25 - 50%</t>
  </si>
  <si>
    <t>0 - 100</t>
  </si>
  <si>
    <t>0 - 25%</t>
  </si>
  <si>
    <t>Lives</t>
  </si>
  <si>
    <t>Rate</t>
  </si>
  <si>
    <t>Covered</t>
  </si>
  <si>
    <t>Participation</t>
  </si>
  <si>
    <t>Case Size Rating Factors</t>
  </si>
  <si>
    <t>Participation Rating Factors</t>
  </si>
  <si>
    <t>Table 1.9</t>
  </si>
  <si>
    <t>65 F</t>
  </si>
  <si>
    <t>60 F</t>
  </si>
  <si>
    <t>55 F</t>
  </si>
  <si>
    <t>50 F</t>
  </si>
  <si>
    <t>45 F</t>
  </si>
  <si>
    <t>40 F</t>
  </si>
  <si>
    <t>35 F</t>
  </si>
  <si>
    <t>30 F</t>
  </si>
  <si>
    <t>25 F</t>
  </si>
  <si>
    <t>20 F</t>
  </si>
  <si>
    <t>65 M</t>
  </si>
  <si>
    <t>60 M</t>
  </si>
  <si>
    <t>55 M</t>
  </si>
  <si>
    <t>50 M</t>
  </si>
  <si>
    <t>45 M</t>
  </si>
  <si>
    <t>40 M</t>
  </si>
  <si>
    <t>35 M</t>
  </si>
  <si>
    <t>30 M</t>
  </si>
  <si>
    <t>25 M</t>
  </si>
  <si>
    <t>20 M</t>
  </si>
  <si>
    <t>Amount ($1,000s)</t>
  </si>
  <si>
    <t>Count</t>
  </si>
  <si>
    <t>Insured</t>
  </si>
  <si>
    <t>MarsBound Employee Count (20X1)</t>
  </si>
  <si>
    <t>MarsBound Historical Experience</t>
  </si>
  <si>
    <t>if the employee lapse assumption was not accounted for in the initial pricing.</t>
  </si>
  <si>
    <t>The difference between the total premium calculated in question b) and the collected premium would be the expected deficit</t>
  </si>
  <si>
    <t>Difference in Premium</t>
  </si>
  <si>
    <t>The collected premium is calculated as the premium per employee from question a) times the revised employee count</t>
  </si>
  <si>
    <t>Total Premium Collected</t>
  </si>
  <si>
    <t>Premium Charged</t>
  </si>
  <si>
    <t>Premium per Employee</t>
  </si>
  <si>
    <t>The total premium per employee is calculated the same as question a)</t>
  </si>
  <si>
    <t>Total Premium</t>
  </si>
  <si>
    <t>Risk Margin</t>
  </si>
  <si>
    <t>Administrative Margin</t>
  </si>
  <si>
    <t>Blended</t>
  </si>
  <si>
    <t>Expected Claims</t>
  </si>
  <si>
    <t>Case Size</t>
  </si>
  <si>
    <t>Participation Rate</t>
  </si>
  <si>
    <t>The rate manual claim amount is calculated the same as question a) now with the new employee counts</t>
  </si>
  <si>
    <t>All rating factors are the same except the participation rate which is now between 50% - 75%</t>
  </si>
  <si>
    <t>Occupational</t>
  </si>
  <si>
    <t>$1,000 of coverage</t>
  </si>
  <si>
    <t>Adj Claim Rate per</t>
  </si>
  <si>
    <t>Claim Rate per</t>
  </si>
  <si>
    <t>The experience claim amount is calculated the same as question a) now with the new employee counts</t>
  </si>
  <si>
    <t>Count - Covered</t>
  </si>
  <si>
    <t>The participation rate is calculated as the employees electing coverage divided by total employees</t>
  </si>
  <si>
    <t>The insured amount is calculated as the average insured amount per employee times the employees electing coverage</t>
  </si>
  <si>
    <t>The number of employees electing coverage is calculated based on the election percentage given in the question</t>
  </si>
  <si>
    <t>per Employee</t>
  </si>
  <si>
    <t>Election</t>
  </si>
  <si>
    <t>Insured Amount</t>
  </si>
  <si>
    <t>The final premium per employee is the total premium divided by the total employees in 20X1 from Table 1.2</t>
  </si>
  <si>
    <t>The total premium is the sum of the claim rate, administrative margin, and risk margin</t>
  </si>
  <si>
    <t>The risk margin is calculated as 5% of the premium from the question</t>
  </si>
  <si>
    <t>The administrative margin is calculated as 20% of the premium from the question</t>
  </si>
  <si>
    <t>The total expected claims is blended with 15% weight on the experience and 85% weight on the rate manual per the question</t>
  </si>
  <si>
    <t>The claim amount is calculated as the adjusted rate manual claim rate times the insured amount from Table 1.2</t>
  </si>
  <si>
    <t>The total rating factor is multiplied by the rate manual claim rate from Table 1.3</t>
  </si>
  <si>
    <t>The rating factors are pulled from Tables 1.4 through Table 1.8 based on the information given on MarsBound in the question</t>
  </si>
  <si>
    <t>The claim amount is calculated as the claim rate times the insured amount from Table 1.2</t>
  </si>
  <si>
    <t>The experience claim rate is calculated at the age-gender cell based on MarsBound's experience from Table 1.1</t>
  </si>
  <si>
    <t>Calculate the revised 20X8 small group allowed cost accounting for the county expansion.</t>
  </si>
  <si>
    <t>The only information Aloha Insurance has on Maui's claim costs are a table of area factors by provided by a consulting firm.</t>
  </si>
  <si>
    <t>In 20X8 Aloha Insurance is also considering offering small group insurance in Maui county for the first time and expects to increase its membership by 25% from the county expansion.</t>
  </si>
  <si>
    <t xml:space="preserve">Calculate its 20X8 small group allowed claim cost for the rate filing. </t>
  </si>
  <si>
    <t>Aloha plans to use its two most recent years experience with equal credibility.</t>
  </si>
  <si>
    <t xml:space="preserve">Aloha Insurance plans to use its historical experience from 20X1 to 20X6 at the service category level as the basis for its trend. </t>
  </si>
  <si>
    <t>50+</t>
  </si>
  <si>
    <t>40-49</t>
  </si>
  <si>
    <t>30-39</t>
  </si>
  <si>
    <t>20-29</t>
  </si>
  <si>
    <t>Maui</t>
  </si>
  <si>
    <t>Kauai</t>
  </si>
  <si>
    <t>Kalawao</t>
  </si>
  <si>
    <t>Honolulu</t>
  </si>
  <si>
    <t>10-19</t>
  </si>
  <si>
    <t>Child</t>
  </si>
  <si>
    <t>Hawaii</t>
  </si>
  <si>
    <t>0-9</t>
  </si>
  <si>
    <t>County</t>
  </si>
  <si>
    <t>Actual</t>
  </si>
  <si>
    <t>Value</t>
  </si>
  <si>
    <t>Plan Design</t>
  </si>
  <si>
    <t>Claim Cost Factor</t>
  </si>
  <si>
    <t>20X8</t>
  </si>
  <si>
    <t>20X6</t>
  </si>
  <si>
    <t>20X5</t>
  </si>
  <si>
    <t>Induced</t>
  </si>
  <si>
    <t>Actuarial</t>
  </si>
  <si>
    <t>Geographic Factors</t>
  </si>
  <si>
    <t>Aloha Insurance Plan Design and Induced Utilization Factors</t>
  </si>
  <si>
    <t>Aloha Insurance Age/Gender</t>
  </si>
  <si>
    <t>Prescription Drugs</t>
  </si>
  <si>
    <t>Physician</t>
  </si>
  <si>
    <t>Hospital Outpatient</t>
  </si>
  <si>
    <t>Hospital Inpatient</t>
  </si>
  <si>
    <t>20X4</t>
  </si>
  <si>
    <t>20X3</t>
  </si>
  <si>
    <t>20X2</t>
  </si>
  <si>
    <t>20X1</t>
  </si>
  <si>
    <t>Aloha Insurance PMPM Allowed Cost (20X1 - 20X6)</t>
  </si>
  <si>
    <t>The final allowed cost is calculated as the blend of the "experience" and "manual" projected allowed cost PMPM</t>
  </si>
  <si>
    <t>Final Allowed Cost PMPM</t>
  </si>
  <si>
    <t>Manual Weight</t>
  </si>
  <si>
    <t>Experience Weight</t>
  </si>
  <si>
    <t>The manual allowed cost is calculated from the projected allowed cost in question a) times the area factor adjustment</t>
  </si>
  <si>
    <t>Manual Allowed Cost PMPM</t>
  </si>
  <si>
    <t>There was no other information available for the new county expansion other than the area factors as stated in the question</t>
  </si>
  <si>
    <t>Experience Allowed Cost PMPM</t>
  </si>
  <si>
    <t>The area factor adjustment is calculated as the ratio from Maui county and Honolulu county</t>
  </si>
  <si>
    <t>Area Factor Adjustment</t>
  </si>
  <si>
    <t xml:space="preserve">The area factors for each country are from Table 1.4 </t>
  </si>
  <si>
    <t>Area Factors</t>
  </si>
  <si>
    <t>The final projected allowed cost is a 50/50 blend of 20X5 and 20X6 given in the question</t>
  </si>
  <si>
    <t>The projected allowed cost is the product of the 20X5 and 20X6 experience by each factor</t>
  </si>
  <si>
    <t>Projected Allowed Cost PMPM</t>
  </si>
  <si>
    <t>Area</t>
  </si>
  <si>
    <t>Plan Design Factor</t>
  </si>
  <si>
    <t>Age/Gender Factor</t>
  </si>
  <si>
    <t>The age/gender factor is calculated from the distribution of age/gender factors from Table 1.2 for 20X5, 20X6, and 2024</t>
  </si>
  <si>
    <t>Age/Gender</t>
  </si>
  <si>
    <t>Trend Factor</t>
  </si>
  <si>
    <t>The 20X5 and 20X6 experience costs from Table 1.2 were trended to 2024 with 3 and 2 years of annual trend, respectively</t>
  </si>
  <si>
    <t>The average trend was calculated from the 20X1 to 20X6 experience, by service category, from Table 1.1</t>
  </si>
  <si>
    <t>20X1 - 20X6</t>
  </si>
  <si>
    <t>Trended to 20X8</t>
  </si>
  <si>
    <t>Average Trend</t>
  </si>
  <si>
    <t xml:space="preserve">Based on market research, Bright Insurance believes a $2,500 benefit maximum is the lowest it can offer without member disruption. </t>
  </si>
  <si>
    <t>To manage costs, Bright Insurance wants to offer a deductible or an annual maximum. Bright Insurance plans to use its 20X2 claim experience as a proxy for the annual cost savings for either benefit design.</t>
  </si>
  <si>
    <t>Due to limited credibility, Bright Insurance plans to blend its own experience with a rate manual with a 25%/75% credibility weighting, respectively.</t>
  </si>
  <si>
    <t>Bright Insurance offered a dental benefit for the first time in 20X2 and is developing its pricing estimates for 20X4. There benefit had 0%/25%/50% coinsurance for Class I/II/III and has a 3-month waiting period for major dental procedures.</t>
  </si>
  <si>
    <t>$5,000 +</t>
  </si>
  <si>
    <t>$2,500.01 - $5,000.00</t>
  </si>
  <si>
    <t>$1,000.01 - $2,500.00</t>
  </si>
  <si>
    <t>35-50</t>
  </si>
  <si>
    <t>20-35</t>
  </si>
  <si>
    <t>Pandaria</t>
  </si>
  <si>
    <t>Northrend</t>
  </si>
  <si>
    <t>Kalimdor</t>
  </si>
  <si>
    <t>0-19</t>
  </si>
  <si>
    <t>Bright (20X2)</t>
  </si>
  <si>
    <t>Claim Probability Distribution</t>
  </si>
  <si>
    <t>Age/Gender Rating Factors</t>
  </si>
  <si>
    <t>12 Months</t>
  </si>
  <si>
    <t>6 Months</t>
  </si>
  <si>
    <t>3 Months</t>
  </si>
  <si>
    <t>Average Discount</t>
  </si>
  <si>
    <t>0 Months</t>
  </si>
  <si>
    <t>Class I: Diagnostic &amp; Preventive</t>
  </si>
  <si>
    <t>Average Dental Provider Discounts</t>
  </si>
  <si>
    <t>Annual Allowed Cost per Member</t>
  </si>
  <si>
    <t>The final deductible is rounded to the nearest $10 from the question</t>
  </si>
  <si>
    <t>Deductible (Rounded $10)</t>
  </si>
  <si>
    <t>Check</t>
  </si>
  <si>
    <t>Value of Annual Maximum</t>
  </si>
  <si>
    <t>The actual deductible value is calculated from the linear interpolation of the deductible value for the end points of the $100 - $250 claim range</t>
  </si>
  <si>
    <t>Upper bound</t>
  </si>
  <si>
    <t>value of the annual maximum calculated above</t>
  </si>
  <si>
    <t>From the deductible value calculations the deductible amount would need to be set in the $100 - $250 claim range to equal the</t>
  </si>
  <si>
    <t>Lower bound</t>
  </si>
  <si>
    <t>The value of the deductible is calculated for each claim range with the average claim cost, claim maximum, and accumulated frequency</t>
  </si>
  <si>
    <t>The difference in the total annual claim cost is the impact of the annual benefit maximum of $2,500</t>
  </si>
  <si>
    <t>The average annual claim cost is the average annual climes times the frequence in Table 1.6 for both with and without the annual max</t>
  </si>
  <si>
    <t>Annual Maximum</t>
  </si>
  <si>
    <t>The annual max average annual claims is the min of the average annual claims in Table 1.6 or the annual max of $2,5000</t>
  </si>
  <si>
    <t>The total cost per member per month is the annual cost divided by 12</t>
  </si>
  <si>
    <t>Total Cost Per Member per Month</t>
  </si>
  <si>
    <t>The total annual cost is the blended annual net cost per member from the experience and rate manual projection with the credibility given</t>
  </si>
  <si>
    <t>Total Annual Cost</t>
  </si>
  <si>
    <t>The annual net cost per member is the allowed cost less the member cost sharing</t>
  </si>
  <si>
    <t>Annual Net Cost per Member</t>
  </si>
  <si>
    <t>The member cost sharing is the coinsurance percentage times the annual allowed costs on a 20X4 basis</t>
  </si>
  <si>
    <t>Member Cost Sharing</t>
  </si>
  <si>
    <t>The coinsurance percentage which the member is responsible for is given in the question</t>
  </si>
  <si>
    <t>The annual allowed costs are multiplied by all the adjustment factors above to move to a 20X4 basis</t>
  </si>
  <si>
    <t>Adj Annual Allowed Cost per Member</t>
  </si>
  <si>
    <t>The ratio of 1 - average provider discount from Table 1.3 is applied for 20X2, rate manual, and projected 20X4</t>
  </si>
  <si>
    <t>Provider Discount</t>
  </si>
  <si>
    <t>The area factor is calculated from the distribution of area factors from Table 1.5 for 20X2, rate manual, and projected 20X4</t>
  </si>
  <si>
    <t>The age/gender factor is calculated from the distribution of age/gender factors from Table 1.4 for 20X2, rate manual, and projected 20X4</t>
  </si>
  <si>
    <t>The trend factor is the 4% annual trend given in the question for 2 years for experience and 3 years for the rate manual to project to 20X4</t>
  </si>
  <si>
    <t>Adjustment Factors</t>
  </si>
  <si>
    <t>The annual allowed costs per member come from Table1.1</t>
  </si>
  <si>
    <t>Annual Allowed Costs per Member</t>
  </si>
  <si>
    <t>20X1 Rate Manual</t>
  </si>
  <si>
    <t>20X2 Experience</t>
  </si>
  <si>
    <t>Approximate the deductible value (rounded to the nearest $10) that would result in the equivalent savings to a $2,500 annual benefit maximum.</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</si>
  <si>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</si>
  <si>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</si>
  <si>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</si>
  <si>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</si>
  <si>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</si>
  <si>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</si>
  <si>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education@soa.org</t>
  </si>
  <si>
    <t xml:space="preserve">Copyright © Society of Actuaries </t>
  </si>
  <si>
    <t>GH 101 - Benefits and Pricing</t>
  </si>
  <si>
    <t>These guided examples have been developed by Josh Collins (FSA, MAAA), ACTEX Learning,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</si>
  <si>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r>
      <t xml:space="preserve">This guided example has been developed by </t>
    </r>
    <r>
      <rPr>
        <b/>
        <sz val="11"/>
        <color theme="1"/>
        <rFont val="Aptos"/>
        <family val="2"/>
      </rPr>
      <t>Josh Collins (FSA, MAAA), ACTEX Learning</t>
    </r>
    <r>
      <rPr>
        <sz val="11"/>
        <color theme="1"/>
        <rFont val="Aptos"/>
        <family val="2"/>
      </rPr>
      <t xml:space="preserve"> with review and edits as appropriate by course curriculum volunteers and SOA staff.  </t>
    </r>
  </si>
  <si>
    <t>Allowed Cost/Script</t>
  </si>
  <si>
    <t>Sum of Ingredient Cost/Script and Dispensing Fee from (a).</t>
  </si>
  <si>
    <t>Same formula as question (a).</t>
  </si>
  <si>
    <t>Harmony applies rebates to the drug cost at point-of-sale, meaning member cost sharing applies to the allowed cost less rebates.</t>
  </si>
  <si>
    <t>Calculate the total allowed cost net of rebates per member per month (PMPM) and member cost sharing PMPM.</t>
  </si>
  <si>
    <t>Calculate the revised total allowed cost net of rebates and member cost sharing PMPM.</t>
  </si>
  <si>
    <t>Drug #4 is considered a brand.  Drug #7 does not receive a rebate.</t>
  </si>
  <si>
    <t>Allowed Cost net of Rebates per script</t>
  </si>
  <si>
    <t>Allowed Cost net Rebates PMPM</t>
  </si>
  <si>
    <t>The allowed cost/script for the plan is the ingredient cost, plus the dispensing fee.  Net rebates means subtract rebates.</t>
  </si>
  <si>
    <t>For copays the member cost sharing is the copay amount while for coinsurance it is calculated by the coinsurance % * allowed cost net of rebates/script.</t>
  </si>
  <si>
    <t>Calculate the actuarial value for Sound Living's ACA plan based on its claims experience</t>
  </si>
  <si>
    <t xml:space="preserve">Sound Living offers an ACA insurance plan with a $825 deductible and no other member cost sharing, </t>
  </si>
  <si>
    <t>Calculate the actuarial value for Sound Living's ACA plan based on its claims experience.</t>
  </si>
  <si>
    <t>Upon further review of TrustSource's claims experience, you are concerned with the volatility of its Skilled Nursing Facility experience and decide to blend just that service categories with a manual rate.</t>
  </si>
  <si>
    <t>The credibility was given in the question to be 60% on the manual rate and 40% on the experience.</t>
  </si>
  <si>
    <t>Assume the rating factors apply to net benefit cost projections.</t>
  </si>
  <si>
    <t>In practice, the actuary needs to pay attention to how these factors are developed and if any adjustment is required.</t>
  </si>
  <si>
    <t>Depending on scenario context, it may be appropriate to apply the factors to allowed cost projections (vs. net projections), or base period costs vs. projected costs.</t>
  </si>
  <si>
    <t>Employer Contribution Rating Factors</t>
  </si>
  <si>
    <t xml:space="preserve">BigGrowth Inc. offered a 100% company sponsored dental plan in 20X2 but expects significant growth among its workforce and will double its employee headcount by 20X4. </t>
  </si>
  <si>
    <t>Calculate the experience rated 20X4 net benefit cost for BigGrowth Inc. based on the characteristics in Table 1.8.</t>
  </si>
  <si>
    <t>Calculated from cost model given in Table 1.1 with cost sharing % given in Table 1.8</t>
  </si>
  <si>
    <t>Calculate the expected monthly claim rate for BuildRight Inc. based on the employee information in Table 1.7.</t>
  </si>
  <si>
    <t xml:space="preserve">Aloha Insurance has offered a small group ACA plan in the county of Honolulu and is developing its premium rates for 20X8. </t>
  </si>
  <si>
    <t>The composite trend factor is the ratio of the total trended costs from 20X5 and 20X6 to 20X8</t>
  </si>
  <si>
    <t>The age/gender factor is the ratio of the 20X5 and 20X6 experience to expected 20X8</t>
  </si>
  <si>
    <t>The plan design factor is calculated from the distribution of plan design factors from Table 1.3 for 20X5, 20X6, and 20X8</t>
  </si>
  <si>
    <t>The plan design factor is the ratio of the 20X5 and 20X6 experience to expected 20X8</t>
  </si>
  <si>
    <t>The area factor is calculated from the distribution of area factors from Table 1.4 for 20X5, 20X6, and 20X8</t>
  </si>
  <si>
    <t>The only information Aloha Insurance has on Maui's claim costs are a table of area factors provided by a consulting firm.</t>
  </si>
  <si>
    <t>The experience rate is projected to represent 80% of the membership in 20X8.  Projected lives in Maui are 25%/(1+25%) = 20% of the projected total.</t>
  </si>
  <si>
    <t>Calculate the per member per month projected 20X4 claim cost, assuming a 4% annual trend.</t>
  </si>
  <si>
    <t>A waiting period factor for a 3 month waiting period is applied to the rate manual</t>
  </si>
  <si>
    <t>The deductible can be determined through guess and check, goal seek, or alternative analytic techniques.</t>
  </si>
  <si>
    <t>Version 2025-1.1</t>
  </si>
  <si>
    <t>Updated: January 14,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</si>
</sst>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0.000"/>
    <numFmt numFmtId="165" formatCode="0.0%"/>
    <numFmt numFmtId="166" formatCode="#,##0.000"/>
    <numFmt numFmtId="167" formatCode="_(* #,##0.000_);_(* \(#,##0.000\);_(* &quot;-&quot;??_);_(@_)"/>
    <numFmt numFmtId="168" formatCode="_(&quot;$&quot;* #,##0_);_(&quot;$&quot;* \(#,##0\);_(&quot;$&quot;* &quot;-&quot;??_);_(@_)"/>
    <numFmt numFmtId="169" formatCode="_(* #,##0_);_(* \(#,##0\);_(*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1"/>
      <color theme="1"/>
      <name val="Aptos Narrow"/>
      <family val="2"/>
    </font>
    <font>
      <sz val="10"/>
      <color theme="1"/>
      <name val="Calibri"/>
      <family val="2"/>
      <scheme val="minor"/>
    </font>
    <font>
      <sz val="11"/>
      <color theme="1"/>
      <name val="Aptos"/>
      <family val="2"/>
    </font>
    <font>
      <b/>
      <sz val="11"/>
      <color theme="1"/>
      <name val="Aptos"/>
      <family val="2"/>
    </font>
    <font>
      <b/>
      <u/>
      <sz val="11"/>
      <color theme="1"/>
      <name val="Calibri"/>
      <family val="2"/>
      <scheme val="minor"/>
    </font>
  </fonts>
  <fills count="3">
    <fill>
      <patternFill patternType="none"/>
    </fill>
    <fill>
      <patternFill patternType="gray125"/>
    </fill>
    <fill>
      <patternFill patternType="solid">
        <fgColor rgb="FFFFFF00"/>
        <bgColor indexed="64"/>
      </patternFill>
    </fill>
  </fills>
  <borders count="1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102">
    <xf numFmtId="0" fontId="0" fillId="0" borderId="0" xfId="0"/>
    <xf numFmtId="8" fontId="0" fillId="0" borderId="0" xfId="0" applyNumberFormat="1"/>
    <xf numFmtId="9" fontId="0" fillId="0" borderId="0" xfId="0" applyNumberFormat="1"/>
    <xf numFmtId="3" fontId="0" fillId="0" borderId="0" xfId="0" applyNumberFormat="1"/>
    <xf numFmtId="6" fontId="0" fillId="0" borderId="0" xfId="0" applyNumberFormat="1"/>
    <xf numFmtId="0" fontId="2" fillId="0" borderId="1" xfId="0" applyFont="1" applyBorder="1" applyAlignment="1">
      <alignment horizontal="centerContinuous"/>
    </xf>
    <xf numFmtId="0" fontId="2" fillId="0" borderId="2" xfId="0" applyFont="1" applyBorder="1" applyAlignment="1">
      <alignment horizontal="centerContinuous"/>
    </xf>
    <xf numFmtId="0" fontId="2" fillId="0" borderId="3" xfId="0" applyFont="1" applyBorder="1" applyAlignment="1">
      <alignment horizontal="centerContinuous"/>
    </xf>
    <xf numFmtId="0" fontId="2" fillId="0" borderId="4" xfId="0" applyFont="1" applyBorder="1" applyAlignment="1">
      <alignment horizontal="centerContinuous"/>
    </xf>
    <xf numFmtId="0" fontId="2" fillId="0" borderId="5" xfId="0" applyFont="1" applyBorder="1" applyAlignment="1">
      <alignment horizontal="centerContinuous"/>
    </xf>
    <xf numFmtId="0" fontId="2" fillId="0" borderId="6" xfId="0" applyFont="1" applyBorder="1" applyAlignment="1">
      <alignment horizontal="centerContinuous"/>
    </xf>
    <xf numFmtId="0" fontId="3" fillId="0" borderId="0" xfId="0" applyFont="1"/>
    <xf numFmtId="8" fontId="2" fillId="2" borderId="7" xfId="0" applyNumberFormat="1" applyFont="1" applyFill="1" applyBorder="1"/>
    <xf numFmtId="0" fontId="0" fillId="0" borderId="0" xfId="0" applyAlignment="1">
      <alignment horizontal="right"/>
    </xf>
    <xf numFmtId="43" fontId="0" fillId="0" borderId="0" xfId="1" applyFont="1"/>
    <xf numFmtId="0" fontId="0" fillId="0" borderId="0" xfId="0" applyAlignment="1">
      <alignment horizontal="center"/>
    </xf>
    <xf numFmtId="0" fontId="0" fillId="0" borderId="1" xfId="0" applyBorder="1" applyAlignment="1">
      <alignment horizontal="center"/>
    </xf>
    <xf numFmtId="0" fontId="0" fillId="0" borderId="3"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8" fontId="2" fillId="2" borderId="10" xfId="0" applyNumberFormat="1" applyFont="1" applyFill="1" applyBorder="1"/>
    <xf numFmtId="8" fontId="2" fillId="2" borderId="11" xfId="0" applyNumberFormat="1" applyFont="1" applyFill="1" applyBorder="1"/>
    <xf numFmtId="8" fontId="2" fillId="2" borderId="12" xfId="0" applyNumberFormat="1" applyFont="1" applyFill="1" applyBorder="1"/>
    <xf numFmtId="43" fontId="0" fillId="0" borderId="0" xfId="0" applyNumberFormat="1"/>
    <xf numFmtId="0" fontId="2" fillId="0" borderId="0" xfId="0" applyFont="1"/>
    <xf numFmtId="9" fontId="0" fillId="0" borderId="0" xfId="0" applyNumberFormat="1" applyAlignment="1">
      <alignment horizontal="right"/>
    </xf>
    <xf numFmtId="8" fontId="2" fillId="2" borderId="13" xfId="0" applyNumberFormat="1" applyFont="1" applyFill="1" applyBorder="1"/>
    <xf numFmtId="8" fontId="2" fillId="2" borderId="14" xfId="0" applyNumberFormat="1" applyFont="1" applyFill="1" applyBorder="1"/>
    <xf numFmtId="4" fontId="0" fillId="0" borderId="0" xfId="0" applyNumberFormat="1"/>
    <xf numFmtId="3" fontId="0" fillId="0" borderId="0" xfId="0" applyNumberFormat="1" applyAlignment="1">
      <alignment horizontal="center"/>
    </xf>
    <xf numFmtId="164" fontId="0" fillId="0" borderId="0" xfId="0" applyNumberFormat="1"/>
    <xf numFmtId="4" fontId="0" fillId="0" borderId="0" xfId="1" applyNumberFormat="1" applyFont="1"/>
    <xf numFmtId="165" fontId="0" fillId="0" borderId="0" xfId="3" applyNumberFormat="1" applyFont="1"/>
    <xf numFmtId="9" fontId="0" fillId="2" borderId="15" xfId="3" applyFont="1" applyFill="1" applyBorder="1"/>
    <xf numFmtId="44" fontId="0" fillId="2" borderId="15" xfId="2" applyFont="1" applyFill="1" applyBorder="1"/>
    <xf numFmtId="166" fontId="0" fillId="0" borderId="0" xfId="0" applyNumberFormat="1"/>
    <xf numFmtId="10" fontId="0" fillId="0" borderId="0" xfId="0" applyNumberFormat="1"/>
    <xf numFmtId="4" fontId="2" fillId="2" borderId="15" xfId="0" applyNumberFormat="1" applyFont="1" applyFill="1" applyBorder="1"/>
    <xf numFmtId="167" fontId="0" fillId="0" borderId="0" xfId="1" applyNumberFormat="1" applyFont="1"/>
    <xf numFmtId="44" fontId="0" fillId="0" borderId="0" xfId="2" applyFont="1"/>
    <xf numFmtId="168" fontId="0" fillId="0" borderId="0" xfId="2" applyNumberFormat="1" applyFont="1"/>
    <xf numFmtId="44" fontId="2" fillId="2" borderId="15" xfId="2" applyFont="1" applyFill="1" applyBorder="1"/>
    <xf numFmtId="165" fontId="0" fillId="0" borderId="0" xfId="3" applyNumberFormat="1" applyFont="1" applyAlignment="1">
      <alignment horizontal="center"/>
    </xf>
    <xf numFmtId="2" fontId="0" fillId="0" borderId="0" xfId="0" applyNumberFormat="1"/>
    <xf numFmtId="0" fontId="0" fillId="0" borderId="0" xfId="0" quotePrefix="1"/>
    <xf numFmtId="0" fontId="0" fillId="0" borderId="0" xfId="0" applyAlignment="1">
      <alignment horizontal="centerContinuous"/>
    </xf>
    <xf numFmtId="0" fontId="0" fillId="0" borderId="0" xfId="0" applyAlignment="1">
      <alignment wrapText="1"/>
    </xf>
    <xf numFmtId="0" fontId="2" fillId="0" borderId="0" xfId="0" applyFont="1" applyAlignment="1">
      <alignment horizontal="centerContinuous"/>
    </xf>
    <xf numFmtId="9" fontId="0" fillId="0" borderId="0" xfId="0" applyNumberFormat="1" applyAlignment="1">
      <alignment horizontal="center"/>
    </xf>
    <xf numFmtId="3" fontId="0" fillId="0" borderId="0" xfId="0" applyNumberFormat="1" applyAlignment="1">
      <alignment horizontal="right"/>
    </xf>
    <xf numFmtId="44" fontId="0" fillId="0" borderId="0" xfId="2" applyFont="1" applyAlignment="1">
      <alignment horizontal="right"/>
    </xf>
    <xf numFmtId="168" fontId="0" fillId="0" borderId="0" xfId="2" applyNumberFormat="1" applyFont="1" applyAlignment="1">
      <alignment horizontal="right"/>
    </xf>
    <xf numFmtId="2" fontId="0" fillId="0" borderId="0" xfId="0" applyNumberFormat="1" applyAlignment="1">
      <alignment horizontal="center"/>
    </xf>
    <xf numFmtId="0" fontId="2" fillId="0" borderId="16" xfId="0" applyFont="1" applyBorder="1" applyAlignment="1">
      <alignment horizontal="centerContinuous"/>
    </xf>
    <xf numFmtId="0" fontId="2" fillId="0" borderId="17" xfId="0" applyFont="1" applyBorder="1" applyAlignment="1">
      <alignment horizontal="centerContinuous"/>
    </xf>
    <xf numFmtId="17" fontId="0" fillId="0" borderId="0" xfId="0" quotePrefix="1" applyNumberFormat="1"/>
    <xf numFmtId="0" fontId="0" fillId="0" borderId="0" xfId="0" applyAlignment="1">
      <alignment horizontal="left"/>
    </xf>
    <xf numFmtId="4" fontId="0" fillId="0" borderId="0" xfId="0" applyNumberFormat="1" applyAlignment="1">
      <alignment horizontal="left"/>
    </xf>
    <xf numFmtId="44" fontId="0" fillId="0" borderId="0" xfId="2" applyFont="1" applyAlignment="1">
      <alignment horizontal="center"/>
    </xf>
    <xf numFmtId="168" fontId="0" fillId="0" borderId="0" xfId="2" applyNumberFormat="1" applyFont="1" applyAlignment="1">
      <alignment horizontal="center"/>
    </xf>
    <xf numFmtId="43" fontId="0" fillId="0" borderId="0" xfId="1" applyFont="1" applyAlignment="1">
      <alignment horizontal="right"/>
    </xf>
    <xf numFmtId="164" fontId="2" fillId="2" borderId="15" xfId="0" applyNumberFormat="1" applyFont="1" applyFill="1" applyBorder="1"/>
    <xf numFmtId="169" fontId="0" fillId="0" borderId="0" xfId="0" applyNumberFormat="1"/>
    <xf numFmtId="167" fontId="0" fillId="0" borderId="0" xfId="0" applyNumberFormat="1"/>
    <xf numFmtId="9" fontId="0" fillId="0" borderId="0" xfId="3" applyFont="1"/>
    <xf numFmtId="43" fontId="0" fillId="0" borderId="0" xfId="1" applyFont="1" applyAlignment="1">
      <alignment horizontal="center"/>
    </xf>
    <xf numFmtId="167" fontId="0" fillId="0" borderId="0" xfId="1" applyNumberFormat="1" applyFont="1" applyAlignment="1">
      <alignment horizontal="center"/>
    </xf>
    <xf numFmtId="167" fontId="0" fillId="0" borderId="0" xfId="1" applyNumberFormat="1" applyFont="1" applyAlignment="1">
      <alignment horizontal="right"/>
    </xf>
    <xf numFmtId="6" fontId="0" fillId="0" borderId="0" xfId="0" applyNumberFormat="1" applyAlignment="1">
      <alignment horizontal="center"/>
    </xf>
    <xf numFmtId="0" fontId="0" fillId="0" borderId="0" xfId="0" quotePrefix="1" applyAlignment="1">
      <alignment horizontal="center"/>
    </xf>
    <xf numFmtId="164" fontId="0" fillId="0" borderId="0" xfId="0" applyNumberFormat="1" applyAlignment="1">
      <alignment horizontal="center"/>
    </xf>
    <xf numFmtId="9" fontId="0" fillId="0" borderId="0" xfId="3" applyFont="1" applyAlignment="1">
      <alignment horizontal="center"/>
    </xf>
    <xf numFmtId="6" fontId="0" fillId="0" borderId="0" xfId="0" applyNumberFormat="1" applyAlignment="1">
      <alignment horizontal="right"/>
    </xf>
    <xf numFmtId="164" fontId="0" fillId="0" borderId="0" xfId="0" applyNumberFormat="1" applyAlignment="1">
      <alignment horizontal="right"/>
    </xf>
    <xf numFmtId="169" fontId="0" fillId="0" borderId="0" xfId="1" applyNumberFormat="1" applyFont="1"/>
    <xf numFmtId="16" fontId="0" fillId="0" borderId="0" xfId="0" quotePrefix="1" applyNumberFormat="1" applyAlignment="1">
      <alignment horizontal="center"/>
    </xf>
    <xf numFmtId="164" fontId="0" fillId="0" borderId="0" xfId="0" quotePrefix="1" applyNumberFormat="1" applyAlignment="1">
      <alignment horizontal="center"/>
    </xf>
    <xf numFmtId="44" fontId="2" fillId="2" borderId="15" xfId="2" applyFont="1" applyFill="1" applyBorder="1" applyAlignment="1">
      <alignment horizontal="right"/>
    </xf>
    <xf numFmtId="165" fontId="0" fillId="0" borderId="0" xfId="0" applyNumberFormat="1" applyAlignment="1">
      <alignment horizontal="center"/>
    </xf>
    <xf numFmtId="44" fontId="2" fillId="2" borderId="15" xfId="2" applyFont="1" applyFill="1" applyBorder="1" applyAlignment="1">
      <alignment horizontal="center"/>
    </xf>
    <xf numFmtId="0" fontId="2" fillId="0" borderId="0" xfId="0" applyFont="1" applyAlignment="1">
      <alignment horizontal="center"/>
    </xf>
    <xf numFmtId="169" fontId="0" fillId="0" borderId="0" xfId="1" applyNumberFormat="1" applyFont="1" applyAlignment="1">
      <alignment horizontal="center"/>
    </xf>
    <xf numFmtId="43" fontId="0" fillId="0" borderId="0" xfId="0" applyNumberFormat="1" applyAlignment="1">
      <alignment horizontal="center"/>
    </xf>
    <xf numFmtId="0" fontId="6" fillId="0" borderId="0" xfId="0" applyFont="1"/>
    <xf numFmtId="0" fontId="0" fillId="0" borderId="0" xfId="0" applyAlignment="1">
      <alignment horizontal="right" vertical="top" indent="1"/>
    </xf>
    <xf numFmtId="0" fontId="8" fillId="0" borderId="0" xfId="0" applyFont="1"/>
    <xf numFmtId="0" fontId="4" fillId="0" borderId="0" xfId="4"/>
    <xf numFmtId="0" fontId="9" fillId="0" borderId="0" xfId="4" applyFont="1"/>
    <xf numFmtId="0" fontId="10" fillId="0" borderId="0" xfId="0" applyFont="1"/>
    <xf numFmtId="0" fontId="12" fillId="0" borderId="0" xfId="0" applyFont="1"/>
    <xf numFmtId="8" fontId="0" fillId="0" borderId="0" xfId="1" applyNumberFormat="1" applyFont="1"/>
    <xf numFmtId="0" fontId="3" fillId="0" borderId="0" xfId="0" applyFont="1" applyAlignment="1">
      <alignment horizontal="right"/>
    </xf>
    <xf numFmtId="0" fontId="2" fillId="0" borderId="0" xfId="0" applyFont="1" applyAlignment="1">
      <alignment horizontal="right"/>
    </xf>
    <xf numFmtId="0" fontId="14" fillId="0" borderId="0" xfId="0" applyFont="1" applyAlignment="1">
      <alignment horizontal="right"/>
    </xf>
    <xf numFmtId="0" fontId="14" fillId="0" borderId="0" xfId="0" applyFont="1"/>
    <xf numFmtId="8" fontId="2" fillId="2" borderId="15" xfId="0" applyNumberFormat="1" applyFont="1" applyFill="1" applyBorder="1"/>
    <xf numFmtId="0" fontId="8" fillId="0" borderId="0" xfId="0" applyFont="1" applyAlignment="1">
      <alignment horizontal="left" wrapText="1"/>
    </xf>
    <xf numFmtId="0" fontId="11" fillId="0" borderId="0" xfId="0" applyFont="1" applyAlignment="1">
      <alignment horizontal="right"/>
    </xf>
    <xf numFmtId="0" fontId="5" fillId="0" borderId="0" xfId="0" applyFont="1" applyAlignment="1">
      <alignment horizontal="center"/>
    </xf>
    <xf numFmtId="0" fontId="7" fillId="0" borderId="0" xfId="0" applyFont="1" applyAlignment="1">
      <alignment horizontal="center"/>
    </xf>
    <xf numFmtId="0" fontId="11" fillId="0" borderId="0" xfId="0" applyFont="1" applyFill="1" applyAlignment="1">
      <alignment horizontal="left"/>
    </xf>
    <xf numFmtId="0" fontId="11" fillId="0" borderId="0" xfId="0" applyFont="1" applyFill="1" applyAlignment="1">
      <alignment horizontal="center"/>
    </xf>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131732</xdr:rowOff>
    </xdr:to>
    <xdr:pic>
      <xdr:nvPicPr>
        <xdr:cNvPr id="2" name="Picture 1">
          <a:extLst>
            <a:ext uri="{FF2B5EF4-FFF2-40B4-BE49-F238E27FC236}">
              <a16:creationId xmlns:a16="http://schemas.microsoft.com/office/drawing/2014/main" id="{6CFF932D-1714-4477-9F38-5ABB6E548D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14636"/>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7830E331-8681-4375-B672-25FFD967DF63}"/>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03C19E21-768A-406C-8A4B-2EA59DED2118}"/>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D47DE-EC28-42FA-B3B3-70E6DA2F3565}">
  <sheetPr>
    <tabColor rgb="FF0070C0"/>
    <pageSetUpPr autoPageBreaks="0"/>
  </sheetPr>
  <dimension ref="A6:K22"/>
  <sheetViews>
    <sheetView showGridLines="0" tabSelected="1" zoomScale="115" zoomScaleNormal="115" workbookViewId="0"/>
  </sheetViews>
  <sheetFormatPr defaultRowHeight="14.4" x14ac:dyDescent="0.3"/>
  <sheetData>
    <row r="6" spans="1:10" ht="33.6" x14ac:dyDescent="0.65">
      <c r="A6" s="98" t="s">
        <v>711</v>
      </c>
      <c r="B6" s="98"/>
      <c r="C6" s="98"/>
      <c r="D6" s="98"/>
      <c r="E6" s="98"/>
      <c r="F6" s="98"/>
      <c r="G6" s="98"/>
      <c r="H6" s="98"/>
      <c r="I6" s="98"/>
      <c r="J6" s="98"/>
    </row>
    <row r="7" spans="1:10" ht="6" customHeight="1" x14ac:dyDescent="0.3">
      <c r="A7" s="83"/>
      <c r="B7" s="83"/>
      <c r="C7" s="83"/>
      <c r="D7" s="83"/>
      <c r="E7" s="83"/>
      <c r="F7" s="83"/>
      <c r="G7" s="83"/>
      <c r="H7" s="83"/>
      <c r="I7" s="83"/>
      <c r="J7" s="83"/>
    </row>
    <row r="8" spans="1:10" ht="21" x14ac:dyDescent="0.4">
      <c r="A8" s="99" t="s">
        <v>719</v>
      </c>
      <c r="B8" s="99"/>
      <c r="C8" s="99"/>
      <c r="D8" s="99"/>
      <c r="E8" s="99"/>
      <c r="F8" s="99"/>
      <c r="G8" s="99"/>
      <c r="H8" s="99"/>
      <c r="I8" s="99"/>
      <c r="J8" s="99"/>
    </row>
    <row r="10" spans="1:10" ht="75" customHeight="1" x14ac:dyDescent="0.3">
      <c r="A10" s="84" t="s">
        <v>712</v>
      </c>
      <c r="B10" s="96" t="s">
        <v>713</v>
      </c>
      <c r="C10" s="96"/>
      <c r="D10" s="96"/>
      <c r="E10" s="96"/>
      <c r="F10" s="96"/>
      <c r="G10" s="96"/>
      <c r="H10" s="96"/>
      <c r="I10" s="96"/>
      <c r="J10" s="96"/>
    </row>
    <row r="11" spans="1:10" x14ac:dyDescent="0.3">
      <c r="B11" s="85"/>
      <c r="C11" s="85"/>
      <c r="D11" s="85"/>
      <c r="E11" s="85"/>
      <c r="F11" s="85"/>
      <c r="G11" s="85"/>
      <c r="H11" s="85"/>
      <c r="I11" s="85"/>
      <c r="J11" s="85"/>
    </row>
    <row r="12" spans="1:10" ht="45" customHeight="1" x14ac:dyDescent="0.3">
      <c r="A12" s="84" t="s">
        <v>712</v>
      </c>
      <c r="B12" s="96" t="s">
        <v>714</v>
      </c>
      <c r="C12" s="96"/>
      <c r="D12" s="96"/>
      <c r="E12" s="96"/>
      <c r="F12" s="96"/>
      <c r="G12" s="96"/>
      <c r="H12" s="96"/>
      <c r="I12" s="96"/>
      <c r="J12" s="96"/>
    </row>
    <row r="13" spans="1:10" x14ac:dyDescent="0.3">
      <c r="B13" s="85"/>
      <c r="C13" s="85"/>
      <c r="D13" s="85"/>
      <c r="E13" s="85"/>
      <c r="F13" s="85"/>
      <c r="G13" s="85"/>
      <c r="H13" s="85"/>
      <c r="I13" s="85"/>
      <c r="J13" s="85"/>
    </row>
    <row r="14" spans="1:10" ht="30" customHeight="1" x14ac:dyDescent="0.3">
      <c r="A14" s="84" t="s">
        <v>712</v>
      </c>
      <c r="B14" s="96" t="s">
        <v>715</v>
      </c>
      <c r="C14" s="96"/>
      <c r="D14" s="96"/>
      <c r="E14" s="96"/>
      <c r="F14" s="96"/>
      <c r="G14" s="96"/>
      <c r="H14" s="96"/>
      <c r="I14" s="96"/>
      <c r="J14" s="96"/>
    </row>
    <row r="15" spans="1:10" x14ac:dyDescent="0.3">
      <c r="B15" s="85"/>
      <c r="C15" s="85"/>
      <c r="D15" s="85"/>
      <c r="E15" s="85"/>
      <c r="F15" s="85"/>
      <c r="G15" s="85"/>
      <c r="H15" s="85"/>
      <c r="I15" s="85"/>
      <c r="J15" s="85"/>
    </row>
    <row r="16" spans="1:10" ht="45.6" customHeight="1" x14ac:dyDescent="0.3">
      <c r="A16" s="84" t="s">
        <v>712</v>
      </c>
      <c r="B16" s="96" t="s">
        <v>716</v>
      </c>
      <c r="C16" s="96"/>
      <c r="D16" s="96"/>
      <c r="E16" s="96"/>
      <c r="F16" s="96"/>
      <c r="G16" s="96"/>
      <c r="H16" s="96"/>
      <c r="I16" s="96"/>
      <c r="J16" s="96"/>
    </row>
    <row r="17" spans="1:11" x14ac:dyDescent="0.3">
      <c r="B17" s="85"/>
      <c r="C17" s="85"/>
      <c r="D17" s="85"/>
      <c r="E17" s="85"/>
      <c r="F17" s="85"/>
      <c r="G17" s="85"/>
      <c r="H17" s="85"/>
      <c r="I17" s="85"/>
      <c r="J17" s="85"/>
      <c r="K17" s="86"/>
    </row>
    <row r="18" spans="1:11" ht="75" customHeight="1" x14ac:dyDescent="0.3">
      <c r="A18" s="84" t="s">
        <v>712</v>
      </c>
      <c r="B18" s="96" t="s">
        <v>720</v>
      </c>
      <c r="C18" s="96"/>
      <c r="D18" s="96"/>
      <c r="E18" s="96"/>
      <c r="F18" s="96"/>
      <c r="G18" s="96"/>
      <c r="H18" s="96"/>
      <c r="I18" s="96"/>
      <c r="J18" s="96"/>
    </row>
    <row r="19" spans="1:11" x14ac:dyDescent="0.3">
      <c r="B19" s="87" t="s">
        <v>717</v>
      </c>
      <c r="C19" s="88"/>
      <c r="D19" s="88"/>
      <c r="E19" s="88"/>
      <c r="F19" s="88"/>
      <c r="G19" s="88"/>
      <c r="H19" s="88"/>
      <c r="I19" s="88"/>
      <c r="J19" s="88"/>
    </row>
    <row r="22" spans="1:11" x14ac:dyDescent="0.3">
      <c r="B22" s="100" t="s">
        <v>757</v>
      </c>
      <c r="C22" s="100"/>
      <c r="D22" s="101" t="s">
        <v>758</v>
      </c>
      <c r="E22" s="101"/>
      <c r="F22" s="101"/>
      <c r="G22" s="101"/>
      <c r="H22" s="97" t="s">
        <v>718</v>
      </c>
      <c r="I22" s="97"/>
      <c r="J22" s="97"/>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36E53E2B-8F7D-4143-ADA5-217FF4040B1B}"/>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F938E-448A-448E-82FF-CEA7E1449962}">
  <sheetPr>
    <tabColor theme="5" tint="0.39997558519241921"/>
  </sheetPr>
  <dimension ref="A1:T36"/>
  <sheetViews>
    <sheetView zoomScaleNormal="100" workbookViewId="0"/>
  </sheetViews>
  <sheetFormatPr defaultRowHeight="14.4" x14ac:dyDescent="0.3"/>
  <cols>
    <col min="1" max="1" width="12.6640625" customWidth="1"/>
    <col min="2" max="2" width="21.6640625" customWidth="1"/>
    <col min="3" max="9" width="12.6640625" customWidth="1"/>
    <col min="10" max="11" width="18.6640625" bestFit="1" customWidth="1"/>
    <col min="12" max="15" width="12.6640625" customWidth="1"/>
    <col min="16" max="16" width="14.44140625" bestFit="1" customWidth="1"/>
    <col min="17" max="18" width="12.6640625" customWidth="1"/>
    <col min="19" max="19" width="14" customWidth="1"/>
    <col min="20" max="20" width="18.6640625" bestFit="1" customWidth="1"/>
    <col min="21" max="21" width="13.6640625" bestFit="1" customWidth="1"/>
  </cols>
  <sheetData>
    <row r="1" spans="1:9" x14ac:dyDescent="0.3">
      <c r="A1" s="89" t="s">
        <v>721</v>
      </c>
    </row>
    <row r="3" spans="1:9" x14ac:dyDescent="0.3">
      <c r="A3" s="11" t="s">
        <v>52</v>
      </c>
    </row>
    <row r="4" spans="1:9" x14ac:dyDescent="0.3">
      <c r="A4" t="s">
        <v>309</v>
      </c>
    </row>
    <row r="5" spans="1:9" x14ac:dyDescent="0.3">
      <c r="A5" s="11"/>
    </row>
    <row r="7" spans="1:9" x14ac:dyDescent="0.3">
      <c r="B7" s="10" t="s">
        <v>50</v>
      </c>
      <c r="C7" s="9"/>
      <c r="D7" s="8"/>
      <c r="F7" s="10" t="s">
        <v>49</v>
      </c>
      <c r="G7" s="9"/>
      <c r="H7" s="9"/>
      <c r="I7" s="8"/>
    </row>
    <row r="8" spans="1:9" x14ac:dyDescent="0.3">
      <c r="B8" s="7" t="s">
        <v>308</v>
      </c>
      <c r="C8" s="6"/>
      <c r="D8" s="5"/>
      <c r="F8" s="7" t="s">
        <v>307</v>
      </c>
      <c r="G8" s="6"/>
      <c r="H8" s="6"/>
      <c r="I8" s="5"/>
    </row>
    <row r="9" spans="1:9" x14ac:dyDescent="0.3">
      <c r="F9" s="47"/>
      <c r="G9" s="47"/>
      <c r="H9" s="47"/>
      <c r="I9" s="47"/>
    </row>
    <row r="10" spans="1:9" x14ac:dyDescent="0.3">
      <c r="H10" s="13"/>
      <c r="I10" s="13" t="s">
        <v>306</v>
      </c>
    </row>
    <row r="11" spans="1:9" x14ac:dyDescent="0.3">
      <c r="D11" s="15" t="s">
        <v>35</v>
      </c>
      <c r="H11" s="13" t="s">
        <v>65</v>
      </c>
      <c r="I11" s="13" t="s">
        <v>235</v>
      </c>
    </row>
    <row r="12" spans="1:9" ht="28.8" x14ac:dyDescent="0.3">
      <c r="B12" t="s">
        <v>294</v>
      </c>
      <c r="C12" s="46" t="s">
        <v>305</v>
      </c>
      <c r="D12" s="48">
        <v>0</v>
      </c>
      <c r="F12" t="s">
        <v>294</v>
      </c>
      <c r="G12" s="46" t="s">
        <v>305</v>
      </c>
      <c r="H12" s="49">
        <v>3300</v>
      </c>
      <c r="I12" s="51">
        <v>135</v>
      </c>
    </row>
    <row r="13" spans="1:9" x14ac:dyDescent="0.3">
      <c r="B13" t="s">
        <v>293</v>
      </c>
      <c r="C13" t="s">
        <v>304</v>
      </c>
      <c r="D13" s="48">
        <v>0.25</v>
      </c>
      <c r="F13" t="s">
        <v>293</v>
      </c>
      <c r="G13" t="s">
        <v>304</v>
      </c>
      <c r="H13" s="13">
        <v>725</v>
      </c>
      <c r="I13" s="51">
        <v>460</v>
      </c>
    </row>
    <row r="14" spans="1:9" x14ac:dyDescent="0.3">
      <c r="B14" t="s">
        <v>292</v>
      </c>
      <c r="C14" t="s">
        <v>303</v>
      </c>
      <c r="D14" s="48">
        <v>0.5</v>
      </c>
      <c r="F14" t="s">
        <v>292</v>
      </c>
      <c r="G14" t="s">
        <v>303</v>
      </c>
      <c r="H14" s="13">
        <v>90</v>
      </c>
      <c r="I14" s="51">
        <v>1800</v>
      </c>
    </row>
    <row r="17" spans="1:20" x14ac:dyDescent="0.3">
      <c r="B17" s="10" t="s">
        <v>48</v>
      </c>
      <c r="C17" s="9"/>
      <c r="D17" s="9"/>
      <c r="E17" s="8"/>
      <c r="G17" s="10" t="s">
        <v>93</v>
      </c>
      <c r="H17" s="8"/>
      <c r="J17" s="10" t="s">
        <v>211</v>
      </c>
      <c r="K17" s="8"/>
      <c r="M17" s="10" t="s">
        <v>302</v>
      </c>
      <c r="N17" s="8"/>
      <c r="P17" s="10" t="s">
        <v>301</v>
      </c>
      <c r="Q17" s="8"/>
      <c r="S17" s="10" t="s">
        <v>300</v>
      </c>
      <c r="T17" s="8"/>
    </row>
    <row r="18" spans="1:20" x14ac:dyDescent="0.3">
      <c r="B18" s="7" t="s">
        <v>208</v>
      </c>
      <c r="C18" s="6"/>
      <c r="D18" s="6"/>
      <c r="E18" s="5"/>
      <c r="G18" s="7" t="s">
        <v>209</v>
      </c>
      <c r="H18" s="5"/>
      <c r="J18" s="7" t="s">
        <v>299</v>
      </c>
      <c r="K18" s="5"/>
      <c r="M18" s="7" t="s">
        <v>298</v>
      </c>
      <c r="N18" s="5"/>
      <c r="P18" s="7" t="s">
        <v>297</v>
      </c>
      <c r="Q18" s="5"/>
      <c r="S18" s="7" t="s">
        <v>296</v>
      </c>
      <c r="T18" s="5"/>
    </row>
    <row r="19" spans="1:20" x14ac:dyDescent="0.3">
      <c r="S19" s="13"/>
      <c r="T19" s="13"/>
    </row>
    <row r="20" spans="1:20" x14ac:dyDescent="0.3">
      <c r="C20" s="45" t="s">
        <v>201</v>
      </c>
      <c r="D20" s="45"/>
      <c r="E20" s="45"/>
      <c r="S20" s="13"/>
      <c r="T20" s="13" t="s">
        <v>295</v>
      </c>
    </row>
    <row r="21" spans="1:20" x14ac:dyDescent="0.3">
      <c r="C21" s="15" t="s">
        <v>294</v>
      </c>
      <c r="D21" s="15" t="s">
        <v>293</v>
      </c>
      <c r="E21" s="15" t="s">
        <v>292</v>
      </c>
      <c r="G21" t="s">
        <v>252</v>
      </c>
      <c r="H21" s="13" t="s">
        <v>291</v>
      </c>
      <c r="J21" t="s">
        <v>290</v>
      </c>
      <c r="K21" t="s">
        <v>201</v>
      </c>
      <c r="M21" t="s">
        <v>289</v>
      </c>
      <c r="N21" s="13" t="s">
        <v>201</v>
      </c>
      <c r="P21" t="s">
        <v>288</v>
      </c>
      <c r="Q21" s="13" t="s">
        <v>201</v>
      </c>
      <c r="S21" s="13" t="s">
        <v>287</v>
      </c>
      <c r="T21" s="13" t="s">
        <v>286</v>
      </c>
    </row>
    <row r="22" spans="1:20" x14ac:dyDescent="0.3">
      <c r="B22" t="s">
        <v>285</v>
      </c>
      <c r="C22" s="52">
        <v>0.76</v>
      </c>
      <c r="D22" s="52">
        <v>1.03</v>
      </c>
      <c r="E22" s="52">
        <v>0.6</v>
      </c>
      <c r="G22" t="s">
        <v>284</v>
      </c>
      <c r="H22" s="13">
        <v>1.1499999999999999</v>
      </c>
      <c r="J22" t="s">
        <v>283</v>
      </c>
      <c r="K22" t="s">
        <v>282</v>
      </c>
      <c r="M22" t="s">
        <v>281</v>
      </c>
      <c r="N22" s="13">
        <v>1.78</v>
      </c>
      <c r="P22" t="s">
        <v>218</v>
      </c>
      <c r="Q22" s="13">
        <v>1.02</v>
      </c>
      <c r="S22" s="49">
        <v>1500</v>
      </c>
      <c r="T22" s="13">
        <v>0.57999999999999996</v>
      </c>
    </row>
    <row r="23" spans="1:20" x14ac:dyDescent="0.3">
      <c r="B23" t="s">
        <v>280</v>
      </c>
      <c r="C23" s="52">
        <v>0.94</v>
      </c>
      <c r="D23" s="52">
        <v>1.1000000000000001</v>
      </c>
      <c r="E23" s="52">
        <v>1.68</v>
      </c>
      <c r="G23" t="s">
        <v>279</v>
      </c>
      <c r="H23" s="13">
        <v>1.02</v>
      </c>
      <c r="M23" t="s">
        <v>278</v>
      </c>
      <c r="N23" s="13">
        <v>1.44</v>
      </c>
      <c r="P23" t="s">
        <v>277</v>
      </c>
      <c r="Q23" s="13">
        <v>0.85</v>
      </c>
      <c r="S23" s="49">
        <v>2500</v>
      </c>
      <c r="T23" s="13">
        <v>0.72</v>
      </c>
    </row>
    <row r="24" spans="1:20" x14ac:dyDescent="0.3">
      <c r="B24" t="s">
        <v>276</v>
      </c>
      <c r="C24" s="52">
        <v>1</v>
      </c>
      <c r="D24" s="52">
        <v>1.1100000000000001</v>
      </c>
      <c r="E24" s="52">
        <v>0.79</v>
      </c>
      <c r="G24" t="s">
        <v>275</v>
      </c>
      <c r="H24" s="13">
        <v>0.89</v>
      </c>
      <c r="M24" t="s">
        <v>274</v>
      </c>
      <c r="N24" s="13">
        <v>1.05</v>
      </c>
      <c r="P24" t="s">
        <v>273</v>
      </c>
      <c r="Q24" s="13">
        <v>1.24</v>
      </c>
      <c r="S24" s="49">
        <v>5000</v>
      </c>
      <c r="T24" s="13">
        <v>0.87</v>
      </c>
    </row>
    <row r="25" spans="1:20" x14ac:dyDescent="0.3">
      <c r="B25" t="s">
        <v>272</v>
      </c>
      <c r="C25" s="52">
        <v>1.1100000000000001</v>
      </c>
      <c r="D25" s="52">
        <v>1.04</v>
      </c>
      <c r="E25" s="52">
        <v>1.94</v>
      </c>
      <c r="G25" t="s">
        <v>271</v>
      </c>
      <c r="H25" s="13">
        <v>1.21</v>
      </c>
      <c r="M25" s="44" t="s">
        <v>270</v>
      </c>
      <c r="N25" s="13">
        <v>0.97</v>
      </c>
      <c r="P25" t="s">
        <v>269</v>
      </c>
      <c r="Q25" s="13">
        <v>1.07</v>
      </c>
      <c r="S25" s="49">
        <v>10000</v>
      </c>
      <c r="T25" s="13">
        <v>0.98</v>
      </c>
    </row>
    <row r="26" spans="1:20" x14ac:dyDescent="0.3">
      <c r="B26" t="s">
        <v>268</v>
      </c>
      <c r="C26" s="52">
        <v>1.06</v>
      </c>
      <c r="D26" s="52">
        <v>0.85</v>
      </c>
      <c r="E26" s="52">
        <v>1.4E-2</v>
      </c>
      <c r="P26" t="s">
        <v>267</v>
      </c>
      <c r="Q26" s="13">
        <v>0.98</v>
      </c>
    </row>
    <row r="29" spans="1:20" x14ac:dyDescent="0.3">
      <c r="B29" t="s">
        <v>266</v>
      </c>
    </row>
    <row r="30" spans="1:20" x14ac:dyDescent="0.3">
      <c r="B30" t="s">
        <v>265</v>
      </c>
    </row>
    <row r="32" spans="1:20" x14ac:dyDescent="0.3">
      <c r="A32" t="s">
        <v>6</v>
      </c>
      <c r="B32" t="s">
        <v>264</v>
      </c>
    </row>
    <row r="34" spans="1:2" x14ac:dyDescent="0.3">
      <c r="B34" t="s">
        <v>263</v>
      </c>
    </row>
    <row r="36" spans="1:2" x14ac:dyDescent="0.3">
      <c r="A36" t="s">
        <v>4</v>
      </c>
      <c r="B36" t="s">
        <v>262</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9C49A-C3BC-499A-A118-EF7A3755A738}">
  <sheetPr>
    <tabColor theme="9" tint="0.59999389629810485"/>
  </sheetPr>
  <dimension ref="A1:T62"/>
  <sheetViews>
    <sheetView zoomScaleNormal="100" workbookViewId="0"/>
  </sheetViews>
  <sheetFormatPr defaultRowHeight="14.4" x14ac:dyDescent="0.3"/>
  <cols>
    <col min="1" max="1" width="12.6640625" customWidth="1"/>
    <col min="2" max="2" width="21.6640625" customWidth="1"/>
    <col min="3" max="3" width="12.6640625" customWidth="1"/>
    <col min="4" max="4" width="16.33203125" customWidth="1"/>
    <col min="5" max="9" width="12.6640625" customWidth="1"/>
    <col min="10" max="11" width="18.6640625" bestFit="1" customWidth="1"/>
    <col min="12" max="15" width="12.6640625" customWidth="1"/>
    <col min="16" max="16" width="14.44140625" bestFit="1" customWidth="1"/>
    <col min="17" max="18" width="12.6640625" customWidth="1"/>
    <col min="19" max="19" width="14" customWidth="1"/>
    <col min="20" max="20" width="18.6640625" bestFit="1" customWidth="1"/>
    <col min="21" max="21" width="13.6640625" bestFit="1" customWidth="1"/>
  </cols>
  <sheetData>
    <row r="1" spans="1:9" x14ac:dyDescent="0.3">
      <c r="A1" s="89" t="s">
        <v>721</v>
      </c>
    </row>
    <row r="3" spans="1:9" x14ac:dyDescent="0.3">
      <c r="A3" s="11" t="s">
        <v>52</v>
      </c>
    </row>
    <row r="4" spans="1:9" x14ac:dyDescent="0.3">
      <c r="A4" t="s">
        <v>309</v>
      </c>
    </row>
    <row r="5" spans="1:9" x14ac:dyDescent="0.3">
      <c r="A5" s="11"/>
    </row>
    <row r="7" spans="1:9" x14ac:dyDescent="0.3">
      <c r="B7" s="10" t="s">
        <v>50</v>
      </c>
      <c r="C7" s="9"/>
      <c r="D7" s="8"/>
      <c r="F7" s="10" t="s">
        <v>49</v>
      </c>
      <c r="G7" s="9"/>
      <c r="H7" s="9"/>
      <c r="I7" s="8"/>
    </row>
    <row r="8" spans="1:9" x14ac:dyDescent="0.3">
      <c r="B8" s="7" t="s">
        <v>308</v>
      </c>
      <c r="C8" s="6"/>
      <c r="D8" s="5"/>
      <c r="F8" s="7" t="s">
        <v>307</v>
      </c>
      <c r="G8" s="6"/>
      <c r="H8" s="6"/>
      <c r="I8" s="5"/>
    </row>
    <row r="9" spans="1:9" x14ac:dyDescent="0.3">
      <c r="F9" s="47"/>
      <c r="G9" s="47"/>
      <c r="H9" s="47"/>
      <c r="I9" s="47"/>
    </row>
    <row r="10" spans="1:9" x14ac:dyDescent="0.3">
      <c r="H10" s="13"/>
      <c r="I10" s="13" t="s">
        <v>306</v>
      </c>
    </row>
    <row r="11" spans="1:9" x14ac:dyDescent="0.3">
      <c r="D11" s="15" t="s">
        <v>35</v>
      </c>
      <c r="H11" s="13" t="s">
        <v>65</v>
      </c>
      <c r="I11" s="13" t="s">
        <v>235</v>
      </c>
    </row>
    <row r="12" spans="1:9" ht="28.8" x14ac:dyDescent="0.3">
      <c r="B12" t="s">
        <v>294</v>
      </c>
      <c r="C12" s="46" t="s">
        <v>305</v>
      </c>
      <c r="D12" s="48">
        <v>0</v>
      </c>
      <c r="F12" t="s">
        <v>294</v>
      </c>
      <c r="G12" s="46" t="s">
        <v>305</v>
      </c>
      <c r="H12" s="49">
        <v>3300</v>
      </c>
      <c r="I12" s="51">
        <v>135</v>
      </c>
    </row>
    <row r="13" spans="1:9" x14ac:dyDescent="0.3">
      <c r="B13" t="s">
        <v>293</v>
      </c>
      <c r="C13" t="s">
        <v>304</v>
      </c>
      <c r="D13" s="48">
        <v>0.25</v>
      </c>
      <c r="F13" t="s">
        <v>293</v>
      </c>
      <c r="G13" t="s">
        <v>304</v>
      </c>
      <c r="H13" s="13">
        <v>725</v>
      </c>
      <c r="I13" s="51">
        <v>460</v>
      </c>
    </row>
    <row r="14" spans="1:9" x14ac:dyDescent="0.3">
      <c r="B14" t="s">
        <v>292</v>
      </c>
      <c r="C14" t="s">
        <v>303</v>
      </c>
      <c r="D14" s="48">
        <v>0.5</v>
      </c>
      <c r="F14" t="s">
        <v>292</v>
      </c>
      <c r="G14" t="s">
        <v>303</v>
      </c>
      <c r="H14" s="13">
        <v>90</v>
      </c>
      <c r="I14" s="51">
        <v>1800</v>
      </c>
    </row>
    <row r="17" spans="1:20" x14ac:dyDescent="0.3">
      <c r="B17" s="10" t="s">
        <v>48</v>
      </c>
      <c r="C17" s="9"/>
      <c r="D17" s="9"/>
      <c r="E17" s="8"/>
      <c r="G17" s="10" t="s">
        <v>93</v>
      </c>
      <c r="H17" s="8"/>
      <c r="J17" s="10" t="s">
        <v>211</v>
      </c>
      <c r="K17" s="8"/>
      <c r="M17" s="10" t="s">
        <v>302</v>
      </c>
      <c r="N17" s="8"/>
      <c r="P17" s="10" t="s">
        <v>301</v>
      </c>
      <c r="Q17" s="8"/>
      <c r="S17" s="10" t="s">
        <v>300</v>
      </c>
      <c r="T17" s="8"/>
    </row>
    <row r="18" spans="1:20" x14ac:dyDescent="0.3">
      <c r="B18" s="7" t="s">
        <v>208</v>
      </c>
      <c r="C18" s="6"/>
      <c r="D18" s="6"/>
      <c r="E18" s="5"/>
      <c r="G18" s="7" t="s">
        <v>209</v>
      </c>
      <c r="H18" s="5"/>
      <c r="J18" s="7" t="s">
        <v>299</v>
      </c>
      <c r="K18" s="5"/>
      <c r="M18" s="7" t="s">
        <v>298</v>
      </c>
      <c r="N18" s="5"/>
      <c r="P18" s="7" t="s">
        <v>297</v>
      </c>
      <c r="Q18" s="5"/>
      <c r="S18" s="7" t="s">
        <v>296</v>
      </c>
      <c r="T18" s="5"/>
    </row>
    <row r="20" spans="1:20" x14ac:dyDescent="0.3">
      <c r="C20" s="45" t="s">
        <v>201</v>
      </c>
      <c r="D20" s="45"/>
      <c r="E20" s="45"/>
      <c r="S20" s="13"/>
      <c r="T20" s="13" t="s">
        <v>295</v>
      </c>
    </row>
    <row r="21" spans="1:20" x14ac:dyDescent="0.3">
      <c r="C21" s="15" t="s">
        <v>294</v>
      </c>
      <c r="D21" s="15" t="s">
        <v>293</v>
      </c>
      <c r="E21" s="15" t="s">
        <v>292</v>
      </c>
      <c r="G21" t="s">
        <v>252</v>
      </c>
      <c r="H21" s="13" t="s">
        <v>291</v>
      </c>
      <c r="J21" t="s">
        <v>290</v>
      </c>
      <c r="K21" t="s">
        <v>201</v>
      </c>
      <c r="M21" t="s">
        <v>289</v>
      </c>
      <c r="N21" s="13" t="s">
        <v>201</v>
      </c>
      <c r="P21" t="s">
        <v>288</v>
      </c>
      <c r="Q21" s="13" t="s">
        <v>201</v>
      </c>
      <c r="S21" s="13" t="s">
        <v>287</v>
      </c>
      <c r="T21" s="13" t="s">
        <v>286</v>
      </c>
    </row>
    <row r="22" spans="1:20" x14ac:dyDescent="0.3">
      <c r="B22" t="s">
        <v>285</v>
      </c>
      <c r="C22" s="52">
        <v>0.76</v>
      </c>
      <c r="D22" s="52">
        <v>1.03</v>
      </c>
      <c r="E22" s="52">
        <v>0.6</v>
      </c>
      <c r="G22" t="s">
        <v>284</v>
      </c>
      <c r="H22" s="13">
        <v>1.1499999999999999</v>
      </c>
      <c r="J22" t="s">
        <v>283</v>
      </c>
      <c r="K22" t="s">
        <v>282</v>
      </c>
      <c r="M22" t="s">
        <v>281</v>
      </c>
      <c r="N22" s="13">
        <v>1.78</v>
      </c>
      <c r="P22" t="s">
        <v>218</v>
      </c>
      <c r="Q22" s="13">
        <v>1.02</v>
      </c>
      <c r="S22" s="49">
        <v>1500</v>
      </c>
      <c r="T22" s="13">
        <v>0.57999999999999996</v>
      </c>
    </row>
    <row r="23" spans="1:20" x14ac:dyDescent="0.3">
      <c r="B23" t="s">
        <v>280</v>
      </c>
      <c r="C23" s="52">
        <v>0.94</v>
      </c>
      <c r="D23" s="52">
        <v>1.1000000000000001</v>
      </c>
      <c r="E23" s="52">
        <v>1.68</v>
      </c>
      <c r="G23" t="s">
        <v>279</v>
      </c>
      <c r="H23" s="13">
        <v>1.02</v>
      </c>
      <c r="M23" t="s">
        <v>278</v>
      </c>
      <c r="N23" s="13">
        <v>1.44</v>
      </c>
      <c r="P23" t="s">
        <v>277</v>
      </c>
      <c r="Q23" s="13">
        <v>0.85</v>
      </c>
      <c r="S23" s="49">
        <v>2500</v>
      </c>
      <c r="T23" s="13">
        <v>0.72</v>
      </c>
    </row>
    <row r="24" spans="1:20" x14ac:dyDescent="0.3">
      <c r="B24" t="s">
        <v>276</v>
      </c>
      <c r="C24" s="52">
        <v>1</v>
      </c>
      <c r="D24" s="52">
        <v>1.1100000000000001</v>
      </c>
      <c r="E24" s="52">
        <v>0.79</v>
      </c>
      <c r="G24" t="s">
        <v>275</v>
      </c>
      <c r="H24" s="13">
        <v>0.89</v>
      </c>
      <c r="M24" t="s">
        <v>274</v>
      </c>
      <c r="N24" s="13">
        <v>1.05</v>
      </c>
      <c r="P24" t="s">
        <v>273</v>
      </c>
      <c r="Q24" s="13">
        <v>1.24</v>
      </c>
      <c r="S24" s="49">
        <v>5000</v>
      </c>
      <c r="T24" s="13">
        <v>0.87</v>
      </c>
    </row>
    <row r="25" spans="1:20" x14ac:dyDescent="0.3">
      <c r="B25" t="s">
        <v>272</v>
      </c>
      <c r="C25" s="52">
        <v>1.1100000000000001</v>
      </c>
      <c r="D25" s="52">
        <v>1.04</v>
      </c>
      <c r="E25" s="52">
        <v>1.94</v>
      </c>
      <c r="G25" t="s">
        <v>271</v>
      </c>
      <c r="H25" s="13">
        <v>1.21</v>
      </c>
      <c r="M25" s="44" t="s">
        <v>270</v>
      </c>
      <c r="N25" s="13">
        <v>0.97</v>
      </c>
      <c r="P25" t="s">
        <v>269</v>
      </c>
      <c r="Q25" s="13">
        <v>1.07</v>
      </c>
      <c r="S25" s="49">
        <v>10000</v>
      </c>
      <c r="T25" s="13">
        <v>0.98</v>
      </c>
    </row>
    <row r="26" spans="1:20" x14ac:dyDescent="0.3">
      <c r="B26" t="s">
        <v>268</v>
      </c>
      <c r="C26" s="52">
        <v>1.06</v>
      </c>
      <c r="D26" s="52">
        <v>0.85</v>
      </c>
      <c r="E26" s="52">
        <v>1.4E-2</v>
      </c>
      <c r="P26" t="s">
        <v>267</v>
      </c>
      <c r="Q26" s="13">
        <v>0.98</v>
      </c>
    </row>
    <row r="29" spans="1:20" x14ac:dyDescent="0.3">
      <c r="B29" t="s">
        <v>266</v>
      </c>
    </row>
    <row r="30" spans="1:20" x14ac:dyDescent="0.3">
      <c r="B30" t="s">
        <v>265</v>
      </c>
    </row>
    <row r="32" spans="1:20" x14ac:dyDescent="0.3">
      <c r="A32" t="s">
        <v>6</v>
      </c>
      <c r="B32" t="s">
        <v>264</v>
      </c>
    </row>
    <row r="34" spans="2:8" x14ac:dyDescent="0.3">
      <c r="C34" s="13" t="s">
        <v>294</v>
      </c>
      <c r="D34" s="13" t="s">
        <v>293</v>
      </c>
      <c r="E34" s="13" t="s">
        <v>292</v>
      </c>
      <c r="F34" s="13" t="s">
        <v>53</v>
      </c>
      <c r="H34" s="24" t="s">
        <v>75</v>
      </c>
    </row>
    <row r="35" spans="2:8" x14ac:dyDescent="0.3">
      <c r="B35" t="s">
        <v>65</v>
      </c>
      <c r="C35" s="3">
        <f>H12</f>
        <v>3300</v>
      </c>
      <c r="D35">
        <f>H13</f>
        <v>725</v>
      </c>
      <c r="E35">
        <f>H14</f>
        <v>90</v>
      </c>
      <c r="H35" t="s">
        <v>330</v>
      </c>
    </row>
    <row r="36" spans="2:8" x14ac:dyDescent="0.3">
      <c r="B36" t="s">
        <v>329</v>
      </c>
      <c r="C36" s="40">
        <f>I12</f>
        <v>135</v>
      </c>
      <c r="D36" s="40">
        <f>I13</f>
        <v>460</v>
      </c>
      <c r="E36" s="40">
        <f>I14</f>
        <v>1800</v>
      </c>
    </row>
    <row r="37" spans="2:8" x14ac:dyDescent="0.3">
      <c r="B37" t="s">
        <v>57</v>
      </c>
      <c r="C37" s="39">
        <f>C35*C36/12000</f>
        <v>37.125</v>
      </c>
      <c r="D37" s="39">
        <f>D35*D36/12000</f>
        <v>27.791666666666668</v>
      </c>
      <c r="E37" s="39">
        <f>E35*E36/12000</f>
        <v>13.5</v>
      </c>
      <c r="F37" s="39">
        <f>SUM(C37:E37)</f>
        <v>78.416666666666671</v>
      </c>
    </row>
    <row r="38" spans="2:8" x14ac:dyDescent="0.3">
      <c r="C38" s="43"/>
      <c r="D38" s="43"/>
      <c r="E38" s="43"/>
    </row>
    <row r="39" spans="2:8" x14ac:dyDescent="0.3">
      <c r="B39" t="s">
        <v>233</v>
      </c>
      <c r="C39" s="30">
        <f>(1+6%)^2</f>
        <v>1.1236000000000002</v>
      </c>
      <c r="D39" s="30">
        <f>(1+6%)^2</f>
        <v>1.1236000000000002</v>
      </c>
      <c r="E39" s="30">
        <f>(1+6%)^2</f>
        <v>1.1236000000000002</v>
      </c>
      <c r="F39" s="23"/>
      <c r="H39" t="s">
        <v>328</v>
      </c>
    </row>
    <row r="40" spans="2:8" x14ac:dyDescent="0.3">
      <c r="B40" t="s">
        <v>251</v>
      </c>
      <c r="C40" s="43">
        <f>AVERAGE(C22:C25)</f>
        <v>0.95250000000000012</v>
      </c>
      <c r="D40" s="43">
        <f>AVERAGE(D22:D25)</f>
        <v>1.07</v>
      </c>
      <c r="E40" s="43">
        <f>AVERAGE(E22:E25)</f>
        <v>1.2524999999999999</v>
      </c>
      <c r="H40" t="s">
        <v>327</v>
      </c>
    </row>
    <row r="41" spans="2:8" x14ac:dyDescent="0.3">
      <c r="B41" t="s">
        <v>252</v>
      </c>
      <c r="C41" s="43">
        <f>$H$24</f>
        <v>0.89</v>
      </c>
      <c r="D41" s="43">
        <f>$H$24</f>
        <v>0.89</v>
      </c>
      <c r="E41" s="43">
        <f>$H$24</f>
        <v>0.89</v>
      </c>
      <c r="H41" t="s">
        <v>326</v>
      </c>
    </row>
    <row r="42" spans="2:8" x14ac:dyDescent="0.3">
      <c r="B42" t="s">
        <v>290</v>
      </c>
      <c r="C42" s="43">
        <f>(1+0.05*2)</f>
        <v>1.1000000000000001</v>
      </c>
      <c r="D42" s="43">
        <f>(1+0.05*2)</f>
        <v>1.1000000000000001</v>
      </c>
      <c r="E42" s="43">
        <f>(1+0.05*2)</f>
        <v>1.1000000000000001</v>
      </c>
      <c r="H42" t="s">
        <v>325</v>
      </c>
    </row>
    <row r="43" spans="2:8" x14ac:dyDescent="0.3">
      <c r="B43" t="s">
        <v>289</v>
      </c>
      <c r="C43" s="43">
        <f>$N$23</f>
        <v>1.44</v>
      </c>
      <c r="D43" s="43">
        <f>$N$23</f>
        <v>1.44</v>
      </c>
      <c r="E43" s="43">
        <f>$N$23</f>
        <v>1.44</v>
      </c>
      <c r="H43" t="s">
        <v>324</v>
      </c>
    </row>
    <row r="44" spans="2:8" x14ac:dyDescent="0.3">
      <c r="B44" t="s">
        <v>288</v>
      </c>
      <c r="C44" s="43">
        <f>$Q$25</f>
        <v>1.07</v>
      </c>
      <c r="D44" s="43">
        <f>$Q$25</f>
        <v>1.07</v>
      </c>
      <c r="E44" s="43">
        <f>$Q$25</f>
        <v>1.07</v>
      </c>
      <c r="H44" t="s">
        <v>323</v>
      </c>
    </row>
    <row r="46" spans="2:8" ht="28.8" x14ac:dyDescent="0.3">
      <c r="B46" s="46" t="s">
        <v>322</v>
      </c>
      <c r="C46" s="39">
        <f>C37*PRODUCT(C39:C44)</f>
        <v>59.933844784420224</v>
      </c>
      <c r="D46" s="39">
        <f>D37*PRODUCT(D39:D44)</f>
        <v>50.400989403151215</v>
      </c>
      <c r="E46" s="39">
        <f>E37*PRODUCT(E39:E44)</f>
        <v>28.658416833208811</v>
      </c>
      <c r="F46" s="39">
        <f>SUM(C46:E46)</f>
        <v>138.99325102078024</v>
      </c>
      <c r="H46" t="s">
        <v>321</v>
      </c>
    </row>
    <row r="48" spans="2:8" x14ac:dyDescent="0.3">
      <c r="B48" t="s">
        <v>320</v>
      </c>
      <c r="C48" s="2">
        <f>D12</f>
        <v>0</v>
      </c>
      <c r="D48" s="2">
        <f>D13</f>
        <v>0.25</v>
      </c>
      <c r="E48" s="2">
        <f>D14</f>
        <v>0.5</v>
      </c>
      <c r="H48" t="s">
        <v>319</v>
      </c>
    </row>
    <row r="49" spans="1:8" x14ac:dyDescent="0.3">
      <c r="B49" t="s">
        <v>318</v>
      </c>
      <c r="C49" s="39">
        <f>C46*C48</f>
        <v>0</v>
      </c>
      <c r="D49" s="39">
        <f>D46*D48</f>
        <v>12.600247350787804</v>
      </c>
      <c r="E49" s="39">
        <f>E46*E48</f>
        <v>14.329208416604406</v>
      </c>
      <c r="F49" s="39">
        <f>SUM(C49:E49)</f>
        <v>26.929455767392209</v>
      </c>
      <c r="H49" t="s">
        <v>317</v>
      </c>
    </row>
    <row r="50" spans="1:8" ht="15" thickBot="1" x14ac:dyDescent="0.35">
      <c r="C50" s="39"/>
      <c r="D50" s="39"/>
      <c r="E50" s="39"/>
      <c r="F50" s="39"/>
    </row>
    <row r="51" spans="1:8" ht="15" thickBot="1" x14ac:dyDescent="0.35">
      <c r="B51" t="s">
        <v>316</v>
      </c>
      <c r="C51" s="39">
        <f>C46-C49</f>
        <v>59.933844784420224</v>
      </c>
      <c r="D51" s="39">
        <f>D46-D49</f>
        <v>37.800742052363411</v>
      </c>
      <c r="E51" s="39">
        <f>E46-E49</f>
        <v>14.329208416604406</v>
      </c>
      <c r="F51" s="41">
        <f>SUM(C51:E51)</f>
        <v>112.06379525338804</v>
      </c>
      <c r="H51" t="s">
        <v>315</v>
      </c>
    </row>
    <row r="53" spans="1:8" x14ac:dyDescent="0.3">
      <c r="B53" t="s">
        <v>263</v>
      </c>
    </row>
    <row r="55" spans="1:8" x14ac:dyDescent="0.3">
      <c r="A55" t="s">
        <v>4</v>
      </c>
      <c r="B55" t="s">
        <v>262</v>
      </c>
    </row>
    <row r="57" spans="1:8" ht="15" thickBot="1" x14ac:dyDescent="0.35">
      <c r="C57" s="13" t="s">
        <v>314</v>
      </c>
      <c r="D57" s="13" t="s">
        <v>313</v>
      </c>
    </row>
    <row r="58" spans="1:8" ht="15" thickBot="1" x14ac:dyDescent="0.35">
      <c r="B58" t="s">
        <v>312</v>
      </c>
      <c r="C58">
        <f>T24</f>
        <v>0.87</v>
      </c>
      <c r="D58" s="41">
        <f>C58*$F$51</f>
        <v>97.495501870447598</v>
      </c>
      <c r="H58" t="s">
        <v>738</v>
      </c>
    </row>
    <row r="59" spans="1:8" ht="15" thickBot="1" x14ac:dyDescent="0.35">
      <c r="D59" s="39"/>
      <c r="H59" t="s">
        <v>739</v>
      </c>
    </row>
    <row r="60" spans="1:8" ht="15" thickBot="1" x14ac:dyDescent="0.35">
      <c r="B60" t="s">
        <v>311</v>
      </c>
      <c r="C60">
        <f>T23</f>
        <v>0.72</v>
      </c>
      <c r="D60" s="41">
        <f>C60*$F$51</f>
        <v>80.685932582439378</v>
      </c>
      <c r="H60" t="s">
        <v>740</v>
      </c>
    </row>
    <row r="61" spans="1:8" ht="15" thickBot="1" x14ac:dyDescent="0.35">
      <c r="D61" s="39"/>
    </row>
    <row r="62" spans="1:8" ht="15" thickBot="1" x14ac:dyDescent="0.35">
      <c r="B62" t="s">
        <v>310</v>
      </c>
      <c r="C62">
        <f>(2000-S22)/(S23-S22)*T22+(S23-2000)/(S23-S22)*T23</f>
        <v>0.64999999999999991</v>
      </c>
      <c r="D62" s="41">
        <f>C62*$F$51</f>
        <v>72.84146691470221</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B5CBD-7898-490A-9A81-AA65488288EB}">
  <sheetPr>
    <tabColor theme="5" tint="0.39997558519241921"/>
  </sheetPr>
  <dimension ref="A1:P49"/>
  <sheetViews>
    <sheetView zoomScaleNormal="100" workbookViewId="0"/>
  </sheetViews>
  <sheetFormatPr defaultRowHeight="14.4" x14ac:dyDescent="0.3"/>
  <cols>
    <col min="2" max="2" width="31.88671875" customWidth="1"/>
    <col min="3" max="4" width="12.6640625" customWidth="1"/>
    <col min="6" max="6" width="18.6640625" customWidth="1"/>
    <col min="7" max="7" width="11.44140625" customWidth="1"/>
    <col min="8" max="8" width="12.109375" customWidth="1"/>
    <col min="9" max="9" width="17.6640625" customWidth="1"/>
    <col min="10" max="10" width="11.44140625" customWidth="1"/>
    <col min="12" max="12" width="24.5546875" customWidth="1"/>
    <col min="13" max="13" width="16.6640625" customWidth="1"/>
    <col min="15" max="16" width="16.6640625" customWidth="1"/>
  </cols>
  <sheetData>
    <row r="1" spans="1:13" x14ac:dyDescent="0.3">
      <c r="A1" s="89" t="s">
        <v>721</v>
      </c>
    </row>
    <row r="3" spans="1:13" x14ac:dyDescent="0.3">
      <c r="A3" s="11" t="s">
        <v>52</v>
      </c>
    </row>
    <row r="4" spans="1:13" x14ac:dyDescent="0.3">
      <c r="A4" t="s">
        <v>309</v>
      </c>
    </row>
    <row r="5" spans="1:13" x14ac:dyDescent="0.3">
      <c r="A5" s="11"/>
    </row>
    <row r="7" spans="1:13" x14ac:dyDescent="0.3">
      <c r="B7" s="10" t="s">
        <v>50</v>
      </c>
      <c r="C7" s="9"/>
      <c r="D7" s="8"/>
      <c r="F7" s="10" t="s">
        <v>49</v>
      </c>
      <c r="G7" s="9"/>
      <c r="H7" s="9"/>
      <c r="I7" s="8"/>
      <c r="L7" s="10" t="s">
        <v>48</v>
      </c>
      <c r="M7" s="8"/>
    </row>
    <row r="8" spans="1:13" x14ac:dyDescent="0.3">
      <c r="B8" s="7" t="s">
        <v>391</v>
      </c>
      <c r="C8" s="6"/>
      <c r="D8" s="5"/>
      <c r="F8" s="7" t="s">
        <v>307</v>
      </c>
      <c r="G8" s="6"/>
      <c r="H8" s="6"/>
      <c r="I8" s="5"/>
      <c r="L8" s="7" t="s">
        <v>390</v>
      </c>
      <c r="M8" s="5"/>
    </row>
    <row r="9" spans="1:13" x14ac:dyDescent="0.3">
      <c r="B9" s="47"/>
      <c r="C9" s="47"/>
      <c r="D9" s="47"/>
      <c r="E9" s="47"/>
    </row>
    <row r="10" spans="1:13" x14ac:dyDescent="0.3">
      <c r="C10" s="13"/>
      <c r="D10" s="13" t="s">
        <v>241</v>
      </c>
      <c r="G10" s="15"/>
      <c r="H10" s="15" t="s">
        <v>241</v>
      </c>
      <c r="I10" s="15"/>
    </row>
    <row r="11" spans="1:13" x14ac:dyDescent="0.3">
      <c r="C11" s="13" t="s">
        <v>65</v>
      </c>
      <c r="D11" s="13" t="s">
        <v>389</v>
      </c>
      <c r="G11" s="15" t="s">
        <v>65</v>
      </c>
      <c r="H11" s="15" t="s">
        <v>389</v>
      </c>
      <c r="I11" s="15" t="s">
        <v>320</v>
      </c>
      <c r="L11" t="s">
        <v>388</v>
      </c>
      <c r="M11" s="15" t="s">
        <v>387</v>
      </c>
    </row>
    <row r="12" spans="1:13" x14ac:dyDescent="0.3">
      <c r="B12" s="46" t="s">
        <v>386</v>
      </c>
      <c r="C12" s="49"/>
      <c r="D12" s="49"/>
      <c r="E12" s="3"/>
      <c r="F12" t="s">
        <v>294</v>
      </c>
      <c r="G12" s="29">
        <v>3500</v>
      </c>
      <c r="H12" s="59">
        <v>72</v>
      </c>
      <c r="I12" s="48">
        <v>0</v>
      </c>
      <c r="L12" s="44" t="s">
        <v>385</v>
      </c>
      <c r="M12" s="48">
        <v>0.04</v>
      </c>
    </row>
    <row r="13" spans="1:13" x14ac:dyDescent="0.3">
      <c r="B13" t="s">
        <v>384</v>
      </c>
      <c r="C13" s="49">
        <v>1000</v>
      </c>
      <c r="D13" s="51">
        <v>65</v>
      </c>
      <c r="E13" s="3"/>
      <c r="F13" t="s">
        <v>293</v>
      </c>
      <c r="G13" s="15">
        <v>650</v>
      </c>
      <c r="H13" s="59">
        <v>325</v>
      </c>
      <c r="I13" s="48">
        <v>0.5</v>
      </c>
      <c r="L13" s="44" t="s">
        <v>383</v>
      </c>
      <c r="M13" s="48">
        <v>0.05</v>
      </c>
    </row>
    <row r="14" spans="1:13" x14ac:dyDescent="0.3">
      <c r="B14" t="s">
        <v>382</v>
      </c>
      <c r="C14" s="49">
        <v>750</v>
      </c>
      <c r="D14" s="51">
        <v>110</v>
      </c>
      <c r="E14" s="3"/>
      <c r="F14" t="s">
        <v>292</v>
      </c>
      <c r="G14" s="15">
        <v>120</v>
      </c>
      <c r="H14" s="59">
        <v>1150</v>
      </c>
      <c r="I14" s="48">
        <v>0.75</v>
      </c>
      <c r="L14" s="44" t="s">
        <v>381</v>
      </c>
      <c r="M14" s="48">
        <v>0.05</v>
      </c>
    </row>
    <row r="15" spans="1:13" x14ac:dyDescent="0.3">
      <c r="B15" t="s">
        <v>380</v>
      </c>
      <c r="C15" s="49">
        <v>300</v>
      </c>
      <c r="D15" s="51">
        <v>55</v>
      </c>
      <c r="E15" s="3"/>
    </row>
    <row r="16" spans="1:13" x14ac:dyDescent="0.3">
      <c r="B16" t="s">
        <v>379</v>
      </c>
      <c r="C16" s="49">
        <v>1200</v>
      </c>
      <c r="D16" s="51">
        <v>70</v>
      </c>
      <c r="E16" s="3"/>
      <c r="G16" s="2"/>
    </row>
    <row r="17" spans="2:16" x14ac:dyDescent="0.3">
      <c r="B17" t="s">
        <v>378</v>
      </c>
      <c r="C17" s="49">
        <v>25</v>
      </c>
      <c r="D17" s="51">
        <v>60</v>
      </c>
      <c r="E17" s="3"/>
      <c r="F17" s="10" t="s">
        <v>48</v>
      </c>
      <c r="G17" s="8"/>
      <c r="I17" s="10" t="s">
        <v>93</v>
      </c>
      <c r="J17" s="8"/>
      <c r="L17" s="10" t="s">
        <v>211</v>
      </c>
      <c r="M17" s="8"/>
      <c r="O17" s="10" t="s">
        <v>302</v>
      </c>
      <c r="P17" s="8"/>
    </row>
    <row r="18" spans="2:16" x14ac:dyDescent="0.3">
      <c r="C18" s="49"/>
      <c r="D18" s="51"/>
      <c r="E18" s="3"/>
      <c r="F18" s="7" t="s">
        <v>297</v>
      </c>
      <c r="G18" s="5"/>
      <c r="I18" s="7" t="s">
        <v>377</v>
      </c>
      <c r="J18" s="5"/>
      <c r="L18" s="7" t="s">
        <v>741</v>
      </c>
      <c r="M18" s="5"/>
      <c r="O18" s="7" t="s">
        <v>298</v>
      </c>
      <c r="P18" s="5"/>
    </row>
    <row r="19" spans="2:16" x14ac:dyDescent="0.3">
      <c r="B19" t="s">
        <v>376</v>
      </c>
      <c r="C19" s="49"/>
      <c r="D19" s="51"/>
      <c r="E19" s="3"/>
    </row>
    <row r="20" spans="2:16" x14ac:dyDescent="0.3">
      <c r="B20" t="s">
        <v>375</v>
      </c>
      <c r="C20" s="49">
        <v>20</v>
      </c>
      <c r="D20" s="51">
        <v>175</v>
      </c>
      <c r="E20" s="3"/>
      <c r="G20" s="13" t="s">
        <v>373</v>
      </c>
      <c r="J20" s="13" t="s">
        <v>373</v>
      </c>
      <c r="L20" s="13"/>
      <c r="M20" s="13" t="s">
        <v>373</v>
      </c>
      <c r="O20" t="s">
        <v>374</v>
      </c>
      <c r="P20" s="60" t="s">
        <v>373</v>
      </c>
    </row>
    <row r="21" spans="2:16" x14ac:dyDescent="0.3">
      <c r="B21" t="s">
        <v>372</v>
      </c>
      <c r="C21" s="49">
        <v>12</v>
      </c>
      <c r="D21" s="51">
        <v>340</v>
      </c>
      <c r="E21" s="3"/>
      <c r="F21" t="s">
        <v>288</v>
      </c>
      <c r="G21" s="13" t="s">
        <v>368</v>
      </c>
      <c r="I21" t="s">
        <v>371</v>
      </c>
      <c r="J21" s="13" t="s">
        <v>368</v>
      </c>
      <c r="L21" s="13" t="s">
        <v>370</v>
      </c>
      <c r="M21" s="13" t="s">
        <v>368</v>
      </c>
      <c r="O21" t="s">
        <v>369</v>
      </c>
      <c r="P21" s="60" t="s">
        <v>368</v>
      </c>
    </row>
    <row r="22" spans="2:16" x14ac:dyDescent="0.3">
      <c r="B22" t="s">
        <v>367</v>
      </c>
      <c r="C22" s="49">
        <v>65</v>
      </c>
      <c r="D22" s="51">
        <v>225</v>
      </c>
      <c r="E22" s="3"/>
      <c r="F22" t="s">
        <v>218</v>
      </c>
      <c r="G22" s="13">
        <v>1.07</v>
      </c>
      <c r="I22" t="s">
        <v>366</v>
      </c>
      <c r="J22" s="60">
        <v>1.1000000000000001</v>
      </c>
      <c r="L22" s="25">
        <v>0</v>
      </c>
      <c r="M22" s="60">
        <v>1.1499999999999999</v>
      </c>
      <c r="O22" t="s">
        <v>365</v>
      </c>
      <c r="P22" s="60">
        <v>1.25</v>
      </c>
    </row>
    <row r="23" spans="2:16" x14ac:dyDescent="0.3">
      <c r="B23" t="s">
        <v>364</v>
      </c>
      <c r="C23" s="49">
        <v>75</v>
      </c>
      <c r="D23" s="51">
        <v>450</v>
      </c>
      <c r="E23" s="3"/>
      <c r="F23" t="s">
        <v>363</v>
      </c>
      <c r="G23" s="13">
        <v>1.02</v>
      </c>
      <c r="I23" t="s">
        <v>347</v>
      </c>
      <c r="J23" s="60">
        <v>0.98</v>
      </c>
      <c r="L23" s="25">
        <v>0.5</v>
      </c>
      <c r="M23" s="60">
        <v>1</v>
      </c>
      <c r="O23" s="55" t="s">
        <v>362</v>
      </c>
      <c r="P23" s="60">
        <v>1.1200000000000001</v>
      </c>
    </row>
    <row r="24" spans="2:16" x14ac:dyDescent="0.3">
      <c r="B24" t="s">
        <v>361</v>
      </c>
      <c r="C24" s="49">
        <v>10</v>
      </c>
      <c r="D24" s="51">
        <v>550</v>
      </c>
      <c r="E24" s="3"/>
      <c r="F24" t="s">
        <v>360</v>
      </c>
      <c r="G24" s="13">
        <v>0.97</v>
      </c>
      <c r="L24" s="25">
        <v>1</v>
      </c>
      <c r="M24" s="60">
        <v>0.9</v>
      </c>
      <c r="O24" t="s">
        <v>359</v>
      </c>
      <c r="P24" s="60">
        <v>1</v>
      </c>
    </row>
    <row r="25" spans="2:16" x14ac:dyDescent="0.3">
      <c r="B25" t="s">
        <v>358</v>
      </c>
      <c r="C25" s="49">
        <v>15</v>
      </c>
      <c r="D25" s="51">
        <v>200</v>
      </c>
      <c r="E25" s="3"/>
      <c r="F25" t="s">
        <v>357</v>
      </c>
      <c r="G25" s="13">
        <v>0.95</v>
      </c>
      <c r="O25" s="44" t="s">
        <v>270</v>
      </c>
      <c r="P25" s="60">
        <v>0.98</v>
      </c>
    </row>
    <row r="26" spans="2:16" x14ac:dyDescent="0.3">
      <c r="B26" t="s">
        <v>356</v>
      </c>
      <c r="C26" s="49">
        <v>525</v>
      </c>
      <c r="D26" s="51">
        <v>260</v>
      </c>
      <c r="E26" s="3"/>
    </row>
    <row r="27" spans="2:16" x14ac:dyDescent="0.3">
      <c r="B27" t="s">
        <v>355</v>
      </c>
      <c r="C27" s="49">
        <v>140</v>
      </c>
      <c r="D27" s="51">
        <v>275</v>
      </c>
      <c r="E27" s="3"/>
    </row>
    <row r="28" spans="2:16" x14ac:dyDescent="0.3">
      <c r="B28" t="s">
        <v>354</v>
      </c>
      <c r="C28" s="49">
        <v>50</v>
      </c>
      <c r="D28" s="51">
        <v>800</v>
      </c>
      <c r="E28" s="3"/>
      <c r="F28" s="10" t="s">
        <v>301</v>
      </c>
      <c r="G28" s="10"/>
      <c r="H28" s="10"/>
      <c r="I28" s="54"/>
      <c r="L28" s="10" t="s">
        <v>300</v>
      </c>
      <c r="M28" s="10"/>
      <c r="N28" s="54"/>
    </row>
    <row r="29" spans="2:16" x14ac:dyDescent="0.3">
      <c r="C29" s="49"/>
      <c r="D29" s="51"/>
      <c r="E29" s="3"/>
      <c r="F29" s="7" t="s">
        <v>353</v>
      </c>
      <c r="G29" s="7"/>
      <c r="H29" s="7"/>
      <c r="I29" s="53"/>
      <c r="L29" s="7" t="s">
        <v>352</v>
      </c>
      <c r="M29" s="7"/>
      <c r="N29" s="53"/>
    </row>
    <row r="30" spans="2:16" x14ac:dyDescent="0.3">
      <c r="B30" t="s">
        <v>351</v>
      </c>
      <c r="C30" s="49"/>
      <c r="D30" s="51"/>
      <c r="E30" s="3"/>
      <c r="N30" s="3"/>
    </row>
    <row r="31" spans="2:16" x14ac:dyDescent="0.3">
      <c r="B31" t="s">
        <v>350</v>
      </c>
      <c r="C31" s="49">
        <v>74</v>
      </c>
      <c r="D31" s="51">
        <v>1200</v>
      </c>
      <c r="E31" s="3"/>
      <c r="G31" t="s">
        <v>349</v>
      </c>
      <c r="L31" t="s">
        <v>348</v>
      </c>
      <c r="M31" s="56" t="s">
        <v>347</v>
      </c>
      <c r="N31" s="3"/>
    </row>
    <row r="32" spans="2:16" x14ac:dyDescent="0.3">
      <c r="B32" t="s">
        <v>346</v>
      </c>
      <c r="C32" s="49">
        <v>7</v>
      </c>
      <c r="D32" s="51">
        <v>1750</v>
      </c>
      <c r="E32" s="3"/>
      <c r="G32" s="15" t="s">
        <v>294</v>
      </c>
      <c r="H32" s="15" t="s">
        <v>293</v>
      </c>
      <c r="I32" s="15" t="s">
        <v>292</v>
      </c>
      <c r="L32" t="s">
        <v>345</v>
      </c>
      <c r="M32" s="56">
        <v>75</v>
      </c>
      <c r="N32" s="3"/>
    </row>
    <row r="33" spans="1:14" x14ac:dyDescent="0.3">
      <c r="B33" t="s">
        <v>344</v>
      </c>
      <c r="C33" s="49">
        <v>12</v>
      </c>
      <c r="D33" s="51">
        <v>1400</v>
      </c>
      <c r="E33" s="3"/>
      <c r="F33" s="2">
        <v>0</v>
      </c>
      <c r="G33" s="15">
        <v>0.89</v>
      </c>
      <c r="H33" s="15">
        <v>1.23</v>
      </c>
      <c r="I33" s="15">
        <v>1.36</v>
      </c>
      <c r="L33" t="s">
        <v>343</v>
      </c>
      <c r="M33" s="56" t="s">
        <v>342</v>
      </c>
      <c r="N33" s="3"/>
    </row>
    <row r="34" spans="1:14" x14ac:dyDescent="0.3">
      <c r="B34" t="s">
        <v>341</v>
      </c>
      <c r="C34" s="49">
        <v>6</v>
      </c>
      <c r="D34" s="51">
        <v>150</v>
      </c>
      <c r="E34" s="3"/>
      <c r="F34" s="2">
        <v>0.25</v>
      </c>
      <c r="G34" s="15">
        <v>0.81</v>
      </c>
      <c r="H34" s="15">
        <v>1.05</v>
      </c>
      <c r="I34" s="15">
        <v>1.17</v>
      </c>
      <c r="L34" t="s">
        <v>288</v>
      </c>
      <c r="M34" s="56" t="s">
        <v>340</v>
      </c>
      <c r="N34" s="3"/>
    </row>
    <row r="35" spans="1:14" x14ac:dyDescent="0.3">
      <c r="B35" t="s">
        <v>339</v>
      </c>
      <c r="C35" s="49">
        <v>15</v>
      </c>
      <c r="D35" s="51">
        <v>1500</v>
      </c>
      <c r="E35" s="3"/>
      <c r="F35" s="2">
        <v>0.5</v>
      </c>
      <c r="G35" s="15">
        <v>0.65</v>
      </c>
      <c r="H35" s="15">
        <v>0.94</v>
      </c>
      <c r="I35" s="15">
        <v>1.02</v>
      </c>
      <c r="L35" t="s">
        <v>338</v>
      </c>
      <c r="M35" s="56" t="s">
        <v>337</v>
      </c>
      <c r="N35" s="3"/>
    </row>
    <row r="36" spans="1:14" x14ac:dyDescent="0.3">
      <c r="F36" s="2">
        <v>0.75</v>
      </c>
      <c r="G36" s="15">
        <v>0.45</v>
      </c>
      <c r="H36" s="15">
        <v>0.81</v>
      </c>
      <c r="I36" s="15">
        <v>0.94</v>
      </c>
    </row>
    <row r="37" spans="1:14" x14ac:dyDescent="0.3">
      <c r="F37" s="2"/>
    </row>
    <row r="38" spans="1:14" x14ac:dyDescent="0.3">
      <c r="B38" t="s">
        <v>742</v>
      </c>
    </row>
    <row r="39" spans="1:14" x14ac:dyDescent="0.3">
      <c r="B39" t="s">
        <v>335</v>
      </c>
    </row>
    <row r="41" spans="1:14" x14ac:dyDescent="0.3">
      <c r="A41" t="s">
        <v>6</v>
      </c>
      <c r="B41" t="s">
        <v>743</v>
      </c>
    </row>
    <row r="43" spans="1:14" x14ac:dyDescent="0.3">
      <c r="B43" t="s">
        <v>334</v>
      </c>
    </row>
    <row r="45" spans="1:14" x14ac:dyDescent="0.3">
      <c r="A45" t="s">
        <v>4</v>
      </c>
      <c r="B45" t="s">
        <v>333</v>
      </c>
    </row>
    <row r="46" spans="1:14" x14ac:dyDescent="0.3">
      <c r="L46" s="24"/>
    </row>
    <row r="47" spans="1:14" x14ac:dyDescent="0.3">
      <c r="B47" t="s">
        <v>332</v>
      </c>
    </row>
    <row r="49" spans="1:2" x14ac:dyDescent="0.3">
      <c r="A49" t="s">
        <v>1</v>
      </c>
      <c r="B49" t="s">
        <v>331</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29507-AEA6-4BD9-BF56-FAE231C41B24}">
  <sheetPr>
    <tabColor theme="9" tint="0.59999389629810485"/>
  </sheetPr>
  <dimension ref="A1:P140"/>
  <sheetViews>
    <sheetView zoomScaleNormal="100" workbookViewId="0"/>
  </sheetViews>
  <sheetFormatPr defaultRowHeight="14.4" x14ac:dyDescent="0.3"/>
  <cols>
    <col min="2" max="2" width="26" customWidth="1"/>
    <col min="3" max="4" width="12.6640625" customWidth="1"/>
    <col min="6" max="6" width="18.6640625" customWidth="1"/>
    <col min="7" max="7" width="11.44140625" customWidth="1"/>
    <col min="8" max="8" width="10.33203125" bestFit="1" customWidth="1"/>
    <col min="9" max="9" width="17.6640625" customWidth="1"/>
    <col min="10" max="10" width="11.44140625" customWidth="1"/>
    <col min="12" max="12" width="24.5546875" customWidth="1"/>
    <col min="13" max="13" width="16.6640625" customWidth="1"/>
    <col min="15" max="16" width="16.6640625" customWidth="1"/>
  </cols>
  <sheetData>
    <row r="1" spans="1:13" x14ac:dyDescent="0.3">
      <c r="A1" s="89" t="s">
        <v>721</v>
      </c>
    </row>
    <row r="3" spans="1:13" x14ac:dyDescent="0.3">
      <c r="A3" s="11" t="s">
        <v>52</v>
      </c>
    </row>
    <row r="4" spans="1:13" x14ac:dyDescent="0.3">
      <c r="A4" t="s">
        <v>309</v>
      </c>
    </row>
    <row r="5" spans="1:13" x14ac:dyDescent="0.3">
      <c r="A5" s="11"/>
    </row>
    <row r="7" spans="1:13" x14ac:dyDescent="0.3">
      <c r="B7" s="10" t="s">
        <v>50</v>
      </c>
      <c r="C7" s="9"/>
      <c r="D7" s="8"/>
      <c r="F7" s="10" t="s">
        <v>49</v>
      </c>
      <c r="G7" s="9"/>
      <c r="H7" s="9"/>
      <c r="I7" s="8"/>
      <c r="L7" s="10" t="s">
        <v>48</v>
      </c>
      <c r="M7" s="8"/>
    </row>
    <row r="8" spans="1:13" x14ac:dyDescent="0.3">
      <c r="B8" s="7" t="s">
        <v>391</v>
      </c>
      <c r="C8" s="6"/>
      <c r="D8" s="5"/>
      <c r="F8" s="7" t="s">
        <v>307</v>
      </c>
      <c r="G8" s="6"/>
      <c r="H8" s="6"/>
      <c r="I8" s="5"/>
      <c r="L8" s="7" t="s">
        <v>390</v>
      </c>
      <c r="M8" s="5"/>
    </row>
    <row r="9" spans="1:13" x14ac:dyDescent="0.3">
      <c r="B9" s="47"/>
      <c r="C9" s="47"/>
      <c r="D9" s="47"/>
      <c r="E9" s="47"/>
    </row>
    <row r="10" spans="1:13" x14ac:dyDescent="0.3">
      <c r="C10" s="13"/>
      <c r="D10" s="13" t="s">
        <v>241</v>
      </c>
      <c r="H10" t="s">
        <v>241</v>
      </c>
    </row>
    <row r="11" spans="1:13" x14ac:dyDescent="0.3">
      <c r="C11" s="13" t="s">
        <v>65</v>
      </c>
      <c r="D11" s="13" t="s">
        <v>389</v>
      </c>
      <c r="G11" s="15" t="s">
        <v>65</v>
      </c>
      <c r="H11" s="15" t="s">
        <v>389</v>
      </c>
      <c r="I11" s="15" t="s">
        <v>320</v>
      </c>
      <c r="L11" t="s">
        <v>388</v>
      </c>
      <c r="M11" t="s">
        <v>387</v>
      </c>
    </row>
    <row r="12" spans="1:13" ht="28.8" x14ac:dyDescent="0.3">
      <c r="B12" s="46" t="s">
        <v>386</v>
      </c>
      <c r="C12" s="49"/>
      <c r="D12" s="49"/>
      <c r="E12" s="3"/>
      <c r="F12" t="s">
        <v>294</v>
      </c>
      <c r="G12" s="29">
        <v>3500</v>
      </c>
      <c r="H12" s="59">
        <v>72</v>
      </c>
      <c r="I12" s="48">
        <v>0</v>
      </c>
      <c r="L12" s="44" t="s">
        <v>385</v>
      </c>
      <c r="M12" s="2">
        <v>0.04</v>
      </c>
    </row>
    <row r="13" spans="1:13" x14ac:dyDescent="0.3">
      <c r="B13" t="s">
        <v>384</v>
      </c>
      <c r="C13" s="49">
        <v>1000</v>
      </c>
      <c r="D13" s="51">
        <v>65</v>
      </c>
      <c r="E13" s="3"/>
      <c r="F13" t="s">
        <v>293</v>
      </c>
      <c r="G13" s="15">
        <v>650</v>
      </c>
      <c r="H13" s="59">
        <v>325</v>
      </c>
      <c r="I13" s="48">
        <v>0.5</v>
      </c>
      <c r="L13" s="44" t="s">
        <v>383</v>
      </c>
      <c r="M13" s="2">
        <v>0.05</v>
      </c>
    </row>
    <row r="14" spans="1:13" x14ac:dyDescent="0.3">
      <c r="B14" t="s">
        <v>382</v>
      </c>
      <c r="C14" s="49">
        <v>750</v>
      </c>
      <c r="D14" s="51">
        <v>110</v>
      </c>
      <c r="E14" s="3"/>
      <c r="F14" t="s">
        <v>292</v>
      </c>
      <c r="G14" s="15">
        <v>120</v>
      </c>
      <c r="H14" s="59">
        <v>1150</v>
      </c>
      <c r="I14" s="48">
        <v>0.75</v>
      </c>
      <c r="L14" s="44" t="s">
        <v>381</v>
      </c>
      <c r="M14" s="2">
        <v>0.05</v>
      </c>
    </row>
    <row r="15" spans="1:13" x14ac:dyDescent="0.3">
      <c r="B15" t="s">
        <v>380</v>
      </c>
      <c r="C15" s="49">
        <v>300</v>
      </c>
      <c r="D15" s="51">
        <v>55</v>
      </c>
      <c r="E15" s="3"/>
    </row>
    <row r="16" spans="1:13" x14ac:dyDescent="0.3">
      <c r="B16" t="s">
        <v>379</v>
      </c>
      <c r="C16" s="49">
        <v>1200</v>
      </c>
      <c r="D16" s="51">
        <v>70</v>
      </c>
      <c r="E16" s="3"/>
      <c r="G16" s="2"/>
    </row>
    <row r="17" spans="2:16" x14ac:dyDescent="0.3">
      <c r="B17" t="s">
        <v>378</v>
      </c>
      <c r="C17" s="49">
        <v>25</v>
      </c>
      <c r="D17" s="51">
        <v>60</v>
      </c>
      <c r="E17" s="3"/>
      <c r="F17" s="10" t="s">
        <v>48</v>
      </c>
      <c r="G17" s="8"/>
      <c r="I17" s="10" t="s">
        <v>93</v>
      </c>
      <c r="J17" s="8"/>
      <c r="L17" s="10" t="s">
        <v>211</v>
      </c>
      <c r="M17" s="8"/>
      <c r="O17" s="10" t="s">
        <v>302</v>
      </c>
      <c r="P17" s="8"/>
    </row>
    <row r="18" spans="2:16" x14ac:dyDescent="0.3">
      <c r="C18" s="49"/>
      <c r="D18" s="51"/>
      <c r="E18" s="3"/>
      <c r="F18" s="7" t="s">
        <v>297</v>
      </c>
      <c r="G18" s="5"/>
      <c r="I18" s="7" t="s">
        <v>377</v>
      </c>
      <c r="J18" s="5"/>
      <c r="L18" s="7" t="s">
        <v>741</v>
      </c>
      <c r="M18" s="5"/>
      <c r="O18" s="7" t="s">
        <v>298</v>
      </c>
      <c r="P18" s="5"/>
    </row>
    <row r="19" spans="2:16" x14ac:dyDescent="0.3">
      <c r="B19" t="s">
        <v>376</v>
      </c>
      <c r="C19" s="49"/>
      <c r="D19" s="51"/>
      <c r="E19" s="3"/>
    </row>
    <row r="20" spans="2:16" x14ac:dyDescent="0.3">
      <c r="B20" t="s">
        <v>375</v>
      </c>
      <c r="C20" s="49">
        <v>20</v>
      </c>
      <c r="D20" s="51">
        <v>175</v>
      </c>
      <c r="E20" s="3"/>
      <c r="G20" t="s">
        <v>373</v>
      </c>
      <c r="J20" t="s">
        <v>373</v>
      </c>
      <c r="M20" t="s">
        <v>373</v>
      </c>
      <c r="O20" t="s">
        <v>374</v>
      </c>
      <c r="P20" t="s">
        <v>373</v>
      </c>
    </row>
    <row r="21" spans="2:16" x14ac:dyDescent="0.3">
      <c r="B21" t="s">
        <v>372</v>
      </c>
      <c r="C21" s="49">
        <v>12</v>
      </c>
      <c r="D21" s="51">
        <v>340</v>
      </c>
      <c r="E21" s="3"/>
      <c r="F21" t="s">
        <v>288</v>
      </c>
      <c r="G21" t="s">
        <v>368</v>
      </c>
      <c r="I21" t="s">
        <v>371</v>
      </c>
      <c r="J21" t="s">
        <v>368</v>
      </c>
      <c r="L21" t="s">
        <v>370</v>
      </c>
      <c r="M21" t="s">
        <v>368</v>
      </c>
      <c r="O21" t="s">
        <v>369</v>
      </c>
      <c r="P21" t="s">
        <v>368</v>
      </c>
    </row>
    <row r="22" spans="2:16" x14ac:dyDescent="0.3">
      <c r="B22" t="s">
        <v>367</v>
      </c>
      <c r="C22" s="49">
        <v>65</v>
      </c>
      <c r="D22" s="51">
        <v>225</v>
      </c>
      <c r="E22" s="3"/>
      <c r="F22" t="s">
        <v>218</v>
      </c>
      <c r="G22">
        <v>1.07</v>
      </c>
      <c r="I22" t="s">
        <v>366</v>
      </c>
      <c r="J22">
        <v>1.1000000000000001</v>
      </c>
      <c r="L22" s="2">
        <v>0</v>
      </c>
      <c r="M22">
        <v>1.1499999999999999</v>
      </c>
      <c r="O22" t="s">
        <v>365</v>
      </c>
      <c r="P22">
        <v>1.25</v>
      </c>
    </row>
    <row r="23" spans="2:16" x14ac:dyDescent="0.3">
      <c r="B23" t="s">
        <v>364</v>
      </c>
      <c r="C23" s="49">
        <v>75</v>
      </c>
      <c r="D23" s="51">
        <v>450</v>
      </c>
      <c r="E23" s="3"/>
      <c r="F23" t="s">
        <v>363</v>
      </c>
      <c r="G23">
        <v>1.02</v>
      </c>
      <c r="I23" t="s">
        <v>347</v>
      </c>
      <c r="J23">
        <v>0.98</v>
      </c>
      <c r="L23" s="2">
        <v>0.5</v>
      </c>
      <c r="M23">
        <v>1</v>
      </c>
      <c r="O23" s="55" t="s">
        <v>362</v>
      </c>
      <c r="P23">
        <v>1.1200000000000001</v>
      </c>
    </row>
    <row r="24" spans="2:16" x14ac:dyDescent="0.3">
      <c r="B24" t="s">
        <v>361</v>
      </c>
      <c r="C24" s="49">
        <v>10</v>
      </c>
      <c r="D24" s="51">
        <v>550</v>
      </c>
      <c r="E24" s="3"/>
      <c r="F24" t="s">
        <v>360</v>
      </c>
      <c r="G24">
        <v>0.97</v>
      </c>
      <c r="L24" s="2">
        <v>1</v>
      </c>
      <c r="M24">
        <v>0.9</v>
      </c>
      <c r="O24" t="s">
        <v>359</v>
      </c>
      <c r="P24">
        <v>1</v>
      </c>
    </row>
    <row r="25" spans="2:16" x14ac:dyDescent="0.3">
      <c r="B25" t="s">
        <v>358</v>
      </c>
      <c r="C25" s="49">
        <v>15</v>
      </c>
      <c r="D25" s="51">
        <v>200</v>
      </c>
      <c r="E25" s="3"/>
      <c r="F25" t="s">
        <v>357</v>
      </c>
      <c r="G25">
        <v>0.95</v>
      </c>
      <c r="O25" s="44" t="s">
        <v>270</v>
      </c>
      <c r="P25">
        <v>0.98</v>
      </c>
    </row>
    <row r="26" spans="2:16" x14ac:dyDescent="0.3">
      <c r="B26" t="s">
        <v>356</v>
      </c>
      <c r="C26" s="49">
        <v>525</v>
      </c>
      <c r="D26" s="51">
        <v>260</v>
      </c>
      <c r="E26" s="3"/>
    </row>
    <row r="27" spans="2:16" x14ac:dyDescent="0.3">
      <c r="B27" t="s">
        <v>355</v>
      </c>
      <c r="C27" s="49">
        <v>140</v>
      </c>
      <c r="D27" s="51">
        <v>275</v>
      </c>
      <c r="E27" s="3"/>
    </row>
    <row r="28" spans="2:16" x14ac:dyDescent="0.3">
      <c r="B28" t="s">
        <v>354</v>
      </c>
      <c r="C28" s="49">
        <v>50</v>
      </c>
      <c r="D28" s="51">
        <v>800</v>
      </c>
      <c r="E28" s="3"/>
      <c r="F28" s="10" t="s">
        <v>301</v>
      </c>
      <c r="G28" s="10"/>
      <c r="H28" s="10"/>
      <c r="I28" s="54"/>
      <c r="L28" s="10" t="s">
        <v>300</v>
      </c>
      <c r="M28" s="10"/>
      <c r="N28" s="54"/>
    </row>
    <row r="29" spans="2:16" x14ac:dyDescent="0.3">
      <c r="C29" s="49"/>
      <c r="D29" s="51"/>
      <c r="E29" s="3"/>
      <c r="F29" s="7" t="s">
        <v>353</v>
      </c>
      <c r="G29" s="7"/>
      <c r="H29" s="7"/>
      <c r="I29" s="53"/>
      <c r="L29" s="7" t="s">
        <v>352</v>
      </c>
      <c r="M29" s="7"/>
      <c r="N29" s="53"/>
    </row>
    <row r="30" spans="2:16" x14ac:dyDescent="0.3">
      <c r="B30" t="s">
        <v>351</v>
      </c>
      <c r="C30" s="49"/>
      <c r="D30" s="51"/>
      <c r="E30" s="3"/>
      <c r="N30" s="3"/>
    </row>
    <row r="31" spans="2:16" x14ac:dyDescent="0.3">
      <c r="B31" t="s">
        <v>350</v>
      </c>
      <c r="C31" s="49">
        <v>74</v>
      </c>
      <c r="D31" s="51">
        <v>1200</v>
      </c>
      <c r="E31" s="3"/>
      <c r="G31" t="s">
        <v>349</v>
      </c>
      <c r="L31" t="s">
        <v>348</v>
      </c>
      <c r="M31" t="s">
        <v>347</v>
      </c>
      <c r="N31" s="3"/>
    </row>
    <row r="32" spans="2:16" x14ac:dyDescent="0.3">
      <c r="B32" t="s">
        <v>346</v>
      </c>
      <c r="C32" s="49">
        <v>7</v>
      </c>
      <c r="D32" s="51">
        <v>1750</v>
      </c>
      <c r="E32" s="3"/>
      <c r="G32" t="s">
        <v>294</v>
      </c>
      <c r="H32" t="s">
        <v>293</v>
      </c>
      <c r="I32" t="s">
        <v>292</v>
      </c>
      <c r="L32" t="s">
        <v>345</v>
      </c>
      <c r="M32">
        <v>75</v>
      </c>
      <c r="N32" s="3"/>
    </row>
    <row r="33" spans="1:14" x14ac:dyDescent="0.3">
      <c r="B33" t="s">
        <v>344</v>
      </c>
      <c r="C33" s="49">
        <v>12</v>
      </c>
      <c r="D33" s="51">
        <v>1400</v>
      </c>
      <c r="E33" s="3"/>
      <c r="F33" s="2">
        <v>0</v>
      </c>
      <c r="G33">
        <v>0.89</v>
      </c>
      <c r="H33">
        <v>1.23</v>
      </c>
      <c r="I33">
        <v>1.36</v>
      </c>
      <c r="L33" t="s">
        <v>343</v>
      </c>
      <c r="M33" t="s">
        <v>342</v>
      </c>
      <c r="N33" s="3"/>
    </row>
    <row r="34" spans="1:14" x14ac:dyDescent="0.3">
      <c r="B34" t="s">
        <v>341</v>
      </c>
      <c r="C34" s="49">
        <v>6</v>
      </c>
      <c r="D34" s="51">
        <v>150</v>
      </c>
      <c r="E34" s="3"/>
      <c r="F34" s="2">
        <v>0.25</v>
      </c>
      <c r="G34">
        <v>0.81</v>
      </c>
      <c r="H34">
        <v>1.05</v>
      </c>
      <c r="I34">
        <v>1.17</v>
      </c>
      <c r="L34" t="s">
        <v>288</v>
      </c>
      <c r="M34" t="s">
        <v>340</v>
      </c>
      <c r="N34" s="3"/>
    </row>
    <row r="35" spans="1:14" x14ac:dyDescent="0.3">
      <c r="B35" t="s">
        <v>339</v>
      </c>
      <c r="C35" s="49">
        <v>15</v>
      </c>
      <c r="D35" s="51">
        <v>1500</v>
      </c>
      <c r="E35" s="3"/>
      <c r="F35" s="2">
        <v>0.5</v>
      </c>
      <c r="G35">
        <v>0.65</v>
      </c>
      <c r="H35">
        <v>0.94</v>
      </c>
      <c r="I35">
        <v>1.02</v>
      </c>
      <c r="L35" t="s">
        <v>338</v>
      </c>
      <c r="M35" t="s">
        <v>337</v>
      </c>
      <c r="N35" s="3"/>
    </row>
    <row r="36" spans="1:14" x14ac:dyDescent="0.3">
      <c r="F36" s="2">
        <v>0.75</v>
      </c>
      <c r="G36">
        <v>0.45</v>
      </c>
      <c r="H36">
        <v>0.81</v>
      </c>
      <c r="I36">
        <v>0.94</v>
      </c>
    </row>
    <row r="37" spans="1:14" x14ac:dyDescent="0.3">
      <c r="F37" s="2"/>
    </row>
    <row r="38" spans="1:14" x14ac:dyDescent="0.3">
      <c r="B38" t="s">
        <v>336</v>
      </c>
    </row>
    <row r="39" spans="1:14" x14ac:dyDescent="0.3">
      <c r="B39" t="s">
        <v>335</v>
      </c>
    </row>
    <row r="41" spans="1:14" x14ac:dyDescent="0.3">
      <c r="A41" t="s">
        <v>6</v>
      </c>
      <c r="B41" t="s">
        <v>743</v>
      </c>
    </row>
    <row r="43" spans="1:14" x14ac:dyDescent="0.3">
      <c r="D43" t="s">
        <v>241</v>
      </c>
      <c r="E43" t="s">
        <v>420</v>
      </c>
      <c r="G43" t="s">
        <v>419</v>
      </c>
      <c r="I43" t="s">
        <v>418</v>
      </c>
      <c r="L43" s="24" t="s">
        <v>75</v>
      </c>
    </row>
    <row r="44" spans="1:14" x14ac:dyDescent="0.3">
      <c r="C44" t="s">
        <v>65</v>
      </c>
      <c r="D44" t="s">
        <v>389</v>
      </c>
      <c r="E44" t="s">
        <v>417</v>
      </c>
      <c r="F44" t="s">
        <v>320</v>
      </c>
      <c r="G44" t="s">
        <v>35</v>
      </c>
      <c r="I44" t="s">
        <v>240</v>
      </c>
    </row>
    <row r="45" spans="1:14" ht="28.8" x14ac:dyDescent="0.3">
      <c r="B45" s="46" t="s">
        <v>386</v>
      </c>
      <c r="C45" s="3"/>
      <c r="D45" s="3"/>
    </row>
    <row r="46" spans="1:14" x14ac:dyDescent="0.3">
      <c r="B46" t="s">
        <v>384</v>
      </c>
      <c r="C46" s="3">
        <f t="shared" ref="C46:D50" si="0">C13</f>
        <v>1000</v>
      </c>
      <c r="D46" s="3">
        <f t="shared" si="0"/>
        <v>65</v>
      </c>
      <c r="E46" s="28">
        <f>C46*D46/12000</f>
        <v>5.416666666666667</v>
      </c>
      <c r="F46" s="2">
        <v>0</v>
      </c>
      <c r="G46" s="28">
        <f>E46*F46</f>
        <v>0</v>
      </c>
      <c r="I46" s="28">
        <f>E46-G46</f>
        <v>5.416666666666667</v>
      </c>
      <c r="L46" t="s">
        <v>744</v>
      </c>
    </row>
    <row r="47" spans="1:14" x14ac:dyDescent="0.3">
      <c r="B47" t="s">
        <v>382</v>
      </c>
      <c r="C47" s="3">
        <f t="shared" si="0"/>
        <v>750</v>
      </c>
      <c r="D47" s="3">
        <f t="shared" si="0"/>
        <v>110</v>
      </c>
      <c r="E47" s="28">
        <f>C47*D47/12000</f>
        <v>6.875</v>
      </c>
      <c r="F47" s="2">
        <v>0</v>
      </c>
      <c r="G47" s="28">
        <f>E47*F47</f>
        <v>0</v>
      </c>
      <c r="I47" s="28">
        <f>E47-G47</f>
        <v>6.875</v>
      </c>
    </row>
    <row r="48" spans="1:14" x14ac:dyDescent="0.3">
      <c r="B48" t="s">
        <v>380</v>
      </c>
      <c r="C48" s="3">
        <f t="shared" si="0"/>
        <v>300</v>
      </c>
      <c r="D48" s="3">
        <f t="shared" si="0"/>
        <v>55</v>
      </c>
      <c r="E48" s="28">
        <f>C48*D48/12000</f>
        <v>1.375</v>
      </c>
      <c r="F48" s="2">
        <v>0</v>
      </c>
      <c r="G48" s="28">
        <f>E48*F48</f>
        <v>0</v>
      </c>
      <c r="I48" s="28">
        <f>E48-G48</f>
        <v>1.375</v>
      </c>
    </row>
    <row r="49" spans="2:9" x14ac:dyDescent="0.3">
      <c r="B49" t="s">
        <v>379</v>
      </c>
      <c r="C49" s="3">
        <f t="shared" si="0"/>
        <v>1200</v>
      </c>
      <c r="D49" s="3">
        <f t="shared" si="0"/>
        <v>70</v>
      </c>
      <c r="E49" s="28">
        <f>C49*D49/12000</f>
        <v>7</v>
      </c>
      <c r="F49" s="2">
        <v>0</v>
      </c>
      <c r="G49" s="28">
        <f>E49*F49</f>
        <v>0</v>
      </c>
      <c r="I49" s="28">
        <f>E49-G49</f>
        <v>7</v>
      </c>
    </row>
    <row r="50" spans="2:9" x14ac:dyDescent="0.3">
      <c r="B50" t="s">
        <v>378</v>
      </c>
      <c r="C50" s="3">
        <f t="shared" si="0"/>
        <v>25</v>
      </c>
      <c r="D50" s="3">
        <f t="shared" si="0"/>
        <v>60</v>
      </c>
      <c r="E50" s="28">
        <f>C50*D50/12000</f>
        <v>0.125</v>
      </c>
      <c r="F50" s="2">
        <v>0</v>
      </c>
      <c r="G50" s="28">
        <f>E50*F50</f>
        <v>0</v>
      </c>
      <c r="I50" s="28">
        <f>E50-G50</f>
        <v>0.125</v>
      </c>
    </row>
    <row r="51" spans="2:9" x14ac:dyDescent="0.3">
      <c r="C51" s="3"/>
      <c r="D51" s="3"/>
      <c r="G51" s="28"/>
    </row>
    <row r="52" spans="2:9" x14ac:dyDescent="0.3">
      <c r="B52" t="s">
        <v>376</v>
      </c>
      <c r="C52" s="3"/>
      <c r="D52" s="3"/>
      <c r="G52" s="28"/>
    </row>
    <row r="53" spans="2:9" x14ac:dyDescent="0.3">
      <c r="B53" t="s">
        <v>375</v>
      </c>
      <c r="C53" s="3">
        <f t="shared" ref="C53:D61" si="1">C20</f>
        <v>20</v>
      </c>
      <c r="D53" s="3">
        <f t="shared" si="1"/>
        <v>175</v>
      </c>
      <c r="E53" s="28">
        <f t="shared" ref="E53:E61" si="2">C53*D53/12000</f>
        <v>0.29166666666666669</v>
      </c>
      <c r="F53" s="2">
        <v>0.5</v>
      </c>
      <c r="G53" s="28">
        <f t="shared" ref="G53:G61" si="3">E53*F53</f>
        <v>0.14583333333333334</v>
      </c>
      <c r="I53" s="28">
        <f t="shared" ref="I53:I61" si="4">E53-G53</f>
        <v>0.14583333333333334</v>
      </c>
    </row>
    <row r="54" spans="2:9" x14ac:dyDescent="0.3">
      <c r="B54" t="s">
        <v>372</v>
      </c>
      <c r="C54" s="3">
        <f t="shared" si="1"/>
        <v>12</v>
      </c>
      <c r="D54" s="3">
        <f t="shared" si="1"/>
        <v>340</v>
      </c>
      <c r="E54" s="28">
        <f t="shared" si="2"/>
        <v>0.34</v>
      </c>
      <c r="F54" s="2">
        <v>0.5</v>
      </c>
      <c r="G54" s="28">
        <f t="shared" si="3"/>
        <v>0.17</v>
      </c>
      <c r="I54" s="28">
        <f t="shared" si="4"/>
        <v>0.17</v>
      </c>
    </row>
    <row r="55" spans="2:9" x14ac:dyDescent="0.3">
      <c r="B55" t="s">
        <v>367</v>
      </c>
      <c r="C55" s="3">
        <f t="shared" si="1"/>
        <v>65</v>
      </c>
      <c r="D55" s="3">
        <f t="shared" si="1"/>
        <v>225</v>
      </c>
      <c r="E55" s="28">
        <f t="shared" si="2"/>
        <v>1.21875</v>
      </c>
      <c r="F55" s="2">
        <v>0.5</v>
      </c>
      <c r="G55" s="28">
        <f t="shared" si="3"/>
        <v>0.609375</v>
      </c>
      <c r="I55" s="28">
        <f t="shared" si="4"/>
        <v>0.609375</v>
      </c>
    </row>
    <row r="56" spans="2:9" x14ac:dyDescent="0.3">
      <c r="B56" t="s">
        <v>364</v>
      </c>
      <c r="C56" s="3">
        <f t="shared" si="1"/>
        <v>75</v>
      </c>
      <c r="D56" s="3">
        <f t="shared" si="1"/>
        <v>450</v>
      </c>
      <c r="E56" s="28">
        <f t="shared" si="2"/>
        <v>2.8125</v>
      </c>
      <c r="F56" s="2">
        <v>0.5</v>
      </c>
      <c r="G56" s="28">
        <f t="shared" si="3"/>
        <v>1.40625</v>
      </c>
      <c r="I56" s="28">
        <f t="shared" si="4"/>
        <v>1.40625</v>
      </c>
    </row>
    <row r="57" spans="2:9" x14ac:dyDescent="0.3">
      <c r="B57" t="s">
        <v>361</v>
      </c>
      <c r="C57" s="3">
        <f t="shared" si="1"/>
        <v>10</v>
      </c>
      <c r="D57" s="3">
        <f t="shared" si="1"/>
        <v>550</v>
      </c>
      <c r="E57" s="28">
        <f t="shared" si="2"/>
        <v>0.45833333333333331</v>
      </c>
      <c r="F57" s="2">
        <v>0.5</v>
      </c>
      <c r="G57" s="28">
        <f t="shared" si="3"/>
        <v>0.22916666666666666</v>
      </c>
      <c r="I57" s="28">
        <f t="shared" si="4"/>
        <v>0.22916666666666666</v>
      </c>
    </row>
    <row r="58" spans="2:9" x14ac:dyDescent="0.3">
      <c r="B58" t="s">
        <v>358</v>
      </c>
      <c r="C58" s="3">
        <f t="shared" si="1"/>
        <v>15</v>
      </c>
      <c r="D58" s="3">
        <f t="shared" si="1"/>
        <v>200</v>
      </c>
      <c r="E58" s="28">
        <f t="shared" si="2"/>
        <v>0.25</v>
      </c>
      <c r="F58" s="2">
        <v>0.5</v>
      </c>
      <c r="G58" s="28">
        <f t="shared" si="3"/>
        <v>0.125</v>
      </c>
      <c r="I58" s="28">
        <f t="shared" si="4"/>
        <v>0.125</v>
      </c>
    </row>
    <row r="59" spans="2:9" x14ac:dyDescent="0.3">
      <c r="B59" t="s">
        <v>356</v>
      </c>
      <c r="C59" s="3">
        <f t="shared" si="1"/>
        <v>525</v>
      </c>
      <c r="D59" s="3">
        <f t="shared" si="1"/>
        <v>260</v>
      </c>
      <c r="E59" s="28">
        <f t="shared" si="2"/>
        <v>11.375</v>
      </c>
      <c r="F59" s="2">
        <v>0.5</v>
      </c>
      <c r="G59" s="28">
        <f t="shared" si="3"/>
        <v>5.6875</v>
      </c>
      <c r="I59" s="28">
        <f t="shared" si="4"/>
        <v>5.6875</v>
      </c>
    </row>
    <row r="60" spans="2:9" x14ac:dyDescent="0.3">
      <c r="B60" t="s">
        <v>355</v>
      </c>
      <c r="C60" s="3">
        <f t="shared" si="1"/>
        <v>140</v>
      </c>
      <c r="D60" s="3">
        <f t="shared" si="1"/>
        <v>275</v>
      </c>
      <c r="E60" s="28">
        <f t="shared" si="2"/>
        <v>3.2083333333333335</v>
      </c>
      <c r="F60" s="2">
        <v>0.5</v>
      </c>
      <c r="G60" s="28">
        <f t="shared" si="3"/>
        <v>1.6041666666666667</v>
      </c>
      <c r="I60" s="28">
        <f t="shared" si="4"/>
        <v>1.6041666666666667</v>
      </c>
    </row>
    <row r="61" spans="2:9" x14ac:dyDescent="0.3">
      <c r="B61" t="s">
        <v>354</v>
      </c>
      <c r="C61" s="3">
        <f t="shared" si="1"/>
        <v>50</v>
      </c>
      <c r="D61" s="3">
        <f t="shared" si="1"/>
        <v>800</v>
      </c>
      <c r="E61" s="28">
        <f t="shared" si="2"/>
        <v>3.3333333333333335</v>
      </c>
      <c r="F61" s="2">
        <v>0.5</v>
      </c>
      <c r="G61" s="28">
        <f t="shared" si="3"/>
        <v>1.6666666666666667</v>
      </c>
      <c r="I61" s="28">
        <f t="shared" si="4"/>
        <v>1.6666666666666667</v>
      </c>
    </row>
    <row r="62" spans="2:9" x14ac:dyDescent="0.3">
      <c r="C62" s="3"/>
      <c r="D62" s="3"/>
      <c r="G62" s="28"/>
    </row>
    <row r="63" spans="2:9" x14ac:dyDescent="0.3">
      <c r="B63" t="s">
        <v>351</v>
      </c>
      <c r="C63" s="3"/>
      <c r="D63" s="3"/>
      <c r="G63" s="28"/>
    </row>
    <row r="64" spans="2:9" x14ac:dyDescent="0.3">
      <c r="B64" t="s">
        <v>350</v>
      </c>
      <c r="C64" s="3">
        <f t="shared" ref="C64:D68" si="5">C31</f>
        <v>74</v>
      </c>
      <c r="D64" s="3">
        <f t="shared" si="5"/>
        <v>1200</v>
      </c>
      <c r="E64" s="28">
        <f>C64*D64/12000</f>
        <v>7.4</v>
      </c>
      <c r="F64" s="2">
        <v>0.75</v>
      </c>
      <c r="G64" s="28">
        <f>E64*F64</f>
        <v>5.5500000000000007</v>
      </c>
      <c r="I64" s="28">
        <f>E64-G64</f>
        <v>1.8499999999999996</v>
      </c>
    </row>
    <row r="65" spans="1:12" x14ac:dyDescent="0.3">
      <c r="B65" t="s">
        <v>346</v>
      </c>
      <c r="C65" s="3">
        <f t="shared" si="5"/>
        <v>7</v>
      </c>
      <c r="D65" s="3">
        <f t="shared" si="5"/>
        <v>1750</v>
      </c>
      <c r="E65" s="28">
        <f>C65*D65/12000</f>
        <v>1.0208333333333333</v>
      </c>
      <c r="F65" s="2">
        <v>0.75</v>
      </c>
      <c r="G65" s="28">
        <f>E65*F65</f>
        <v>0.765625</v>
      </c>
      <c r="I65" s="28">
        <f>E65-G65</f>
        <v>0.25520833333333326</v>
      </c>
    </row>
    <row r="66" spans="1:12" x14ac:dyDescent="0.3">
      <c r="B66" t="s">
        <v>344</v>
      </c>
      <c r="C66" s="3">
        <f t="shared" si="5"/>
        <v>12</v>
      </c>
      <c r="D66" s="3">
        <f t="shared" si="5"/>
        <v>1400</v>
      </c>
      <c r="E66" s="28">
        <f>C66*D66/12000</f>
        <v>1.4</v>
      </c>
      <c r="F66" s="2">
        <v>0.75</v>
      </c>
      <c r="G66" s="28">
        <f>E66*F66</f>
        <v>1.0499999999999998</v>
      </c>
      <c r="I66" s="28">
        <f>E66-G66</f>
        <v>0.35000000000000009</v>
      </c>
    </row>
    <row r="67" spans="1:12" x14ac:dyDescent="0.3">
      <c r="B67" t="s">
        <v>341</v>
      </c>
      <c r="C67" s="3">
        <f t="shared" si="5"/>
        <v>6</v>
      </c>
      <c r="D67" s="3">
        <f t="shared" si="5"/>
        <v>150</v>
      </c>
      <c r="E67" s="28">
        <f>C67*D67/12000</f>
        <v>7.4999999999999997E-2</v>
      </c>
      <c r="F67" s="2">
        <v>0.75</v>
      </c>
      <c r="G67" s="28">
        <f>E67*F67</f>
        <v>5.6249999999999994E-2</v>
      </c>
      <c r="I67" s="28">
        <f>E67-G67</f>
        <v>1.8750000000000003E-2</v>
      </c>
    </row>
    <row r="68" spans="1:12" x14ac:dyDescent="0.3">
      <c r="B68" t="s">
        <v>339</v>
      </c>
      <c r="C68" s="3">
        <f t="shared" si="5"/>
        <v>15</v>
      </c>
      <c r="D68" s="3">
        <f t="shared" si="5"/>
        <v>1500</v>
      </c>
      <c r="E68" s="28">
        <f>C68*D68/12000</f>
        <v>1.875</v>
      </c>
      <c r="F68" s="2">
        <v>0.75</v>
      </c>
      <c r="G68" s="28">
        <f>E68*F68</f>
        <v>1.40625</v>
      </c>
      <c r="I68" s="28">
        <f>E68-G68</f>
        <v>0.46875</v>
      </c>
    </row>
    <row r="69" spans="1:12" x14ac:dyDescent="0.3">
      <c r="C69" s="3"/>
      <c r="D69" s="3"/>
    </row>
    <row r="70" spans="1:12" x14ac:dyDescent="0.3">
      <c r="B70" t="s">
        <v>53</v>
      </c>
      <c r="C70" s="3"/>
      <c r="D70" s="3"/>
      <c r="E70" s="28">
        <f>SUM(E45:E68)</f>
        <v>55.850416666666675</v>
      </c>
      <c r="G70" s="28">
        <f>SUM(G45:G68)</f>
        <v>20.472083333333334</v>
      </c>
      <c r="I70" s="28">
        <f>SUM(I45:I68)</f>
        <v>35.378333333333337</v>
      </c>
    </row>
    <row r="71" spans="1:12" x14ac:dyDescent="0.3">
      <c r="C71" s="3"/>
      <c r="D71" s="3"/>
      <c r="E71" s="28"/>
      <c r="G71" s="28"/>
      <c r="I71" s="28"/>
    </row>
    <row r="72" spans="1:12" x14ac:dyDescent="0.3">
      <c r="C72" s="3"/>
      <c r="D72" s="3"/>
      <c r="E72" s="28"/>
      <c r="H72" s="28" t="s">
        <v>233</v>
      </c>
      <c r="I72" s="28">
        <f>(1+M13)*(1+M14)</f>
        <v>1.1025</v>
      </c>
      <c r="L72" t="s">
        <v>416</v>
      </c>
    </row>
    <row r="73" spans="1:12" x14ac:dyDescent="0.3">
      <c r="C73" s="3"/>
      <c r="D73" s="3"/>
      <c r="E73" s="28"/>
      <c r="G73" s="28"/>
      <c r="H73" s="13" t="s">
        <v>403</v>
      </c>
      <c r="I73" s="28">
        <f>P25/P24</f>
        <v>0.98</v>
      </c>
      <c r="L73" t="s">
        <v>415</v>
      </c>
    </row>
    <row r="74" spans="1:12" x14ac:dyDescent="0.3">
      <c r="C74" s="3"/>
      <c r="D74" s="3"/>
      <c r="E74" s="28"/>
      <c r="G74" s="28"/>
      <c r="H74" s="13" t="s">
        <v>402</v>
      </c>
      <c r="I74" s="28">
        <f>J22/J23</f>
        <v>1.1224489795918369</v>
      </c>
      <c r="L74" t="s">
        <v>414</v>
      </c>
    </row>
    <row r="75" spans="1:12" ht="15" thickBot="1" x14ac:dyDescent="0.35">
      <c r="C75" s="3"/>
      <c r="D75" s="3"/>
      <c r="E75" s="28"/>
      <c r="G75" s="28"/>
      <c r="H75" s="13"/>
      <c r="I75" s="28"/>
    </row>
    <row r="76" spans="1:12" ht="15" thickBot="1" x14ac:dyDescent="0.35">
      <c r="C76" s="3"/>
      <c r="D76" s="3"/>
      <c r="E76" s="28"/>
      <c r="G76" s="28"/>
      <c r="H76" s="13" t="s">
        <v>401</v>
      </c>
      <c r="I76" s="37">
        <f>I70*PRODUCT(I72:I74)</f>
        <v>42.905073750000007</v>
      </c>
    </row>
    <row r="77" spans="1:12" x14ac:dyDescent="0.3">
      <c r="C77" s="3"/>
      <c r="D77" s="3"/>
    </row>
    <row r="78" spans="1:12" x14ac:dyDescent="0.3">
      <c r="B78" t="s">
        <v>334</v>
      </c>
    </row>
    <row r="80" spans="1:12" x14ac:dyDescent="0.3">
      <c r="A80" t="s">
        <v>4</v>
      </c>
      <c r="B80" t="s">
        <v>333</v>
      </c>
    </row>
    <row r="81" spans="2:12" x14ac:dyDescent="0.3">
      <c r="L81" s="24" t="s">
        <v>75</v>
      </c>
    </row>
    <row r="82" spans="2:12" x14ac:dyDescent="0.3">
      <c r="B82" t="s">
        <v>138</v>
      </c>
      <c r="C82" t="s">
        <v>294</v>
      </c>
      <c r="D82" t="s">
        <v>293</v>
      </c>
      <c r="E82" t="s">
        <v>292</v>
      </c>
      <c r="F82" t="s">
        <v>53</v>
      </c>
    </row>
    <row r="83" spans="2:12" x14ac:dyDescent="0.3">
      <c r="B83" t="s">
        <v>65</v>
      </c>
      <c r="C83" s="3">
        <f>G12</f>
        <v>3500</v>
      </c>
      <c r="D83" s="3">
        <f>G13</f>
        <v>650</v>
      </c>
      <c r="E83" s="3">
        <f>G14</f>
        <v>120</v>
      </c>
    </row>
    <row r="84" spans="2:12" x14ac:dyDescent="0.3">
      <c r="B84" t="s">
        <v>329</v>
      </c>
      <c r="C84" s="3">
        <f>H12</f>
        <v>72</v>
      </c>
      <c r="D84" s="3">
        <f>H13</f>
        <v>325</v>
      </c>
      <c r="E84" s="3">
        <f>H14</f>
        <v>1150</v>
      </c>
    </row>
    <row r="85" spans="2:12" x14ac:dyDescent="0.3">
      <c r="B85" t="s">
        <v>57</v>
      </c>
      <c r="C85" s="28">
        <f>C83*C84/12000</f>
        <v>21</v>
      </c>
      <c r="D85" s="28">
        <f>D83*D84/12000</f>
        <v>17.604166666666668</v>
      </c>
      <c r="E85" s="28">
        <f>E83*E84/12000</f>
        <v>11.5</v>
      </c>
      <c r="F85" s="28">
        <f>SUM(C85:E85)</f>
        <v>50.104166666666671</v>
      </c>
    </row>
    <row r="87" spans="2:12" x14ac:dyDescent="0.3">
      <c r="B87" t="s">
        <v>233</v>
      </c>
      <c r="C87" s="28">
        <f>(1+M12)*(1+M13)*(1+M14)</f>
        <v>1.1466000000000001</v>
      </c>
      <c r="D87" s="28">
        <f t="shared" ref="D87:E91" si="6">C87</f>
        <v>1.1466000000000001</v>
      </c>
      <c r="E87" s="28">
        <f t="shared" si="6"/>
        <v>1.1466000000000001</v>
      </c>
      <c r="L87" t="s">
        <v>413</v>
      </c>
    </row>
    <row r="88" spans="2:12" x14ac:dyDescent="0.3">
      <c r="B88" t="s">
        <v>288</v>
      </c>
      <c r="C88" s="28">
        <f>G22*0.75+G23*0.25</f>
        <v>1.0575000000000001</v>
      </c>
      <c r="D88" s="28">
        <f t="shared" si="6"/>
        <v>1.0575000000000001</v>
      </c>
      <c r="E88" s="28">
        <f t="shared" si="6"/>
        <v>1.0575000000000001</v>
      </c>
      <c r="L88" t="s">
        <v>412</v>
      </c>
    </row>
    <row r="89" spans="2:12" x14ac:dyDescent="0.3">
      <c r="B89" t="s">
        <v>371</v>
      </c>
      <c r="C89" s="28">
        <f>$J$22</f>
        <v>1.1000000000000001</v>
      </c>
      <c r="D89" s="28">
        <f t="shared" si="6"/>
        <v>1.1000000000000001</v>
      </c>
      <c r="E89" s="28">
        <f t="shared" si="6"/>
        <v>1.1000000000000001</v>
      </c>
      <c r="L89" t="s">
        <v>411</v>
      </c>
    </row>
    <row r="90" spans="2:12" x14ac:dyDescent="0.3">
      <c r="B90" t="s">
        <v>370</v>
      </c>
      <c r="C90">
        <f>$M$24</f>
        <v>0.9</v>
      </c>
      <c r="D90">
        <f t="shared" si="6"/>
        <v>0.9</v>
      </c>
      <c r="E90">
        <f t="shared" si="6"/>
        <v>0.9</v>
      </c>
      <c r="L90" t="s">
        <v>410</v>
      </c>
    </row>
    <row r="91" spans="2:12" x14ac:dyDescent="0.3">
      <c r="B91" t="s">
        <v>289</v>
      </c>
      <c r="C91">
        <f>$P$25</f>
        <v>0.98</v>
      </c>
      <c r="D91" s="28">
        <f t="shared" si="6"/>
        <v>0.98</v>
      </c>
      <c r="E91" s="28">
        <f t="shared" si="6"/>
        <v>0.98</v>
      </c>
      <c r="L91" t="s">
        <v>409</v>
      </c>
    </row>
    <row r="93" spans="2:12" x14ac:dyDescent="0.3">
      <c r="B93" s="46" t="s">
        <v>322</v>
      </c>
      <c r="C93" s="28">
        <f>C85*PRODUCT(C87:C91)</f>
        <v>24.704318538900004</v>
      </c>
      <c r="D93" s="28">
        <f>D85*PRODUCT(D87:D91)</f>
        <v>20.709473378343755</v>
      </c>
      <c r="E93" s="28">
        <f>E85*PRODUCT(E87:E91)</f>
        <v>13.528555390350002</v>
      </c>
      <c r="F93" s="28">
        <f>SUM(C93:E93)</f>
        <v>58.942347307593757</v>
      </c>
    </row>
    <row r="95" spans="2:12" x14ac:dyDescent="0.3">
      <c r="B95" t="s">
        <v>320</v>
      </c>
      <c r="C95" s="2">
        <v>0</v>
      </c>
      <c r="D95" s="2">
        <v>0.5</v>
      </c>
      <c r="E95" s="2">
        <v>0.75</v>
      </c>
    </row>
    <row r="96" spans="2:12" x14ac:dyDescent="0.3">
      <c r="B96" t="s">
        <v>318</v>
      </c>
      <c r="C96" s="28">
        <f>C93*C95</f>
        <v>0</v>
      </c>
      <c r="D96" s="28">
        <f>D93*D95</f>
        <v>10.354736689171878</v>
      </c>
      <c r="E96" s="28">
        <f>E93*E95</f>
        <v>10.146416542762502</v>
      </c>
      <c r="F96" s="28">
        <f>SUM(C96:E96)</f>
        <v>20.501153231934381</v>
      </c>
    </row>
    <row r="98" spans="1:12" x14ac:dyDescent="0.3">
      <c r="B98" t="s">
        <v>316</v>
      </c>
      <c r="C98" s="28">
        <f>C93-C96</f>
        <v>24.704318538900004</v>
      </c>
      <c r="D98" s="28">
        <f>D93-D96</f>
        <v>10.354736689171878</v>
      </c>
      <c r="E98" s="28">
        <f>E93-E96</f>
        <v>3.3821388475875001</v>
      </c>
      <c r="F98" s="28">
        <f>SUM(C98:E98)</f>
        <v>38.441194075659382</v>
      </c>
    </row>
    <row r="101" spans="1:12" x14ac:dyDescent="0.3">
      <c r="B101" t="s">
        <v>138</v>
      </c>
      <c r="C101" s="28">
        <f>F98</f>
        <v>38.441194075659382</v>
      </c>
      <c r="D101" s="2">
        <v>0.25</v>
      </c>
    </row>
    <row r="102" spans="1:12" x14ac:dyDescent="0.3">
      <c r="B102" t="s">
        <v>408</v>
      </c>
      <c r="C102" s="28">
        <f>I76</f>
        <v>42.905073750000007</v>
      </c>
      <c r="D102" s="2">
        <v>0.75</v>
      </c>
    </row>
    <row r="103" spans="1:12" ht="15" thickBot="1" x14ac:dyDescent="0.35"/>
    <row r="104" spans="1:12" ht="15" thickBot="1" x14ac:dyDescent="0.35">
      <c r="B104" t="s">
        <v>393</v>
      </c>
      <c r="C104" s="37">
        <f>SUMPRODUCT(C101:C102,D101:D102)</f>
        <v>41.789103831414849</v>
      </c>
      <c r="L104" t="s">
        <v>392</v>
      </c>
    </row>
    <row r="107" spans="1:12" x14ac:dyDescent="0.3">
      <c r="B107" t="s">
        <v>332</v>
      </c>
    </row>
    <row r="109" spans="1:12" x14ac:dyDescent="0.3">
      <c r="A109" t="s">
        <v>1</v>
      </c>
      <c r="B109" t="s">
        <v>331</v>
      </c>
    </row>
    <row r="111" spans="1:12" x14ac:dyDescent="0.3">
      <c r="C111" t="s">
        <v>294</v>
      </c>
      <c r="D111" t="s">
        <v>293</v>
      </c>
      <c r="E111" t="s">
        <v>292</v>
      </c>
      <c r="F111" t="s">
        <v>53</v>
      </c>
      <c r="L111" s="24" t="s">
        <v>75</v>
      </c>
    </row>
    <row r="112" spans="1:12" x14ac:dyDescent="0.3">
      <c r="B112" t="s">
        <v>407</v>
      </c>
    </row>
    <row r="113" spans="2:12" x14ac:dyDescent="0.3">
      <c r="B113" t="s">
        <v>57</v>
      </c>
      <c r="C113" s="28">
        <f>SUM(E46:E50)</f>
        <v>20.791666666666668</v>
      </c>
      <c r="D113" s="28">
        <f>SUM(E53:E61)</f>
        <v>23.287916666666664</v>
      </c>
      <c r="E113" s="28">
        <f>SUM(E64:E68)</f>
        <v>11.770833333333334</v>
      </c>
      <c r="L113" t="s">
        <v>406</v>
      </c>
    </row>
    <row r="114" spans="2:12" x14ac:dyDescent="0.3">
      <c r="B114" t="s">
        <v>397</v>
      </c>
      <c r="C114" s="28">
        <v>1</v>
      </c>
      <c r="D114" s="28">
        <f>H34/H35</f>
        <v>1.1170212765957448</v>
      </c>
      <c r="E114" s="28">
        <f>I35/I36</f>
        <v>1.0851063829787235</v>
      </c>
      <c r="L114" t="s">
        <v>405</v>
      </c>
    </row>
    <row r="115" spans="2:12" x14ac:dyDescent="0.3">
      <c r="B115" t="s">
        <v>395</v>
      </c>
      <c r="C115" s="28">
        <f>C113*C114</f>
        <v>20.791666666666668</v>
      </c>
      <c r="D115" s="28">
        <f>D113*D114</f>
        <v>26.01309840425532</v>
      </c>
      <c r="E115" s="28">
        <f>E113*E114</f>
        <v>12.772606382978726</v>
      </c>
      <c r="F115" s="28">
        <f>SUM(C115:E115)</f>
        <v>59.57737145390071</v>
      </c>
    </row>
    <row r="117" spans="2:12" x14ac:dyDescent="0.3">
      <c r="B117" t="s">
        <v>320</v>
      </c>
      <c r="C117" s="2">
        <v>0</v>
      </c>
      <c r="D117" s="2">
        <v>0.25</v>
      </c>
      <c r="E117" s="2">
        <v>0.5</v>
      </c>
    </row>
    <row r="118" spans="2:12" x14ac:dyDescent="0.3">
      <c r="B118" t="s">
        <v>318</v>
      </c>
      <c r="C118" s="28">
        <f>C115*C117</f>
        <v>0</v>
      </c>
      <c r="D118" s="28">
        <f>D115*D117</f>
        <v>6.50327460106383</v>
      </c>
      <c r="E118" s="28">
        <f>E115*E117</f>
        <v>6.3863031914893629</v>
      </c>
    </row>
    <row r="120" spans="2:12" x14ac:dyDescent="0.3">
      <c r="B120" t="s">
        <v>316</v>
      </c>
      <c r="C120" s="28">
        <f>C115-C118</f>
        <v>20.791666666666668</v>
      </c>
      <c r="D120" s="28">
        <f>D115-D118</f>
        <v>19.509823803191491</v>
      </c>
      <c r="E120" s="28">
        <f>E115-E118</f>
        <v>6.3863031914893629</v>
      </c>
      <c r="F120" s="28">
        <f>SUM(C120:E120)</f>
        <v>46.68779366134752</v>
      </c>
      <c r="L120" t="s">
        <v>394</v>
      </c>
    </row>
    <row r="122" spans="2:12" x14ac:dyDescent="0.3">
      <c r="B122" s="57" t="s">
        <v>233</v>
      </c>
      <c r="F122" s="28">
        <f>I72</f>
        <v>1.1025</v>
      </c>
      <c r="L122" t="s">
        <v>404</v>
      </c>
    </row>
    <row r="123" spans="2:12" x14ac:dyDescent="0.3">
      <c r="B123" s="56" t="s">
        <v>403</v>
      </c>
      <c r="F123" s="28">
        <f>I73</f>
        <v>0.98</v>
      </c>
    </row>
    <row r="124" spans="2:12" x14ac:dyDescent="0.3">
      <c r="B124" s="56" t="s">
        <v>402</v>
      </c>
      <c r="F124" s="28">
        <f>I74</f>
        <v>1.1224489795918369</v>
      </c>
    </row>
    <row r="125" spans="2:12" x14ac:dyDescent="0.3">
      <c r="B125" s="56"/>
    </row>
    <row r="126" spans="2:12" x14ac:dyDescent="0.3">
      <c r="B126" s="56" t="s">
        <v>401</v>
      </c>
      <c r="F126" s="28">
        <f>F120*PRODUCT(F122:F124)</f>
        <v>56.620621762799203</v>
      </c>
    </row>
    <row r="128" spans="2:12" x14ac:dyDescent="0.3">
      <c r="C128" t="s">
        <v>294</v>
      </c>
      <c r="D128" t="s">
        <v>293</v>
      </c>
      <c r="E128" t="s">
        <v>292</v>
      </c>
      <c r="F128" t="s">
        <v>53</v>
      </c>
    </row>
    <row r="129" spans="2:12" x14ac:dyDescent="0.3">
      <c r="B129" s="56" t="s">
        <v>400</v>
      </c>
      <c r="L129" t="s">
        <v>399</v>
      </c>
    </row>
    <row r="130" spans="2:12" x14ac:dyDescent="0.3">
      <c r="B130" t="s">
        <v>57</v>
      </c>
      <c r="C130" s="28">
        <f>C93</f>
        <v>24.704318538900004</v>
      </c>
      <c r="D130" s="28">
        <f>D93</f>
        <v>20.709473378343755</v>
      </c>
      <c r="E130" s="28">
        <f>E93</f>
        <v>13.528555390350002</v>
      </c>
      <c r="L130" t="s">
        <v>398</v>
      </c>
    </row>
    <row r="131" spans="2:12" x14ac:dyDescent="0.3">
      <c r="B131" t="s">
        <v>397</v>
      </c>
      <c r="C131" s="28">
        <f>C114</f>
        <v>1</v>
      </c>
      <c r="D131" s="28">
        <f>D114</f>
        <v>1.1170212765957448</v>
      </c>
      <c r="E131" s="28">
        <f>E114</f>
        <v>1.0851063829787235</v>
      </c>
      <c r="L131" t="s">
        <v>396</v>
      </c>
    </row>
    <row r="132" spans="2:12" x14ac:dyDescent="0.3">
      <c r="B132" t="s">
        <v>395</v>
      </c>
      <c r="C132" s="28">
        <f>C130*C131</f>
        <v>24.704318538900004</v>
      </c>
      <c r="D132" s="28">
        <f>D130*D131</f>
        <v>23.132922390703133</v>
      </c>
      <c r="E132" s="28">
        <f>E130*E131</f>
        <v>14.679921806550004</v>
      </c>
      <c r="F132" s="28">
        <f>SUM(C132:E132)</f>
        <v>62.517162736153146</v>
      </c>
    </row>
    <row r="134" spans="2:12" x14ac:dyDescent="0.3">
      <c r="B134" t="s">
        <v>320</v>
      </c>
      <c r="C134" s="2">
        <f>C117</f>
        <v>0</v>
      </c>
      <c r="D134" s="2">
        <f>D117</f>
        <v>0.25</v>
      </c>
      <c r="E134" s="2">
        <f>E117</f>
        <v>0.5</v>
      </c>
    </row>
    <row r="135" spans="2:12" x14ac:dyDescent="0.3">
      <c r="B135" t="s">
        <v>318</v>
      </c>
      <c r="C135" s="28">
        <f>C132*C134</f>
        <v>0</v>
      </c>
      <c r="D135" s="28">
        <f>D132*D134</f>
        <v>5.7832305976757832</v>
      </c>
      <c r="E135" s="28">
        <f>E132*E134</f>
        <v>7.3399609032750019</v>
      </c>
    </row>
    <row r="137" spans="2:12" x14ac:dyDescent="0.3">
      <c r="B137" t="s">
        <v>316</v>
      </c>
      <c r="C137" s="28">
        <f>C132-C135</f>
        <v>24.704318538900004</v>
      </c>
      <c r="D137" s="28">
        <f>D132-D135</f>
        <v>17.34969179302735</v>
      </c>
      <c r="E137" s="28">
        <f>E132-E135</f>
        <v>7.3399609032750019</v>
      </c>
      <c r="F137" s="28">
        <f>SUM(C137:E137)</f>
        <v>49.393971235202358</v>
      </c>
      <c r="L137" t="s">
        <v>394</v>
      </c>
    </row>
    <row r="139" spans="2:12" ht="15" thickBot="1" x14ac:dyDescent="0.35"/>
    <row r="140" spans="2:12" ht="15" thickBot="1" x14ac:dyDescent="0.35">
      <c r="B140" t="s">
        <v>393</v>
      </c>
      <c r="F140" s="37">
        <f>F126*75%+F137*25%</f>
        <v>54.813959130899988</v>
      </c>
      <c r="L140" t="s">
        <v>392</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33DF4-63A6-4468-BCA5-183329E759F9}">
  <sheetPr>
    <tabColor theme="5" tint="0.39997558519241921"/>
  </sheetPr>
  <dimension ref="A1:M45"/>
  <sheetViews>
    <sheetView zoomScaleNormal="100" workbookViewId="0"/>
  </sheetViews>
  <sheetFormatPr defaultRowHeight="14.4" x14ac:dyDescent="0.3"/>
  <cols>
    <col min="2" max="2" width="26" customWidth="1"/>
    <col min="3" max="4" width="12.6640625" customWidth="1"/>
    <col min="6" max="6" width="19.44140625" customWidth="1"/>
    <col min="7" max="7" width="12.6640625" customWidth="1"/>
    <col min="9" max="10" width="12.6640625" customWidth="1"/>
    <col min="12" max="13" width="12.6640625" customWidth="1"/>
    <col min="15" max="16" width="12.6640625" customWidth="1"/>
    <col min="18" max="19" width="12.6640625" customWidth="1"/>
  </cols>
  <sheetData>
    <row r="1" spans="1:13" x14ac:dyDescent="0.3">
      <c r="A1" s="89" t="s">
        <v>721</v>
      </c>
    </row>
    <row r="3" spans="1:13" x14ac:dyDescent="0.3">
      <c r="A3" s="11" t="s">
        <v>52</v>
      </c>
    </row>
    <row r="4" spans="1:13" x14ac:dyDescent="0.3">
      <c r="A4" t="s">
        <v>465</v>
      </c>
    </row>
    <row r="5" spans="1:13" x14ac:dyDescent="0.3">
      <c r="A5" s="11"/>
    </row>
    <row r="7" spans="1:13" x14ac:dyDescent="0.3">
      <c r="B7" s="10" t="s">
        <v>50</v>
      </c>
      <c r="C7" s="9"/>
      <c r="D7" s="8"/>
      <c r="F7" s="10" t="s">
        <v>49</v>
      </c>
      <c r="G7" s="8"/>
      <c r="I7" s="10" t="s">
        <v>48</v>
      </c>
      <c r="J7" s="8"/>
      <c r="L7" s="10" t="s">
        <v>93</v>
      </c>
      <c r="M7" s="8"/>
    </row>
    <row r="8" spans="1:13" x14ac:dyDescent="0.3">
      <c r="B8" s="7" t="s">
        <v>464</v>
      </c>
      <c r="C8" s="6"/>
      <c r="D8" s="5"/>
      <c r="F8" s="7" t="s">
        <v>463</v>
      </c>
      <c r="G8" s="5"/>
      <c r="I8" s="7" t="s">
        <v>462</v>
      </c>
      <c r="J8" s="5"/>
      <c r="L8" s="7" t="s">
        <v>461</v>
      </c>
      <c r="M8" s="5"/>
    </row>
    <row r="9" spans="1:13" x14ac:dyDescent="0.3">
      <c r="B9" s="47"/>
      <c r="C9" s="47"/>
      <c r="D9" s="47"/>
      <c r="E9" s="47"/>
    </row>
    <row r="11" spans="1:13" x14ac:dyDescent="0.3">
      <c r="B11" s="15" t="s">
        <v>444</v>
      </c>
      <c r="C11" s="15" t="s">
        <v>189</v>
      </c>
      <c r="D11" s="15" t="s">
        <v>179</v>
      </c>
      <c r="F11" t="s">
        <v>460</v>
      </c>
      <c r="G11" s="13" t="s">
        <v>201</v>
      </c>
      <c r="I11" t="s">
        <v>459</v>
      </c>
      <c r="J11" s="13" t="s">
        <v>201</v>
      </c>
      <c r="L11" t="s">
        <v>458</v>
      </c>
      <c r="M11" s="13" t="s">
        <v>201</v>
      </c>
    </row>
    <row r="12" spans="1:13" x14ac:dyDescent="0.3">
      <c r="B12" s="15">
        <v>20</v>
      </c>
      <c r="C12" s="15">
        <v>0.06</v>
      </c>
      <c r="D12" s="15">
        <v>0.04</v>
      </c>
      <c r="F12" t="s">
        <v>457</v>
      </c>
      <c r="G12" s="13">
        <v>1.03</v>
      </c>
      <c r="I12" t="s">
        <v>284</v>
      </c>
      <c r="J12" s="13">
        <v>0.98</v>
      </c>
      <c r="L12" t="s">
        <v>456</v>
      </c>
      <c r="M12" s="13">
        <v>1.2</v>
      </c>
    </row>
    <row r="13" spans="1:13" x14ac:dyDescent="0.3">
      <c r="B13" s="15">
        <v>25</v>
      </c>
      <c r="C13" s="15">
        <v>0.06</v>
      </c>
      <c r="D13" s="15">
        <v>0.05</v>
      </c>
      <c r="F13" t="s">
        <v>455</v>
      </c>
      <c r="G13" s="13">
        <v>1.1499999999999999</v>
      </c>
      <c r="I13" t="s">
        <v>275</v>
      </c>
      <c r="J13" s="13">
        <v>1.07</v>
      </c>
      <c r="L13" t="s">
        <v>454</v>
      </c>
      <c r="M13" s="13">
        <v>0.9</v>
      </c>
    </row>
    <row r="14" spans="1:13" x14ac:dyDescent="0.3">
      <c r="B14" s="15">
        <v>30</v>
      </c>
      <c r="C14" s="15">
        <v>0.06</v>
      </c>
      <c r="D14" s="15">
        <v>0.08</v>
      </c>
      <c r="F14" t="s">
        <v>277</v>
      </c>
      <c r="G14" s="13">
        <v>1.05</v>
      </c>
      <c r="I14" t="s">
        <v>279</v>
      </c>
      <c r="J14" s="13">
        <v>1.02</v>
      </c>
    </row>
    <row r="15" spans="1:13" x14ac:dyDescent="0.3">
      <c r="B15" s="15">
        <v>35</v>
      </c>
      <c r="C15" s="15">
        <v>0.12</v>
      </c>
      <c r="D15" s="15">
        <v>0.08</v>
      </c>
      <c r="F15" t="s">
        <v>453</v>
      </c>
      <c r="G15" s="13">
        <v>1.02</v>
      </c>
      <c r="I15" t="s">
        <v>271</v>
      </c>
      <c r="J15" s="13">
        <v>0.99</v>
      </c>
    </row>
    <row r="16" spans="1:13" x14ac:dyDescent="0.3">
      <c r="B16" s="15">
        <v>40</v>
      </c>
      <c r="C16" s="15">
        <v>0.16</v>
      </c>
      <c r="D16" s="15">
        <v>0.08</v>
      </c>
      <c r="F16" t="s">
        <v>363</v>
      </c>
      <c r="G16" s="13">
        <v>0.97</v>
      </c>
      <c r="I16" t="s">
        <v>452</v>
      </c>
      <c r="J16" s="13">
        <v>0.96</v>
      </c>
    </row>
    <row r="17" spans="2:12" x14ac:dyDescent="0.3">
      <c r="B17" s="15">
        <v>45</v>
      </c>
      <c r="C17" s="15">
        <v>0.22</v>
      </c>
      <c r="D17" s="15">
        <v>0.15</v>
      </c>
      <c r="F17" t="s">
        <v>451</v>
      </c>
      <c r="G17" s="13">
        <v>0.98</v>
      </c>
    </row>
    <row r="18" spans="2:12" x14ac:dyDescent="0.3">
      <c r="B18" s="15">
        <v>50</v>
      </c>
      <c r="C18" s="15">
        <v>0.34</v>
      </c>
      <c r="D18" s="15">
        <v>0.18</v>
      </c>
      <c r="F18" t="s">
        <v>450</v>
      </c>
      <c r="G18" s="13">
        <v>0.92</v>
      </c>
    </row>
    <row r="19" spans="2:12" x14ac:dyDescent="0.3">
      <c r="B19" s="15">
        <v>55</v>
      </c>
      <c r="C19" s="15">
        <v>0.64</v>
      </c>
      <c r="D19" s="15">
        <v>0.28999999999999998</v>
      </c>
    </row>
    <row r="20" spans="2:12" x14ac:dyDescent="0.3">
      <c r="B20" s="15">
        <v>60</v>
      </c>
      <c r="C20" s="15">
        <v>0.77</v>
      </c>
      <c r="D20" s="15">
        <v>0.45</v>
      </c>
    </row>
    <row r="21" spans="2:12" x14ac:dyDescent="0.3">
      <c r="B21" s="15">
        <v>65</v>
      </c>
      <c r="C21" s="15">
        <v>1.24</v>
      </c>
      <c r="D21" s="15">
        <v>0.78</v>
      </c>
    </row>
    <row r="23" spans="2:12" x14ac:dyDescent="0.3">
      <c r="B23" s="10" t="s">
        <v>211</v>
      </c>
      <c r="C23" s="8"/>
      <c r="F23" s="10" t="s">
        <v>302</v>
      </c>
      <c r="G23" s="8"/>
      <c r="I23" s="10" t="s">
        <v>301</v>
      </c>
      <c r="J23" s="9"/>
      <c r="K23" s="9"/>
      <c r="L23" s="8"/>
    </row>
    <row r="24" spans="2:12" x14ac:dyDescent="0.3">
      <c r="B24" s="7" t="s">
        <v>449</v>
      </c>
      <c r="C24" s="5"/>
      <c r="F24" s="7" t="s">
        <v>448</v>
      </c>
      <c r="G24" s="5"/>
      <c r="I24" s="7" t="s">
        <v>447</v>
      </c>
      <c r="J24" s="6"/>
      <c r="K24" s="6"/>
      <c r="L24" s="5"/>
    </row>
    <row r="26" spans="2:12" x14ac:dyDescent="0.3">
      <c r="B26" s="15" t="s">
        <v>419</v>
      </c>
    </row>
    <row r="27" spans="2:12" x14ac:dyDescent="0.3">
      <c r="B27" s="15" t="s">
        <v>370</v>
      </c>
      <c r="C27" s="60" t="s">
        <v>201</v>
      </c>
      <c r="F27" t="s">
        <v>446</v>
      </c>
      <c r="G27" s="60" t="s">
        <v>201</v>
      </c>
      <c r="I27" t="s">
        <v>419</v>
      </c>
      <c r="J27" s="15" t="s">
        <v>445</v>
      </c>
      <c r="K27" s="15" t="s">
        <v>444</v>
      </c>
      <c r="L27" s="15" t="s">
        <v>443</v>
      </c>
    </row>
    <row r="28" spans="2:12" x14ac:dyDescent="0.3">
      <c r="B28" s="48">
        <v>0</v>
      </c>
      <c r="C28" s="60">
        <v>0.96</v>
      </c>
      <c r="F28" t="s">
        <v>442</v>
      </c>
      <c r="G28" s="60">
        <v>0.97</v>
      </c>
      <c r="I28" t="s">
        <v>441</v>
      </c>
      <c r="J28" s="15" t="s">
        <v>427</v>
      </c>
      <c r="K28" s="15">
        <v>45</v>
      </c>
      <c r="L28" s="59">
        <v>107000</v>
      </c>
    </row>
    <row r="29" spans="2:12" x14ac:dyDescent="0.3">
      <c r="B29" s="48">
        <v>0.5</v>
      </c>
      <c r="C29" s="60">
        <v>1.04</v>
      </c>
      <c r="F29" t="s">
        <v>440</v>
      </c>
      <c r="G29" s="60">
        <v>0.98</v>
      </c>
      <c r="I29" t="s">
        <v>439</v>
      </c>
      <c r="J29" s="15" t="s">
        <v>427</v>
      </c>
      <c r="K29" s="15">
        <v>40</v>
      </c>
      <c r="L29" s="59">
        <v>92000</v>
      </c>
    </row>
    <row r="30" spans="2:12" x14ac:dyDescent="0.3">
      <c r="B30" s="48">
        <v>1</v>
      </c>
      <c r="C30" s="60">
        <v>1.3</v>
      </c>
      <c r="F30" t="s">
        <v>438</v>
      </c>
      <c r="G30" s="60">
        <v>0.99</v>
      </c>
      <c r="I30" t="s">
        <v>437</v>
      </c>
      <c r="J30" s="15" t="s">
        <v>434</v>
      </c>
      <c r="K30" s="15">
        <v>35</v>
      </c>
      <c r="L30" s="59">
        <v>80000</v>
      </c>
    </row>
    <row r="31" spans="2:12" x14ac:dyDescent="0.3">
      <c r="B31" s="15"/>
      <c r="F31" t="s">
        <v>436</v>
      </c>
      <c r="G31" s="60">
        <v>1</v>
      </c>
      <c r="I31" t="s">
        <v>435</v>
      </c>
      <c r="J31" s="15" t="s">
        <v>434</v>
      </c>
      <c r="K31" s="15">
        <v>47</v>
      </c>
      <c r="L31" s="59">
        <v>126000</v>
      </c>
    </row>
    <row r="32" spans="2:12" x14ac:dyDescent="0.3">
      <c r="F32" t="s">
        <v>433</v>
      </c>
      <c r="G32" s="60">
        <v>1.01</v>
      </c>
      <c r="I32" t="s">
        <v>432</v>
      </c>
      <c r="J32" s="15" t="s">
        <v>427</v>
      </c>
      <c r="K32" s="15">
        <v>35</v>
      </c>
      <c r="L32" s="59">
        <v>71000</v>
      </c>
    </row>
    <row r="33" spans="1:12" x14ac:dyDescent="0.3">
      <c r="F33" t="s">
        <v>431</v>
      </c>
      <c r="G33" s="60">
        <v>1.02</v>
      </c>
      <c r="I33" t="s">
        <v>430</v>
      </c>
      <c r="J33" s="15" t="s">
        <v>427</v>
      </c>
      <c r="K33" s="15">
        <v>22</v>
      </c>
      <c r="L33" s="59">
        <v>56000</v>
      </c>
    </row>
    <row r="34" spans="1:12" x14ac:dyDescent="0.3">
      <c r="F34" t="s">
        <v>429</v>
      </c>
      <c r="G34" s="60">
        <v>1.03</v>
      </c>
      <c r="I34" t="s">
        <v>428</v>
      </c>
      <c r="J34" s="15" t="s">
        <v>427</v>
      </c>
      <c r="K34" s="15">
        <v>30</v>
      </c>
      <c r="L34" s="59">
        <v>82000</v>
      </c>
    </row>
    <row r="36" spans="1:12" x14ac:dyDescent="0.3">
      <c r="B36" t="s">
        <v>426</v>
      </c>
    </row>
    <row r="37" spans="1:12" x14ac:dyDescent="0.3">
      <c r="B37" t="s">
        <v>425</v>
      </c>
    </row>
    <row r="38" spans="1:12" x14ac:dyDescent="0.3">
      <c r="B38" t="s">
        <v>424</v>
      </c>
    </row>
    <row r="40" spans="1:12" x14ac:dyDescent="0.3">
      <c r="A40" t="s">
        <v>6</v>
      </c>
      <c r="B40" t="s">
        <v>745</v>
      </c>
    </row>
    <row r="42" spans="1:12" x14ac:dyDescent="0.3">
      <c r="B42" t="s">
        <v>423</v>
      </c>
    </row>
    <row r="43" spans="1:12" x14ac:dyDescent="0.3">
      <c r="B43" t="s">
        <v>422</v>
      </c>
    </row>
    <row r="45" spans="1:12" x14ac:dyDescent="0.3">
      <c r="A45" t="s">
        <v>4</v>
      </c>
      <c r="B45" t="s">
        <v>421</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68B6F-D98D-45B9-BE53-EA0EAD8F4994}">
  <sheetPr>
    <tabColor theme="9" tint="0.59999389629810485"/>
  </sheetPr>
  <dimension ref="A1:M96"/>
  <sheetViews>
    <sheetView zoomScaleNormal="100" workbookViewId="0"/>
  </sheetViews>
  <sheetFormatPr defaultRowHeight="14.4" x14ac:dyDescent="0.3"/>
  <cols>
    <col min="2" max="2" width="26" customWidth="1"/>
    <col min="3" max="4" width="12.6640625" customWidth="1"/>
    <col min="5" max="5" width="12.33203125" bestFit="1" customWidth="1"/>
    <col min="6" max="6" width="19.44140625" customWidth="1"/>
    <col min="7" max="7" width="16" customWidth="1"/>
    <col min="9" max="10" width="12.6640625" customWidth="1"/>
    <col min="12" max="13" width="12.6640625" customWidth="1"/>
    <col min="15" max="16" width="12.6640625" customWidth="1"/>
    <col min="18" max="19" width="12.6640625" customWidth="1"/>
  </cols>
  <sheetData>
    <row r="1" spans="1:13" x14ac:dyDescent="0.3">
      <c r="A1" s="89" t="s">
        <v>721</v>
      </c>
    </row>
    <row r="3" spans="1:13" x14ac:dyDescent="0.3">
      <c r="A3" s="11" t="s">
        <v>52</v>
      </c>
    </row>
    <row r="4" spans="1:13" x14ac:dyDescent="0.3">
      <c r="A4" t="s">
        <v>465</v>
      </c>
    </row>
    <row r="5" spans="1:13" x14ac:dyDescent="0.3">
      <c r="A5" s="11"/>
    </row>
    <row r="7" spans="1:13" x14ac:dyDescent="0.3">
      <c r="B7" s="10" t="s">
        <v>50</v>
      </c>
      <c r="C7" s="9"/>
      <c r="D7" s="8"/>
      <c r="F7" s="10" t="s">
        <v>49</v>
      </c>
      <c r="G7" s="8"/>
      <c r="I7" s="10" t="s">
        <v>48</v>
      </c>
      <c r="J7" s="8"/>
      <c r="L7" s="10" t="s">
        <v>93</v>
      </c>
      <c r="M7" s="8"/>
    </row>
    <row r="8" spans="1:13" x14ac:dyDescent="0.3">
      <c r="B8" s="7" t="s">
        <v>464</v>
      </c>
      <c r="C8" s="6"/>
      <c r="D8" s="5"/>
      <c r="F8" s="7" t="s">
        <v>463</v>
      </c>
      <c r="G8" s="5"/>
      <c r="I8" s="7" t="s">
        <v>462</v>
      </c>
      <c r="J8" s="5"/>
      <c r="L8" s="7" t="s">
        <v>461</v>
      </c>
      <c r="M8" s="5"/>
    </row>
    <row r="9" spans="1:13" x14ac:dyDescent="0.3">
      <c r="B9" s="47"/>
      <c r="C9" s="47"/>
      <c r="D9" s="47"/>
      <c r="E9" s="47"/>
    </row>
    <row r="11" spans="1:13" x14ac:dyDescent="0.3">
      <c r="B11" s="15" t="s">
        <v>444</v>
      </c>
      <c r="C11" s="13" t="s">
        <v>189</v>
      </c>
      <c r="D11" s="13" t="s">
        <v>179</v>
      </c>
      <c r="F11" t="s">
        <v>460</v>
      </c>
      <c r="G11" s="13" t="s">
        <v>201</v>
      </c>
      <c r="I11" t="s">
        <v>459</v>
      </c>
      <c r="J11" s="13" t="s">
        <v>201</v>
      </c>
      <c r="L11" t="s">
        <v>458</v>
      </c>
      <c r="M11" s="13" t="s">
        <v>201</v>
      </c>
    </row>
    <row r="12" spans="1:13" x14ac:dyDescent="0.3">
      <c r="B12" s="15">
        <v>20</v>
      </c>
      <c r="C12" s="13">
        <v>0.06</v>
      </c>
      <c r="D12" s="13">
        <v>0.04</v>
      </c>
      <c r="F12" t="s">
        <v>457</v>
      </c>
      <c r="G12" s="13">
        <v>1.03</v>
      </c>
      <c r="I12" t="s">
        <v>284</v>
      </c>
      <c r="J12" s="13">
        <v>0.98</v>
      </c>
      <c r="L12" t="s">
        <v>456</v>
      </c>
      <c r="M12" s="13">
        <v>1.2</v>
      </c>
    </row>
    <row r="13" spans="1:13" x14ac:dyDescent="0.3">
      <c r="B13" s="15">
        <v>25</v>
      </c>
      <c r="C13" s="13">
        <v>0.06</v>
      </c>
      <c r="D13" s="13">
        <v>0.05</v>
      </c>
      <c r="F13" t="s">
        <v>455</v>
      </c>
      <c r="G13" s="13">
        <v>1.1499999999999999</v>
      </c>
      <c r="I13" t="s">
        <v>275</v>
      </c>
      <c r="J13" s="13">
        <v>1.07</v>
      </c>
      <c r="L13" t="s">
        <v>454</v>
      </c>
      <c r="M13" s="13">
        <v>0.9</v>
      </c>
    </row>
    <row r="14" spans="1:13" x14ac:dyDescent="0.3">
      <c r="B14" s="15">
        <v>30</v>
      </c>
      <c r="C14" s="13">
        <v>0.06</v>
      </c>
      <c r="D14" s="13">
        <v>0.08</v>
      </c>
      <c r="F14" t="s">
        <v>277</v>
      </c>
      <c r="G14" s="13">
        <v>1.05</v>
      </c>
      <c r="I14" t="s">
        <v>279</v>
      </c>
      <c r="J14" s="13">
        <v>1.02</v>
      </c>
    </row>
    <row r="15" spans="1:13" x14ac:dyDescent="0.3">
      <c r="B15" s="15">
        <v>35</v>
      </c>
      <c r="C15" s="13">
        <v>0.12</v>
      </c>
      <c r="D15" s="13">
        <v>0.08</v>
      </c>
      <c r="F15" t="s">
        <v>453</v>
      </c>
      <c r="G15" s="13">
        <v>1.02</v>
      </c>
      <c r="I15" t="s">
        <v>271</v>
      </c>
      <c r="J15" s="13">
        <v>0.99</v>
      </c>
    </row>
    <row r="16" spans="1:13" x14ac:dyDescent="0.3">
      <c r="B16" s="15">
        <v>40</v>
      </c>
      <c r="C16" s="13">
        <v>0.16</v>
      </c>
      <c r="D16" s="13">
        <v>0.08</v>
      </c>
      <c r="F16" t="s">
        <v>363</v>
      </c>
      <c r="G16" s="13">
        <v>0.97</v>
      </c>
      <c r="I16" t="s">
        <v>452</v>
      </c>
      <c r="J16" s="13">
        <v>0.96</v>
      </c>
    </row>
    <row r="17" spans="2:12" x14ac:dyDescent="0.3">
      <c r="B17" s="15">
        <v>45</v>
      </c>
      <c r="C17" s="13">
        <v>0.22</v>
      </c>
      <c r="D17" s="13">
        <v>0.15</v>
      </c>
      <c r="F17" t="s">
        <v>451</v>
      </c>
      <c r="G17" s="13">
        <v>0.98</v>
      </c>
    </row>
    <row r="18" spans="2:12" x14ac:dyDescent="0.3">
      <c r="B18" s="15">
        <v>50</v>
      </c>
      <c r="C18" s="13">
        <v>0.34</v>
      </c>
      <c r="D18" s="13">
        <v>0.18</v>
      </c>
      <c r="F18" t="s">
        <v>450</v>
      </c>
      <c r="G18" s="13">
        <v>0.92</v>
      </c>
    </row>
    <row r="19" spans="2:12" x14ac:dyDescent="0.3">
      <c r="B19" s="15">
        <v>55</v>
      </c>
      <c r="C19" s="13">
        <v>0.64</v>
      </c>
      <c r="D19" s="13">
        <v>0.28999999999999998</v>
      </c>
    </row>
    <row r="20" spans="2:12" x14ac:dyDescent="0.3">
      <c r="B20" s="15">
        <v>60</v>
      </c>
      <c r="C20" s="13">
        <v>0.77</v>
      </c>
      <c r="D20" s="13">
        <v>0.45</v>
      </c>
    </row>
    <row r="21" spans="2:12" x14ac:dyDescent="0.3">
      <c r="B21" s="15">
        <v>65</v>
      </c>
      <c r="C21" s="13">
        <v>1.24</v>
      </c>
      <c r="D21" s="13">
        <v>0.78</v>
      </c>
    </row>
    <row r="23" spans="2:12" x14ac:dyDescent="0.3">
      <c r="B23" s="10" t="s">
        <v>211</v>
      </c>
      <c r="C23" s="8"/>
      <c r="F23" s="10" t="s">
        <v>302</v>
      </c>
      <c r="G23" s="8"/>
      <c r="I23" s="10" t="s">
        <v>301</v>
      </c>
      <c r="J23" s="9"/>
      <c r="K23" s="9"/>
      <c r="L23" s="8"/>
    </row>
    <row r="24" spans="2:12" x14ac:dyDescent="0.3">
      <c r="B24" s="7" t="s">
        <v>449</v>
      </c>
      <c r="C24" s="5"/>
      <c r="F24" s="7" t="s">
        <v>448</v>
      </c>
      <c r="G24" s="5"/>
      <c r="I24" s="7" t="s">
        <v>447</v>
      </c>
      <c r="J24" s="6"/>
      <c r="K24" s="6"/>
      <c r="L24" s="5"/>
    </row>
    <row r="26" spans="2:12" x14ac:dyDescent="0.3">
      <c r="B26" s="15" t="s">
        <v>419</v>
      </c>
    </row>
    <row r="27" spans="2:12" x14ac:dyDescent="0.3">
      <c r="B27" s="15" t="s">
        <v>370</v>
      </c>
      <c r="C27" s="60" t="s">
        <v>201</v>
      </c>
      <c r="F27" t="s">
        <v>446</v>
      </c>
      <c r="G27" s="60" t="s">
        <v>201</v>
      </c>
      <c r="I27" t="s">
        <v>419</v>
      </c>
      <c r="J27" s="15" t="s">
        <v>445</v>
      </c>
      <c r="K27" s="15" t="s">
        <v>444</v>
      </c>
      <c r="L27" s="15" t="s">
        <v>443</v>
      </c>
    </row>
    <row r="28" spans="2:12" x14ac:dyDescent="0.3">
      <c r="B28" s="48">
        <v>0</v>
      </c>
      <c r="C28" s="60">
        <v>0.96</v>
      </c>
      <c r="F28" t="s">
        <v>442</v>
      </c>
      <c r="G28" s="60">
        <v>0.97</v>
      </c>
      <c r="I28" t="s">
        <v>441</v>
      </c>
      <c r="J28" s="15" t="s">
        <v>427</v>
      </c>
      <c r="K28" s="15">
        <v>45</v>
      </c>
      <c r="L28" s="59">
        <v>107000</v>
      </c>
    </row>
    <row r="29" spans="2:12" x14ac:dyDescent="0.3">
      <c r="B29" s="48">
        <v>0.5</v>
      </c>
      <c r="C29" s="60">
        <v>1.04</v>
      </c>
      <c r="F29" t="s">
        <v>440</v>
      </c>
      <c r="G29" s="60">
        <v>0.98</v>
      </c>
      <c r="I29" t="s">
        <v>439</v>
      </c>
      <c r="J29" s="15" t="s">
        <v>427</v>
      </c>
      <c r="K29" s="15">
        <v>40</v>
      </c>
      <c r="L29" s="59">
        <v>92000</v>
      </c>
    </row>
    <row r="30" spans="2:12" x14ac:dyDescent="0.3">
      <c r="B30" s="48">
        <v>1</v>
      </c>
      <c r="C30" s="60">
        <v>1.3</v>
      </c>
      <c r="F30" t="s">
        <v>438</v>
      </c>
      <c r="G30" s="60">
        <v>0.99</v>
      </c>
      <c r="I30" t="s">
        <v>437</v>
      </c>
      <c r="J30" s="15" t="s">
        <v>434</v>
      </c>
      <c r="K30" s="15">
        <v>35</v>
      </c>
      <c r="L30" s="59">
        <v>80000</v>
      </c>
    </row>
    <row r="31" spans="2:12" x14ac:dyDescent="0.3">
      <c r="F31" t="s">
        <v>436</v>
      </c>
      <c r="G31" s="60">
        <v>1</v>
      </c>
      <c r="I31" t="s">
        <v>435</v>
      </c>
      <c r="J31" s="15" t="s">
        <v>434</v>
      </c>
      <c r="K31" s="15">
        <v>47</v>
      </c>
      <c r="L31" s="59">
        <v>126000</v>
      </c>
    </row>
    <row r="32" spans="2:12" x14ac:dyDescent="0.3">
      <c r="F32" t="s">
        <v>433</v>
      </c>
      <c r="G32" s="60">
        <v>1.01</v>
      </c>
      <c r="I32" t="s">
        <v>432</v>
      </c>
      <c r="J32" s="15" t="s">
        <v>427</v>
      </c>
      <c r="K32" s="15">
        <v>35</v>
      </c>
      <c r="L32" s="59">
        <v>71000</v>
      </c>
    </row>
    <row r="33" spans="1:12" x14ac:dyDescent="0.3">
      <c r="F33" t="s">
        <v>431</v>
      </c>
      <c r="G33" s="60">
        <v>1.02</v>
      </c>
      <c r="I33" t="s">
        <v>430</v>
      </c>
      <c r="J33" s="15" t="s">
        <v>427</v>
      </c>
      <c r="K33" s="15">
        <v>22</v>
      </c>
      <c r="L33" s="59">
        <v>56000</v>
      </c>
    </row>
    <row r="34" spans="1:12" x14ac:dyDescent="0.3">
      <c r="F34" t="s">
        <v>429</v>
      </c>
      <c r="G34" s="60">
        <v>1.03</v>
      </c>
      <c r="I34" t="s">
        <v>428</v>
      </c>
      <c r="J34" s="15" t="s">
        <v>427</v>
      </c>
      <c r="K34" s="15">
        <v>30</v>
      </c>
      <c r="L34" s="59">
        <v>82000</v>
      </c>
    </row>
    <row r="36" spans="1:12" x14ac:dyDescent="0.3">
      <c r="B36" t="s">
        <v>426</v>
      </c>
    </row>
    <row r="37" spans="1:12" x14ac:dyDescent="0.3">
      <c r="B37" t="s">
        <v>425</v>
      </c>
    </row>
    <row r="38" spans="1:12" x14ac:dyDescent="0.3">
      <c r="B38" t="s">
        <v>424</v>
      </c>
    </row>
    <row r="40" spans="1:12" x14ac:dyDescent="0.3">
      <c r="A40" t="s">
        <v>6</v>
      </c>
      <c r="B40" t="s">
        <v>745</v>
      </c>
    </row>
    <row r="42" spans="1:12" x14ac:dyDescent="0.3">
      <c r="E42" s="66" t="s">
        <v>485</v>
      </c>
      <c r="F42" s="50" t="s">
        <v>484</v>
      </c>
      <c r="J42" s="24" t="s">
        <v>75</v>
      </c>
    </row>
    <row r="43" spans="1:12" x14ac:dyDescent="0.3">
      <c r="B43" s="15" t="s">
        <v>445</v>
      </c>
      <c r="C43" s="15" t="s">
        <v>444</v>
      </c>
      <c r="D43" s="15" t="s">
        <v>443</v>
      </c>
      <c r="E43" s="66" t="s">
        <v>482</v>
      </c>
      <c r="F43" s="50" t="s">
        <v>481</v>
      </c>
    </row>
    <row r="44" spans="1:12" x14ac:dyDescent="0.3">
      <c r="B44" s="15" t="str">
        <f t="shared" ref="B44:D50" si="0">J28</f>
        <v>M</v>
      </c>
      <c r="C44" s="15">
        <f t="shared" si="0"/>
        <v>45</v>
      </c>
      <c r="D44" s="59">
        <f t="shared" si="0"/>
        <v>107000</v>
      </c>
      <c r="E44" s="66">
        <f>C17</f>
        <v>0.22</v>
      </c>
      <c r="F44" s="50">
        <f t="shared" ref="F44:F50" si="1">D44*E44/1000</f>
        <v>23.54</v>
      </c>
      <c r="J44" t="s">
        <v>498</v>
      </c>
    </row>
    <row r="45" spans="1:12" x14ac:dyDescent="0.3">
      <c r="B45" s="15" t="str">
        <f t="shared" si="0"/>
        <v>M</v>
      </c>
      <c r="C45" s="15">
        <f t="shared" si="0"/>
        <v>40</v>
      </c>
      <c r="D45" s="59">
        <f t="shared" si="0"/>
        <v>92000</v>
      </c>
      <c r="E45" s="66">
        <f>C16</f>
        <v>0.16</v>
      </c>
      <c r="F45" s="50">
        <f t="shared" si="1"/>
        <v>14.72</v>
      </c>
    </row>
    <row r="46" spans="1:12" x14ac:dyDescent="0.3">
      <c r="B46" s="15" t="str">
        <f t="shared" si="0"/>
        <v>F</v>
      </c>
      <c r="C46" s="15">
        <f t="shared" si="0"/>
        <v>35</v>
      </c>
      <c r="D46" s="59">
        <f t="shared" si="0"/>
        <v>80000</v>
      </c>
      <c r="E46" s="66">
        <f>D15</f>
        <v>0.08</v>
      </c>
      <c r="F46" s="50">
        <f t="shared" si="1"/>
        <v>6.4</v>
      </c>
      <c r="J46" t="s">
        <v>497</v>
      </c>
    </row>
    <row r="47" spans="1:12" x14ac:dyDescent="0.3">
      <c r="B47" s="15" t="str">
        <f t="shared" si="0"/>
        <v>F</v>
      </c>
      <c r="C47" s="15">
        <f t="shared" si="0"/>
        <v>47</v>
      </c>
      <c r="D47" s="59">
        <f t="shared" si="0"/>
        <v>126000</v>
      </c>
      <c r="E47" s="66">
        <f>(B18-C47)/(B18-B17)*D17+(C47-B17)/(B18-B17)*D18</f>
        <v>0.16199999999999998</v>
      </c>
      <c r="F47" s="50">
        <f t="shared" si="1"/>
        <v>20.411999999999995</v>
      </c>
      <c r="J47" t="s">
        <v>496</v>
      </c>
    </row>
    <row r="48" spans="1:12" x14ac:dyDescent="0.3">
      <c r="B48" s="15" t="str">
        <f t="shared" si="0"/>
        <v>M</v>
      </c>
      <c r="C48" s="15">
        <f t="shared" si="0"/>
        <v>35</v>
      </c>
      <c r="D48" s="59">
        <f t="shared" si="0"/>
        <v>71000</v>
      </c>
      <c r="E48" s="66">
        <f>C15</f>
        <v>0.12</v>
      </c>
      <c r="F48" s="50">
        <f t="shared" si="1"/>
        <v>8.52</v>
      </c>
    </row>
    <row r="49" spans="2:10" x14ac:dyDescent="0.3">
      <c r="B49" s="15" t="str">
        <f t="shared" si="0"/>
        <v>M</v>
      </c>
      <c r="C49" s="15">
        <f t="shared" si="0"/>
        <v>22</v>
      </c>
      <c r="D49" s="59">
        <f t="shared" si="0"/>
        <v>56000</v>
      </c>
      <c r="E49" s="66">
        <f>(B13-C49)/(B13-B12)*C12+(C49-B12)/(B13-B12)*C13</f>
        <v>0.06</v>
      </c>
      <c r="F49" s="50">
        <f t="shared" si="1"/>
        <v>3.36</v>
      </c>
      <c r="J49" t="s">
        <v>495</v>
      </c>
    </row>
    <row r="50" spans="2:10" x14ac:dyDescent="0.3">
      <c r="B50" s="15" t="str">
        <f t="shared" si="0"/>
        <v>M</v>
      </c>
      <c r="C50" s="15">
        <f t="shared" si="0"/>
        <v>30</v>
      </c>
      <c r="D50" s="59">
        <f t="shared" si="0"/>
        <v>82000</v>
      </c>
      <c r="E50" s="66">
        <f>C14</f>
        <v>0.06</v>
      </c>
      <c r="F50" s="50">
        <f t="shared" si="1"/>
        <v>4.92</v>
      </c>
    </row>
    <row r="51" spans="2:10" x14ac:dyDescent="0.3">
      <c r="B51" s="15"/>
      <c r="C51" s="15"/>
      <c r="D51" s="59">
        <f>SUM(D44:D50)</f>
        <v>614000</v>
      </c>
      <c r="F51" s="50">
        <f>SUM(F44:F50)</f>
        <v>81.871999999999986</v>
      </c>
    </row>
    <row r="53" spans="2:10" x14ac:dyDescent="0.3">
      <c r="E53" s="13" t="s">
        <v>478</v>
      </c>
      <c r="F53" s="30">
        <f>F51/D51*1000</f>
        <v>0.1333420195439739</v>
      </c>
      <c r="J53" t="s">
        <v>494</v>
      </c>
    </row>
    <row r="55" spans="2:10" x14ac:dyDescent="0.3">
      <c r="E55" s="13" t="s">
        <v>463</v>
      </c>
      <c r="F55" s="14">
        <f>G14</f>
        <v>1.05</v>
      </c>
      <c r="J55" t="s">
        <v>493</v>
      </c>
    </row>
    <row r="56" spans="2:10" x14ac:dyDescent="0.3">
      <c r="E56" s="13" t="s">
        <v>462</v>
      </c>
      <c r="F56" s="14">
        <f>J13</f>
        <v>1.07</v>
      </c>
      <c r="J56" t="s">
        <v>492</v>
      </c>
    </row>
    <row r="57" spans="2:10" x14ac:dyDescent="0.3">
      <c r="E57" s="13" t="s">
        <v>461</v>
      </c>
      <c r="F57" s="14">
        <v>1</v>
      </c>
      <c r="J57" t="s">
        <v>491</v>
      </c>
    </row>
    <row r="58" spans="2:10" x14ac:dyDescent="0.3">
      <c r="E58" s="13" t="s">
        <v>476</v>
      </c>
      <c r="F58" s="14">
        <f>C28</f>
        <v>0.96</v>
      </c>
      <c r="J58" t="s">
        <v>490</v>
      </c>
    </row>
    <row r="59" spans="2:10" x14ac:dyDescent="0.3">
      <c r="E59" s="13" t="s">
        <v>474</v>
      </c>
      <c r="F59" s="14">
        <f>G28</f>
        <v>0.97</v>
      </c>
      <c r="J59" t="s">
        <v>489</v>
      </c>
    </row>
    <row r="60" spans="2:10" ht="15" thickBot="1" x14ac:dyDescent="0.35"/>
    <row r="61" spans="2:10" ht="15" thickBot="1" x14ac:dyDescent="0.35">
      <c r="E61" s="13" t="s">
        <v>488</v>
      </c>
      <c r="F61" s="61">
        <f>F53*PRODUCT(F55:F59)</f>
        <v>0.13950284754136805</v>
      </c>
      <c r="J61" t="s">
        <v>487</v>
      </c>
    </row>
    <row r="63" spans="2:10" x14ac:dyDescent="0.3">
      <c r="B63" t="s">
        <v>423</v>
      </c>
    </row>
    <row r="64" spans="2:10" x14ac:dyDescent="0.3">
      <c r="B64" t="s">
        <v>422</v>
      </c>
    </row>
    <row r="66" spans="1:10" x14ac:dyDescent="0.3">
      <c r="A66" t="s">
        <v>4</v>
      </c>
      <c r="B66" t="s">
        <v>421</v>
      </c>
    </row>
    <row r="68" spans="1:10" x14ac:dyDescent="0.3">
      <c r="E68" s="59" t="s">
        <v>486</v>
      </c>
      <c r="F68" s="67" t="s">
        <v>485</v>
      </c>
      <c r="G68" s="50" t="s">
        <v>484</v>
      </c>
      <c r="J68" s="24" t="s">
        <v>75</v>
      </c>
    </row>
    <row r="69" spans="1:10" x14ac:dyDescent="0.3">
      <c r="B69" s="15" t="s">
        <v>419</v>
      </c>
      <c r="C69" s="15" t="s">
        <v>445</v>
      </c>
      <c r="D69" s="15" t="s">
        <v>444</v>
      </c>
      <c r="E69" s="59" t="s">
        <v>483</v>
      </c>
      <c r="F69" s="67" t="s">
        <v>482</v>
      </c>
      <c r="G69" s="50" t="s">
        <v>481</v>
      </c>
    </row>
    <row r="70" spans="1:10" x14ac:dyDescent="0.3">
      <c r="B70" s="15" t="s">
        <v>441</v>
      </c>
      <c r="C70" s="15" t="s">
        <v>427</v>
      </c>
      <c r="D70" s="15">
        <f t="shared" ref="D70:D76" si="2">C44</f>
        <v>45</v>
      </c>
      <c r="E70" s="59">
        <f>D44*2</f>
        <v>214000</v>
      </c>
      <c r="F70" s="67">
        <f t="shared" ref="F70:F76" si="3">E44</f>
        <v>0.22</v>
      </c>
      <c r="G70" s="50">
        <f t="shared" ref="G70:G76" si="4">E70*F70/1000</f>
        <v>47.08</v>
      </c>
      <c r="J70" t="s">
        <v>480</v>
      </c>
    </row>
    <row r="71" spans="1:10" x14ac:dyDescent="0.3">
      <c r="B71" s="15" t="s">
        <v>439</v>
      </c>
      <c r="C71" s="15" t="s">
        <v>427</v>
      </c>
      <c r="D71" s="15">
        <f t="shared" si="2"/>
        <v>40</v>
      </c>
      <c r="E71" s="59"/>
      <c r="F71" s="67">
        <f t="shared" si="3"/>
        <v>0.16</v>
      </c>
      <c r="G71" s="50">
        <f t="shared" si="4"/>
        <v>0</v>
      </c>
    </row>
    <row r="72" spans="1:10" x14ac:dyDescent="0.3">
      <c r="B72" s="15" t="s">
        <v>437</v>
      </c>
      <c r="C72" s="15" t="s">
        <v>434</v>
      </c>
      <c r="D72" s="15">
        <f t="shared" si="2"/>
        <v>35</v>
      </c>
      <c r="E72" s="59"/>
      <c r="F72" s="67">
        <f t="shared" si="3"/>
        <v>0.08</v>
      </c>
      <c r="G72" s="50">
        <f t="shared" si="4"/>
        <v>0</v>
      </c>
      <c r="J72" t="s">
        <v>479</v>
      </c>
    </row>
    <row r="73" spans="1:10" x14ac:dyDescent="0.3">
      <c r="B73" s="15" t="s">
        <v>435</v>
      </c>
      <c r="C73" s="15" t="s">
        <v>434</v>
      </c>
      <c r="D73" s="15">
        <f t="shared" si="2"/>
        <v>47</v>
      </c>
      <c r="E73" s="59"/>
      <c r="F73" s="67">
        <f t="shared" si="3"/>
        <v>0.16199999999999998</v>
      </c>
      <c r="G73" s="50">
        <f t="shared" si="4"/>
        <v>0</v>
      </c>
    </row>
    <row r="74" spans="1:10" x14ac:dyDescent="0.3">
      <c r="B74" s="15" t="s">
        <v>432</v>
      </c>
      <c r="C74" s="15" t="s">
        <v>427</v>
      </c>
      <c r="D74" s="15">
        <f t="shared" si="2"/>
        <v>35</v>
      </c>
      <c r="E74" s="59">
        <f>D48*2</f>
        <v>142000</v>
      </c>
      <c r="F74" s="67">
        <f t="shared" si="3"/>
        <v>0.12</v>
      </c>
      <c r="G74" s="50">
        <f t="shared" si="4"/>
        <v>17.04</v>
      </c>
    </row>
    <row r="75" spans="1:10" x14ac:dyDescent="0.3">
      <c r="B75" s="15" t="s">
        <v>430</v>
      </c>
      <c r="C75" s="15" t="s">
        <v>427</v>
      </c>
      <c r="D75" s="15">
        <f t="shared" si="2"/>
        <v>22</v>
      </c>
      <c r="E75" s="59"/>
      <c r="F75" s="67">
        <f t="shared" si="3"/>
        <v>0.06</v>
      </c>
      <c r="G75" s="50">
        <f t="shared" si="4"/>
        <v>0</v>
      </c>
    </row>
    <row r="76" spans="1:10" x14ac:dyDescent="0.3">
      <c r="B76" s="15" t="s">
        <v>428</v>
      </c>
      <c r="C76" s="15" t="s">
        <v>427</v>
      </c>
      <c r="D76" s="15">
        <f t="shared" si="2"/>
        <v>30</v>
      </c>
      <c r="E76" s="59"/>
      <c r="F76" s="67">
        <f t="shared" si="3"/>
        <v>0.06</v>
      </c>
      <c r="G76" s="50">
        <f t="shared" si="4"/>
        <v>0</v>
      </c>
    </row>
    <row r="77" spans="1:10" x14ac:dyDescent="0.3">
      <c r="E77" s="59">
        <f>SUM(E70:E76)</f>
        <v>356000</v>
      </c>
      <c r="G77" s="50">
        <f>SUM(G70:G76)</f>
        <v>64.12</v>
      </c>
    </row>
    <row r="79" spans="1:10" x14ac:dyDescent="0.3">
      <c r="F79" s="13" t="s">
        <v>478</v>
      </c>
      <c r="G79" s="30">
        <f>G77/E77*1000</f>
        <v>0.18011235955056182</v>
      </c>
    </row>
    <row r="81" spans="6:10" x14ac:dyDescent="0.3">
      <c r="F81" s="13" t="s">
        <v>463</v>
      </c>
      <c r="G81" s="14">
        <f>F55</f>
        <v>1.05</v>
      </c>
      <c r="J81" t="s">
        <v>477</v>
      </c>
    </row>
    <row r="82" spans="6:10" x14ac:dyDescent="0.3">
      <c r="F82" s="13" t="s">
        <v>462</v>
      </c>
      <c r="G82" s="14">
        <f>F56</f>
        <v>1.07</v>
      </c>
    </row>
    <row r="83" spans="6:10" x14ac:dyDescent="0.3">
      <c r="F83" s="13" t="s">
        <v>461</v>
      </c>
      <c r="G83" s="14">
        <f>F57</f>
        <v>1</v>
      </c>
    </row>
    <row r="84" spans="6:10" x14ac:dyDescent="0.3">
      <c r="F84" s="13" t="s">
        <v>476</v>
      </c>
      <c r="G84" s="14">
        <f>C30</f>
        <v>1.3</v>
      </c>
      <c r="J84" t="s">
        <v>475</v>
      </c>
    </row>
    <row r="85" spans="6:10" x14ac:dyDescent="0.3">
      <c r="F85" s="13" t="s">
        <v>474</v>
      </c>
      <c r="G85" s="14">
        <f>F59</f>
        <v>0.97</v>
      </c>
    </row>
    <row r="86" spans="6:10" ht="15" thickBot="1" x14ac:dyDescent="0.35">
      <c r="F86" s="13"/>
    </row>
    <row r="87" spans="6:10" ht="15" thickBot="1" x14ac:dyDescent="0.35">
      <c r="F87" s="13" t="s">
        <v>473</v>
      </c>
      <c r="G87" s="61">
        <f>G79*PRODUCT(G81:G85)</f>
        <v>0.25517121353932587</v>
      </c>
      <c r="J87" t="s">
        <v>472</v>
      </c>
    </row>
    <row r="90" spans="6:10" x14ac:dyDescent="0.3">
      <c r="F90" s="13" t="s">
        <v>471</v>
      </c>
      <c r="G90" s="39">
        <f>D51</f>
        <v>614000</v>
      </c>
      <c r="J90" t="s">
        <v>470</v>
      </c>
    </row>
    <row r="91" spans="6:10" x14ac:dyDescent="0.3">
      <c r="F91" s="13" t="s">
        <v>469</v>
      </c>
      <c r="G91" s="39">
        <f>E77</f>
        <v>356000</v>
      </c>
    </row>
    <row r="93" spans="6:10" x14ac:dyDescent="0.3">
      <c r="F93" s="13" t="s">
        <v>468</v>
      </c>
      <c r="G93" s="30">
        <f>F61</f>
        <v>0.13950284754136805</v>
      </c>
    </row>
    <row r="94" spans="6:10" x14ac:dyDescent="0.3">
      <c r="F94" s="13" t="s">
        <v>467</v>
      </c>
      <c r="G94" s="30">
        <f>G87</f>
        <v>0.25517121353932587</v>
      </c>
    </row>
    <row r="95" spans="6:10" ht="15" thickBot="1" x14ac:dyDescent="0.35"/>
    <row r="96" spans="6:10" ht="15" thickBot="1" x14ac:dyDescent="0.35">
      <c r="F96" s="13" t="s">
        <v>466</v>
      </c>
      <c r="G96" s="61">
        <f>(G90*G93+G91*G94)/(G90+G91)</f>
        <v>0.18195433032</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0EEF7-AE13-490A-A470-EE3DFAF184A8}">
  <sheetPr>
    <tabColor theme="5" tint="0.39997558519241921"/>
  </sheetPr>
  <dimension ref="A1:S58"/>
  <sheetViews>
    <sheetView zoomScaleNormal="100" workbookViewId="0"/>
  </sheetViews>
  <sheetFormatPr defaultRowHeight="14.4" x14ac:dyDescent="0.3"/>
  <cols>
    <col min="2" max="10" width="18" customWidth="1"/>
    <col min="11" max="11" width="12.6640625" customWidth="1"/>
    <col min="12" max="14" width="18" customWidth="1"/>
    <col min="15" max="16" width="12.6640625" customWidth="1"/>
    <col min="18" max="23" width="12.6640625" customWidth="1"/>
    <col min="25" max="26" width="12.6640625" customWidth="1"/>
  </cols>
  <sheetData>
    <row r="1" spans="1:12" x14ac:dyDescent="0.3">
      <c r="A1" s="89" t="s">
        <v>721</v>
      </c>
    </row>
    <row r="3" spans="1:12" x14ac:dyDescent="0.3">
      <c r="A3" s="11" t="s">
        <v>52</v>
      </c>
    </row>
    <row r="4" spans="1:12" x14ac:dyDescent="0.3">
      <c r="A4" t="s">
        <v>465</v>
      </c>
    </row>
    <row r="5" spans="1:12" x14ac:dyDescent="0.3">
      <c r="A5" s="11"/>
    </row>
    <row r="7" spans="1:12" x14ac:dyDescent="0.3">
      <c r="B7" s="10" t="s">
        <v>50</v>
      </c>
      <c r="C7" s="9"/>
      <c r="D7" s="9"/>
      <c r="E7" s="8"/>
      <c r="G7" s="10" t="s">
        <v>49</v>
      </c>
      <c r="H7" s="9"/>
      <c r="I7" s="8"/>
    </row>
    <row r="8" spans="1:12" x14ac:dyDescent="0.3">
      <c r="B8" s="7" t="s">
        <v>545</v>
      </c>
      <c r="C8" s="6"/>
      <c r="D8" s="6"/>
      <c r="E8" s="5"/>
      <c r="G8" s="7" t="s">
        <v>544</v>
      </c>
      <c r="H8" s="6"/>
      <c r="I8" s="5"/>
    </row>
    <row r="9" spans="1:12" x14ac:dyDescent="0.3">
      <c r="B9" s="47"/>
      <c r="C9" s="47"/>
      <c r="D9" s="47"/>
      <c r="E9" s="47"/>
      <c r="F9" s="47"/>
      <c r="G9" s="47"/>
      <c r="H9" s="47"/>
    </row>
    <row r="10" spans="1:12" x14ac:dyDescent="0.3">
      <c r="C10" s="15" t="s">
        <v>419</v>
      </c>
      <c r="D10" s="15" t="s">
        <v>543</v>
      </c>
      <c r="E10" s="15" t="s">
        <v>136</v>
      </c>
      <c r="G10" s="15"/>
      <c r="H10" s="15" t="s">
        <v>419</v>
      </c>
      <c r="I10" s="15" t="s">
        <v>543</v>
      </c>
    </row>
    <row r="11" spans="1:12" x14ac:dyDescent="0.3">
      <c r="B11" t="s">
        <v>251</v>
      </c>
      <c r="C11" s="15" t="s">
        <v>514</v>
      </c>
      <c r="D11" s="15" t="s">
        <v>541</v>
      </c>
      <c r="E11" s="68" t="s">
        <v>236</v>
      </c>
      <c r="G11" s="15" t="s">
        <v>251</v>
      </c>
      <c r="H11" s="15" t="s">
        <v>542</v>
      </c>
      <c r="I11" s="15" t="s">
        <v>541</v>
      </c>
    </row>
    <row r="12" spans="1:12" x14ac:dyDescent="0.3">
      <c r="B12" t="s">
        <v>540</v>
      </c>
      <c r="C12" s="29">
        <v>5770</v>
      </c>
      <c r="D12" s="59">
        <v>484680</v>
      </c>
      <c r="E12" s="59">
        <v>33905</v>
      </c>
      <c r="G12" s="15" t="s">
        <v>540</v>
      </c>
      <c r="H12" s="15">
        <v>502</v>
      </c>
      <c r="I12" s="59">
        <v>42168</v>
      </c>
      <c r="J12" s="3"/>
      <c r="K12" s="3"/>
      <c r="L12" s="3"/>
    </row>
    <row r="13" spans="1:12" x14ac:dyDescent="0.3">
      <c r="B13" t="s">
        <v>539</v>
      </c>
      <c r="C13" s="29">
        <v>4029</v>
      </c>
      <c r="D13" s="59">
        <v>342465</v>
      </c>
      <c r="E13" s="59">
        <v>22612</v>
      </c>
      <c r="G13" s="15" t="s">
        <v>539</v>
      </c>
      <c r="H13" s="15">
        <v>410</v>
      </c>
      <c r="I13" s="59">
        <v>34850</v>
      </c>
      <c r="J13" s="3"/>
      <c r="K13" s="3"/>
      <c r="L13" s="3"/>
    </row>
    <row r="14" spans="1:12" x14ac:dyDescent="0.3">
      <c r="B14" t="s">
        <v>538</v>
      </c>
      <c r="C14" s="29">
        <v>8410</v>
      </c>
      <c r="D14" s="59">
        <v>773720</v>
      </c>
      <c r="E14" s="59">
        <v>47785</v>
      </c>
      <c r="G14" s="15" t="s">
        <v>538</v>
      </c>
      <c r="H14" s="15">
        <v>800</v>
      </c>
      <c r="I14" s="59">
        <v>73600</v>
      </c>
      <c r="J14" s="3"/>
      <c r="K14" s="3"/>
      <c r="L14" s="3"/>
    </row>
    <row r="15" spans="1:12" x14ac:dyDescent="0.3">
      <c r="B15" t="s">
        <v>537</v>
      </c>
      <c r="C15" s="29">
        <v>8382</v>
      </c>
      <c r="D15" s="59">
        <v>720852</v>
      </c>
      <c r="E15" s="59">
        <v>87732</v>
      </c>
      <c r="G15" s="15" t="s">
        <v>537</v>
      </c>
      <c r="H15" s="15">
        <v>744</v>
      </c>
      <c r="I15" s="59">
        <v>63984</v>
      </c>
      <c r="J15" s="3"/>
      <c r="K15" s="3"/>
      <c r="L15" s="3"/>
    </row>
    <row r="16" spans="1:12" x14ac:dyDescent="0.3">
      <c r="B16" t="s">
        <v>536</v>
      </c>
      <c r="C16" s="29">
        <v>6341</v>
      </c>
      <c r="D16" s="59">
        <v>589713</v>
      </c>
      <c r="E16" s="59">
        <v>112487</v>
      </c>
      <c r="G16" s="15" t="s">
        <v>536</v>
      </c>
      <c r="H16" s="15">
        <v>590</v>
      </c>
      <c r="I16" s="59">
        <v>54870</v>
      </c>
      <c r="J16" s="3"/>
      <c r="K16" s="3"/>
      <c r="L16" s="3"/>
    </row>
    <row r="17" spans="2:12" x14ac:dyDescent="0.3">
      <c r="B17" t="s">
        <v>535</v>
      </c>
      <c r="C17" s="29">
        <v>5887</v>
      </c>
      <c r="D17" s="59">
        <v>547491</v>
      </c>
      <c r="E17" s="59">
        <v>112874</v>
      </c>
      <c r="G17" s="15" t="s">
        <v>535</v>
      </c>
      <c r="H17" s="15">
        <v>540</v>
      </c>
      <c r="I17" s="59">
        <v>50220</v>
      </c>
      <c r="J17" s="3"/>
      <c r="K17" s="3"/>
      <c r="L17" s="3"/>
    </row>
    <row r="18" spans="2:12" x14ac:dyDescent="0.3">
      <c r="B18" t="s">
        <v>534</v>
      </c>
      <c r="C18" s="29">
        <v>4369</v>
      </c>
      <c r="D18" s="59">
        <v>493697</v>
      </c>
      <c r="E18" s="59">
        <v>186998</v>
      </c>
      <c r="G18" s="15" t="s">
        <v>534</v>
      </c>
      <c r="H18" s="15">
        <v>370</v>
      </c>
      <c r="I18" s="59">
        <v>41810</v>
      </c>
      <c r="J18" s="3"/>
      <c r="K18" s="3"/>
      <c r="L18" s="3"/>
    </row>
    <row r="19" spans="2:12" x14ac:dyDescent="0.3">
      <c r="B19" t="s">
        <v>533</v>
      </c>
      <c r="C19" s="29">
        <v>2843</v>
      </c>
      <c r="D19" s="59">
        <v>295672</v>
      </c>
      <c r="E19" s="59">
        <v>202500</v>
      </c>
      <c r="G19" s="15" t="s">
        <v>533</v>
      </c>
      <c r="H19" s="15">
        <v>240</v>
      </c>
      <c r="I19" s="59">
        <v>24960</v>
      </c>
      <c r="J19" s="3"/>
      <c r="K19" s="3"/>
      <c r="L19" s="3"/>
    </row>
    <row r="20" spans="2:12" x14ac:dyDescent="0.3">
      <c r="B20" t="s">
        <v>532</v>
      </c>
      <c r="C20" s="29">
        <v>2228</v>
      </c>
      <c r="D20" s="59">
        <v>271816</v>
      </c>
      <c r="E20" s="59">
        <v>201197</v>
      </c>
      <c r="G20" s="15" t="s">
        <v>532</v>
      </c>
      <c r="H20" s="15">
        <v>200</v>
      </c>
      <c r="I20" s="59">
        <v>24400</v>
      </c>
      <c r="J20" s="3"/>
      <c r="K20" s="3"/>
      <c r="L20" s="3"/>
    </row>
    <row r="21" spans="2:12" x14ac:dyDescent="0.3">
      <c r="B21" t="s">
        <v>531</v>
      </c>
      <c r="C21" s="29">
        <v>888</v>
      </c>
      <c r="D21" s="59">
        <v>103008</v>
      </c>
      <c r="E21" s="59">
        <v>141008</v>
      </c>
      <c r="G21" s="15" t="s">
        <v>531</v>
      </c>
      <c r="H21" s="15">
        <v>80</v>
      </c>
      <c r="I21" s="59">
        <v>9280</v>
      </c>
      <c r="J21" s="3"/>
      <c r="K21" s="3"/>
      <c r="L21" s="3"/>
    </row>
    <row r="22" spans="2:12" x14ac:dyDescent="0.3">
      <c r="B22" t="s">
        <v>530</v>
      </c>
      <c r="C22" s="29">
        <v>4952</v>
      </c>
      <c r="D22" s="59">
        <v>391208</v>
      </c>
      <c r="E22" s="59">
        <v>16607</v>
      </c>
      <c r="G22" s="15" t="s">
        <v>530</v>
      </c>
      <c r="H22" s="15">
        <v>410</v>
      </c>
      <c r="I22" s="59">
        <v>32390</v>
      </c>
      <c r="J22" s="3"/>
      <c r="K22" s="3"/>
      <c r="L22" s="3"/>
    </row>
    <row r="23" spans="2:12" x14ac:dyDescent="0.3">
      <c r="B23" t="s">
        <v>529</v>
      </c>
      <c r="C23" s="29">
        <v>8122</v>
      </c>
      <c r="D23" s="59">
        <v>682248</v>
      </c>
      <c r="E23" s="59">
        <v>37611</v>
      </c>
      <c r="G23" s="15" t="s">
        <v>529</v>
      </c>
      <c r="H23" s="15">
        <v>706</v>
      </c>
      <c r="I23" s="59">
        <v>59304</v>
      </c>
      <c r="J23" s="3"/>
      <c r="K23" s="3"/>
      <c r="L23" s="3"/>
    </row>
    <row r="24" spans="2:12" x14ac:dyDescent="0.3">
      <c r="B24" t="s">
        <v>528</v>
      </c>
      <c r="C24" s="29">
        <v>11109</v>
      </c>
      <c r="D24" s="59">
        <v>966483</v>
      </c>
      <c r="E24" s="59">
        <v>81914</v>
      </c>
      <c r="G24" s="15" t="s">
        <v>528</v>
      </c>
      <c r="H24" s="15">
        <v>910</v>
      </c>
      <c r="I24" s="59">
        <v>79170</v>
      </c>
      <c r="J24" s="3"/>
      <c r="K24" s="3"/>
      <c r="L24" s="3"/>
    </row>
    <row r="25" spans="2:12" x14ac:dyDescent="0.3">
      <c r="B25" t="s">
        <v>527</v>
      </c>
      <c r="C25" s="29">
        <v>6001</v>
      </c>
      <c r="D25" s="59">
        <v>540090</v>
      </c>
      <c r="E25" s="59">
        <v>46198</v>
      </c>
      <c r="G25" s="15" t="s">
        <v>527</v>
      </c>
      <c r="H25" s="15">
        <v>556</v>
      </c>
      <c r="I25" s="59">
        <v>50040</v>
      </c>
      <c r="J25" s="3"/>
      <c r="K25" s="3"/>
      <c r="L25" s="3"/>
    </row>
    <row r="26" spans="2:12" x14ac:dyDescent="0.3">
      <c r="B26" t="s">
        <v>526</v>
      </c>
      <c r="C26" s="29">
        <v>8161</v>
      </c>
      <c r="D26" s="59">
        <v>718168</v>
      </c>
      <c r="E26" s="59">
        <v>62471</v>
      </c>
      <c r="G26" s="15" t="s">
        <v>526</v>
      </c>
      <c r="H26" s="15">
        <v>800</v>
      </c>
      <c r="I26" s="59">
        <v>70400</v>
      </c>
      <c r="J26" s="3"/>
      <c r="K26" s="3"/>
      <c r="L26" s="3"/>
    </row>
    <row r="27" spans="2:12" x14ac:dyDescent="0.3">
      <c r="B27" t="s">
        <v>525</v>
      </c>
      <c r="C27" s="29">
        <v>6103</v>
      </c>
      <c r="D27" s="59">
        <v>634712</v>
      </c>
      <c r="E27" s="59">
        <v>104641</v>
      </c>
      <c r="G27" s="15" t="s">
        <v>525</v>
      </c>
      <c r="H27" s="15">
        <v>520</v>
      </c>
      <c r="I27" s="59">
        <v>54080</v>
      </c>
      <c r="J27" s="3"/>
      <c r="K27" s="3"/>
      <c r="L27" s="3"/>
    </row>
    <row r="28" spans="2:12" x14ac:dyDescent="0.3">
      <c r="B28" t="s">
        <v>524</v>
      </c>
      <c r="C28" s="29">
        <v>3286</v>
      </c>
      <c r="D28" s="59">
        <v>358174</v>
      </c>
      <c r="E28" s="59">
        <v>64960</v>
      </c>
      <c r="G28" s="15" t="s">
        <v>524</v>
      </c>
      <c r="H28" s="15">
        <v>310</v>
      </c>
      <c r="I28" s="59">
        <v>33790</v>
      </c>
      <c r="J28" s="3"/>
      <c r="K28" s="3"/>
      <c r="L28" s="3"/>
    </row>
    <row r="29" spans="2:12" x14ac:dyDescent="0.3">
      <c r="B29" t="s">
        <v>523</v>
      </c>
      <c r="C29" s="29">
        <v>2138</v>
      </c>
      <c r="D29" s="59">
        <v>224490</v>
      </c>
      <c r="E29" s="59">
        <v>78307</v>
      </c>
      <c r="G29" s="15" t="s">
        <v>523</v>
      </c>
      <c r="H29" s="15">
        <v>180</v>
      </c>
      <c r="I29" s="59">
        <v>18900</v>
      </c>
      <c r="J29" s="3"/>
      <c r="K29" s="3"/>
      <c r="L29" s="3"/>
    </row>
    <row r="30" spans="2:12" x14ac:dyDescent="0.3">
      <c r="B30" t="s">
        <v>522</v>
      </c>
      <c r="C30" s="29">
        <v>593</v>
      </c>
      <c r="D30" s="59">
        <v>69974</v>
      </c>
      <c r="E30" s="59">
        <v>32910</v>
      </c>
      <c r="G30" s="15" t="s">
        <v>522</v>
      </c>
      <c r="H30" s="15">
        <v>60</v>
      </c>
      <c r="I30" s="59">
        <v>7080</v>
      </c>
      <c r="J30" s="3"/>
      <c r="K30" s="3"/>
      <c r="L30" s="3"/>
    </row>
    <row r="31" spans="2:12" x14ac:dyDescent="0.3">
      <c r="B31" t="s">
        <v>521</v>
      </c>
      <c r="C31" s="29">
        <v>304</v>
      </c>
      <c r="D31" s="59">
        <v>35264</v>
      </c>
      <c r="E31" s="59">
        <v>33962</v>
      </c>
      <c r="G31" s="15" t="s">
        <v>521</v>
      </c>
      <c r="H31" s="15">
        <v>20</v>
      </c>
      <c r="I31" s="59">
        <v>2320</v>
      </c>
      <c r="J31" s="3"/>
      <c r="K31" s="3"/>
      <c r="L31" s="3"/>
    </row>
    <row r="32" spans="2:12" x14ac:dyDescent="0.3">
      <c r="F32" s="3"/>
      <c r="G32" s="3"/>
      <c r="H32" s="3"/>
      <c r="I32" s="3"/>
      <c r="J32" s="3"/>
      <c r="K32" s="3"/>
      <c r="L32" s="3"/>
    </row>
    <row r="33" spans="2:19" x14ac:dyDescent="0.3">
      <c r="B33" s="10" t="s">
        <v>48</v>
      </c>
      <c r="C33" s="9"/>
      <c r="D33" s="8"/>
      <c r="E33" s="3"/>
      <c r="F33" s="10" t="s">
        <v>93</v>
      </c>
      <c r="G33" s="8"/>
      <c r="I33" s="10" t="s">
        <v>211</v>
      </c>
      <c r="J33" s="8"/>
      <c r="L33" s="10" t="s">
        <v>301</v>
      </c>
      <c r="M33" s="8"/>
      <c r="O33" s="10" t="s">
        <v>300</v>
      </c>
      <c r="P33" s="8"/>
      <c r="R33" s="10" t="s">
        <v>520</v>
      </c>
      <c r="S33" s="8"/>
    </row>
    <row r="34" spans="2:19" x14ac:dyDescent="0.3">
      <c r="B34" s="7" t="s">
        <v>464</v>
      </c>
      <c r="C34" s="6"/>
      <c r="D34" s="5"/>
      <c r="E34" s="3"/>
      <c r="F34" s="7" t="s">
        <v>463</v>
      </c>
      <c r="G34" s="5"/>
      <c r="I34" s="7" t="s">
        <v>462</v>
      </c>
      <c r="J34" s="5"/>
      <c r="L34" s="7" t="s">
        <v>449</v>
      </c>
      <c r="M34" s="5"/>
      <c r="O34" s="7" t="s">
        <v>519</v>
      </c>
      <c r="P34" s="5"/>
      <c r="R34" s="7" t="s">
        <v>518</v>
      </c>
      <c r="S34" s="5"/>
    </row>
    <row r="35" spans="2:19" x14ac:dyDescent="0.3">
      <c r="B35" s="47"/>
      <c r="C35" s="47"/>
      <c r="D35" s="47"/>
      <c r="E35" s="3"/>
    </row>
    <row r="36" spans="2:19" x14ac:dyDescent="0.3">
      <c r="E36" s="3"/>
      <c r="L36" s="15" t="s">
        <v>419</v>
      </c>
      <c r="M36" s="15"/>
      <c r="O36" s="15" t="s">
        <v>517</v>
      </c>
      <c r="P36" s="15"/>
      <c r="R36" s="15" t="s">
        <v>516</v>
      </c>
      <c r="S36" s="15"/>
    </row>
    <row r="37" spans="2:19" x14ac:dyDescent="0.3">
      <c r="B37" s="15" t="s">
        <v>444</v>
      </c>
      <c r="C37" s="15" t="s">
        <v>189</v>
      </c>
      <c r="D37" s="15" t="s">
        <v>179</v>
      </c>
      <c r="E37" s="3"/>
      <c r="F37" t="s">
        <v>460</v>
      </c>
      <c r="G37" s="13" t="s">
        <v>201</v>
      </c>
      <c r="I37" t="s">
        <v>459</v>
      </c>
      <c r="J37" s="13" t="s">
        <v>201</v>
      </c>
      <c r="L37" s="15" t="s">
        <v>370</v>
      </c>
      <c r="M37" s="15" t="s">
        <v>201</v>
      </c>
      <c r="O37" s="15" t="s">
        <v>515</v>
      </c>
      <c r="P37" s="15" t="s">
        <v>201</v>
      </c>
      <c r="R37" s="15" t="s">
        <v>514</v>
      </c>
      <c r="S37" s="15" t="s">
        <v>201</v>
      </c>
    </row>
    <row r="38" spans="2:19" x14ac:dyDescent="0.3">
      <c r="B38" s="15">
        <v>20</v>
      </c>
      <c r="C38" s="15">
        <v>0.06</v>
      </c>
      <c r="D38" s="15">
        <v>0.04</v>
      </c>
      <c r="E38" s="3"/>
      <c r="F38" t="s">
        <v>457</v>
      </c>
      <c r="G38" s="13">
        <v>1.03</v>
      </c>
      <c r="I38" t="s">
        <v>284</v>
      </c>
      <c r="J38" s="13">
        <v>0.98</v>
      </c>
      <c r="L38" s="48">
        <v>0</v>
      </c>
      <c r="M38" s="65">
        <v>0.96</v>
      </c>
      <c r="O38" s="48" t="s">
        <v>513</v>
      </c>
      <c r="P38" s="15">
        <v>1.42</v>
      </c>
      <c r="R38" s="69" t="s">
        <v>512</v>
      </c>
      <c r="S38" s="15">
        <v>1.1100000000000001</v>
      </c>
    </row>
    <row r="39" spans="2:19" x14ac:dyDescent="0.3">
      <c r="B39" s="15">
        <v>25</v>
      </c>
      <c r="C39" s="15">
        <v>0.06</v>
      </c>
      <c r="D39" s="15">
        <v>0.05</v>
      </c>
      <c r="E39" s="3"/>
      <c r="F39" t="s">
        <v>455</v>
      </c>
      <c r="G39" s="13">
        <v>1.1499999999999999</v>
      </c>
      <c r="I39" t="s">
        <v>275</v>
      </c>
      <c r="J39" s="13">
        <v>1.07</v>
      </c>
      <c r="L39" s="48">
        <v>0.5</v>
      </c>
      <c r="M39" s="65">
        <v>1.04</v>
      </c>
      <c r="O39" s="48" t="s">
        <v>511</v>
      </c>
      <c r="P39" s="15">
        <v>1.24</v>
      </c>
      <c r="R39" s="69" t="s">
        <v>510</v>
      </c>
      <c r="S39" s="15">
        <v>1.07</v>
      </c>
    </row>
    <row r="40" spans="2:19" x14ac:dyDescent="0.3">
      <c r="B40" s="15">
        <v>30</v>
      </c>
      <c r="C40" s="15">
        <v>0.06</v>
      </c>
      <c r="D40" s="15">
        <v>0.08</v>
      </c>
      <c r="E40" s="3"/>
      <c r="F40" t="s">
        <v>277</v>
      </c>
      <c r="G40" s="13">
        <v>1.05</v>
      </c>
      <c r="I40" t="s">
        <v>279</v>
      </c>
      <c r="J40" s="13">
        <v>1.02</v>
      </c>
      <c r="L40" s="48">
        <v>1</v>
      </c>
      <c r="M40" s="65">
        <v>1.3</v>
      </c>
      <c r="O40" s="15" t="s">
        <v>509</v>
      </c>
      <c r="P40" s="15">
        <v>1.07</v>
      </c>
      <c r="R40" s="69" t="s">
        <v>508</v>
      </c>
      <c r="S40" s="15">
        <v>1.03</v>
      </c>
    </row>
    <row r="41" spans="2:19" x14ac:dyDescent="0.3">
      <c r="B41" s="15">
        <v>35</v>
      </c>
      <c r="C41" s="15">
        <v>0.12</v>
      </c>
      <c r="D41" s="15">
        <v>0.08</v>
      </c>
      <c r="E41" s="3"/>
      <c r="F41" t="s">
        <v>453</v>
      </c>
      <c r="G41" s="13">
        <v>1.02</v>
      </c>
      <c r="I41" t="s">
        <v>271</v>
      </c>
      <c r="J41" s="13">
        <v>0.99</v>
      </c>
      <c r="O41" s="48" t="s">
        <v>507</v>
      </c>
      <c r="P41" s="52">
        <v>1</v>
      </c>
      <c r="R41" s="15" t="s">
        <v>506</v>
      </c>
      <c r="S41" s="15">
        <v>1.01</v>
      </c>
    </row>
    <row r="42" spans="2:19" x14ac:dyDescent="0.3">
      <c r="B42" s="15">
        <v>40</v>
      </c>
      <c r="C42" s="15">
        <v>0.16</v>
      </c>
      <c r="D42" s="15">
        <v>0.08</v>
      </c>
      <c r="E42" s="3"/>
      <c r="F42" t="s">
        <v>363</v>
      </c>
      <c r="G42" s="13">
        <v>0.97</v>
      </c>
      <c r="I42" t="s">
        <v>452</v>
      </c>
      <c r="J42" s="13">
        <v>0.96</v>
      </c>
      <c r="R42" s="15" t="s">
        <v>505</v>
      </c>
      <c r="S42" s="15">
        <v>0.99</v>
      </c>
    </row>
    <row r="43" spans="2:19" x14ac:dyDescent="0.3">
      <c r="B43" s="15">
        <v>45</v>
      </c>
      <c r="C43" s="15">
        <v>0.22</v>
      </c>
      <c r="D43" s="15">
        <v>0.15</v>
      </c>
      <c r="E43" s="3"/>
      <c r="F43" t="s">
        <v>451</v>
      </c>
      <c r="G43" s="13">
        <v>0.98</v>
      </c>
    </row>
    <row r="44" spans="2:19" x14ac:dyDescent="0.3">
      <c r="B44" s="15">
        <v>50</v>
      </c>
      <c r="C44" s="15">
        <v>0.34</v>
      </c>
      <c r="D44" s="15">
        <v>0.18</v>
      </c>
      <c r="E44" s="3"/>
      <c r="F44" t="s">
        <v>450</v>
      </c>
      <c r="G44" s="13">
        <v>0.92</v>
      </c>
    </row>
    <row r="45" spans="2:19" x14ac:dyDescent="0.3">
      <c r="B45" s="15">
        <v>55</v>
      </c>
      <c r="C45" s="15">
        <v>0.64</v>
      </c>
      <c r="D45" s="15">
        <v>0.28999999999999998</v>
      </c>
      <c r="E45" s="3"/>
      <c r="F45" s="3"/>
    </row>
    <row r="46" spans="2:19" x14ac:dyDescent="0.3">
      <c r="B46" s="15">
        <v>60</v>
      </c>
      <c r="C46" s="15">
        <v>0.77</v>
      </c>
      <c r="D46" s="15">
        <v>0.45</v>
      </c>
      <c r="E46" s="3"/>
      <c r="F46" s="3"/>
    </row>
    <row r="47" spans="2:19" x14ac:dyDescent="0.3">
      <c r="B47" s="15">
        <v>65</v>
      </c>
      <c r="C47" s="15">
        <v>1.24</v>
      </c>
      <c r="D47" s="15">
        <v>0.78</v>
      </c>
      <c r="E47" s="3"/>
      <c r="F47" s="3"/>
    </row>
    <row r="48" spans="2:19" x14ac:dyDescent="0.3">
      <c r="E48" s="3"/>
      <c r="F48" s="3"/>
    </row>
    <row r="49" spans="1:7" x14ac:dyDescent="0.3">
      <c r="E49" s="3"/>
      <c r="F49" s="3"/>
    </row>
    <row r="50" spans="1:7" x14ac:dyDescent="0.3">
      <c r="B50" t="s">
        <v>504</v>
      </c>
    </row>
    <row r="51" spans="1:7" x14ac:dyDescent="0.3">
      <c r="B51" t="s">
        <v>503</v>
      </c>
    </row>
    <row r="52" spans="1:7" x14ac:dyDescent="0.3">
      <c r="B52" t="s">
        <v>502</v>
      </c>
    </row>
    <row r="54" spans="1:7" x14ac:dyDescent="0.3">
      <c r="A54" t="s">
        <v>6</v>
      </c>
      <c r="B54" t="s">
        <v>501</v>
      </c>
    </row>
    <row r="55" spans="1:7" x14ac:dyDescent="0.3">
      <c r="C55" s="3"/>
      <c r="D55" s="3"/>
      <c r="G55" s="3"/>
    </row>
    <row r="56" spans="1:7" x14ac:dyDescent="0.3">
      <c r="B56" t="s">
        <v>500</v>
      </c>
    </row>
    <row r="58" spans="1:7" x14ac:dyDescent="0.3">
      <c r="A58" t="s">
        <v>4</v>
      </c>
      <c r="B58" t="s">
        <v>499</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E9687-421D-4EB7-AE4C-D07DC453A9AB}">
  <sheetPr>
    <tabColor theme="9" tint="0.59999389629810485"/>
  </sheetPr>
  <dimension ref="A1:S216"/>
  <sheetViews>
    <sheetView zoomScaleNormal="100" workbookViewId="0"/>
  </sheetViews>
  <sheetFormatPr defaultRowHeight="14.4" x14ac:dyDescent="0.3"/>
  <cols>
    <col min="2" max="10" width="18" customWidth="1"/>
    <col min="11" max="11" width="12.6640625" customWidth="1"/>
    <col min="12" max="14" width="18" customWidth="1"/>
    <col min="15" max="16" width="12.6640625" customWidth="1"/>
    <col min="18" max="23" width="12.6640625" customWidth="1"/>
    <col min="25" max="26" width="12.6640625" customWidth="1"/>
  </cols>
  <sheetData>
    <row r="1" spans="1:12" x14ac:dyDescent="0.3">
      <c r="A1" s="89" t="s">
        <v>721</v>
      </c>
    </row>
    <row r="3" spans="1:12" x14ac:dyDescent="0.3">
      <c r="A3" s="11" t="s">
        <v>52</v>
      </c>
    </row>
    <row r="4" spans="1:12" x14ac:dyDescent="0.3">
      <c r="A4" t="s">
        <v>465</v>
      </c>
    </row>
    <row r="5" spans="1:12" x14ac:dyDescent="0.3">
      <c r="A5" s="11"/>
    </row>
    <row r="7" spans="1:12" x14ac:dyDescent="0.3">
      <c r="B7" s="10" t="s">
        <v>50</v>
      </c>
      <c r="C7" s="9"/>
      <c r="D7" s="9"/>
      <c r="E7" s="8"/>
      <c r="G7" s="10" t="s">
        <v>49</v>
      </c>
      <c r="H7" s="9"/>
      <c r="I7" s="8"/>
    </row>
    <row r="8" spans="1:12" x14ac:dyDescent="0.3">
      <c r="B8" s="7" t="s">
        <v>545</v>
      </c>
      <c r="C8" s="6"/>
      <c r="D8" s="6"/>
      <c r="E8" s="5"/>
      <c r="G8" s="7" t="s">
        <v>544</v>
      </c>
      <c r="H8" s="6"/>
      <c r="I8" s="5"/>
    </row>
    <row r="9" spans="1:12" x14ac:dyDescent="0.3">
      <c r="B9" s="47"/>
      <c r="C9" s="47"/>
      <c r="D9" s="47"/>
      <c r="E9" s="47"/>
      <c r="F9" s="47"/>
      <c r="G9" s="47"/>
      <c r="H9" s="47"/>
    </row>
    <row r="10" spans="1:12" x14ac:dyDescent="0.3">
      <c r="C10" s="15" t="s">
        <v>419</v>
      </c>
      <c r="D10" s="15" t="s">
        <v>543</v>
      </c>
      <c r="E10" s="15" t="s">
        <v>136</v>
      </c>
      <c r="G10" s="15"/>
      <c r="H10" s="15" t="s">
        <v>419</v>
      </c>
      <c r="I10" s="15" t="s">
        <v>543</v>
      </c>
    </row>
    <row r="11" spans="1:12" x14ac:dyDescent="0.3">
      <c r="B11" t="s">
        <v>251</v>
      </c>
      <c r="C11" s="15" t="s">
        <v>514</v>
      </c>
      <c r="D11" s="15" t="s">
        <v>541</v>
      </c>
      <c r="E11" s="68" t="s">
        <v>236</v>
      </c>
      <c r="G11" s="15" t="s">
        <v>251</v>
      </c>
      <c r="H11" s="15" t="s">
        <v>542</v>
      </c>
      <c r="I11" s="15" t="s">
        <v>541</v>
      </c>
    </row>
    <row r="12" spans="1:12" x14ac:dyDescent="0.3">
      <c r="B12" t="s">
        <v>540</v>
      </c>
      <c r="C12" s="29">
        <v>5770</v>
      </c>
      <c r="D12" s="59">
        <v>484680</v>
      </c>
      <c r="E12" s="59">
        <v>33905</v>
      </c>
      <c r="G12" s="15" t="s">
        <v>540</v>
      </c>
      <c r="H12" s="15">
        <v>502</v>
      </c>
      <c r="I12" s="59">
        <v>42168</v>
      </c>
      <c r="J12" s="3"/>
      <c r="K12" s="3"/>
      <c r="L12" s="3"/>
    </row>
    <row r="13" spans="1:12" x14ac:dyDescent="0.3">
      <c r="B13" t="s">
        <v>539</v>
      </c>
      <c r="C13" s="29">
        <v>4029</v>
      </c>
      <c r="D13" s="59">
        <v>342465</v>
      </c>
      <c r="E13" s="59">
        <v>22612</v>
      </c>
      <c r="G13" s="15" t="s">
        <v>539</v>
      </c>
      <c r="H13" s="15">
        <v>410</v>
      </c>
      <c r="I13" s="59">
        <v>34850</v>
      </c>
      <c r="J13" s="3"/>
      <c r="K13" s="3"/>
      <c r="L13" s="3"/>
    </row>
    <row r="14" spans="1:12" x14ac:dyDescent="0.3">
      <c r="B14" t="s">
        <v>538</v>
      </c>
      <c r="C14" s="29">
        <v>8410</v>
      </c>
      <c r="D14" s="59">
        <v>773720</v>
      </c>
      <c r="E14" s="59">
        <v>47785</v>
      </c>
      <c r="G14" s="15" t="s">
        <v>538</v>
      </c>
      <c r="H14" s="15">
        <v>800</v>
      </c>
      <c r="I14" s="59">
        <v>73600</v>
      </c>
      <c r="J14" s="3"/>
      <c r="K14" s="3"/>
      <c r="L14" s="3"/>
    </row>
    <row r="15" spans="1:12" x14ac:dyDescent="0.3">
      <c r="B15" t="s">
        <v>537</v>
      </c>
      <c r="C15" s="29">
        <v>8382</v>
      </c>
      <c r="D15" s="59">
        <v>720852</v>
      </c>
      <c r="E15" s="59">
        <v>87732</v>
      </c>
      <c r="G15" s="15" t="s">
        <v>537</v>
      </c>
      <c r="H15" s="15">
        <v>744</v>
      </c>
      <c r="I15" s="59">
        <v>63984</v>
      </c>
      <c r="J15" s="3"/>
      <c r="K15" s="3"/>
      <c r="L15" s="3"/>
    </row>
    <row r="16" spans="1:12" x14ac:dyDescent="0.3">
      <c r="B16" t="s">
        <v>536</v>
      </c>
      <c r="C16" s="29">
        <v>6341</v>
      </c>
      <c r="D16" s="59">
        <v>589713</v>
      </c>
      <c r="E16" s="59">
        <v>112487</v>
      </c>
      <c r="G16" s="15" t="s">
        <v>536</v>
      </c>
      <c r="H16" s="15">
        <v>590</v>
      </c>
      <c r="I16" s="59">
        <v>54870</v>
      </c>
      <c r="J16" s="3"/>
      <c r="K16" s="3"/>
      <c r="L16" s="3"/>
    </row>
    <row r="17" spans="2:12" x14ac:dyDescent="0.3">
      <c r="B17" t="s">
        <v>535</v>
      </c>
      <c r="C17" s="29">
        <v>5887</v>
      </c>
      <c r="D17" s="59">
        <v>547491</v>
      </c>
      <c r="E17" s="59">
        <v>112874</v>
      </c>
      <c r="G17" s="15" t="s">
        <v>535</v>
      </c>
      <c r="H17" s="15">
        <v>540</v>
      </c>
      <c r="I17" s="59">
        <v>50220</v>
      </c>
      <c r="J17" s="3"/>
      <c r="K17" s="3"/>
      <c r="L17" s="3"/>
    </row>
    <row r="18" spans="2:12" x14ac:dyDescent="0.3">
      <c r="B18" t="s">
        <v>534</v>
      </c>
      <c r="C18" s="29">
        <v>4369</v>
      </c>
      <c r="D18" s="59">
        <v>493697</v>
      </c>
      <c r="E18" s="59">
        <v>186998</v>
      </c>
      <c r="G18" s="15" t="s">
        <v>534</v>
      </c>
      <c r="H18" s="15">
        <v>370</v>
      </c>
      <c r="I18" s="59">
        <v>41810</v>
      </c>
      <c r="J18" s="3"/>
      <c r="K18" s="3"/>
      <c r="L18" s="3"/>
    </row>
    <row r="19" spans="2:12" x14ac:dyDescent="0.3">
      <c r="B19" t="s">
        <v>533</v>
      </c>
      <c r="C19" s="29">
        <v>2843</v>
      </c>
      <c r="D19" s="59">
        <v>295672</v>
      </c>
      <c r="E19" s="59">
        <v>202500</v>
      </c>
      <c r="G19" s="15" t="s">
        <v>533</v>
      </c>
      <c r="H19" s="15">
        <v>240</v>
      </c>
      <c r="I19" s="59">
        <v>24960</v>
      </c>
      <c r="J19" s="3"/>
      <c r="K19" s="3"/>
      <c r="L19" s="3"/>
    </row>
    <row r="20" spans="2:12" x14ac:dyDescent="0.3">
      <c r="B20" t="s">
        <v>532</v>
      </c>
      <c r="C20" s="29">
        <v>2228</v>
      </c>
      <c r="D20" s="59">
        <v>271816</v>
      </c>
      <c r="E20" s="59">
        <v>201197</v>
      </c>
      <c r="G20" s="15" t="s">
        <v>532</v>
      </c>
      <c r="H20" s="15">
        <v>200</v>
      </c>
      <c r="I20" s="59">
        <v>24400</v>
      </c>
      <c r="J20" s="3"/>
      <c r="K20" s="3"/>
      <c r="L20" s="3"/>
    </row>
    <row r="21" spans="2:12" x14ac:dyDescent="0.3">
      <c r="B21" t="s">
        <v>531</v>
      </c>
      <c r="C21" s="29">
        <v>888</v>
      </c>
      <c r="D21" s="59">
        <v>103008</v>
      </c>
      <c r="E21" s="59">
        <v>141008</v>
      </c>
      <c r="G21" s="15" t="s">
        <v>531</v>
      </c>
      <c r="H21" s="15">
        <v>80</v>
      </c>
      <c r="I21" s="59">
        <v>9280</v>
      </c>
      <c r="J21" s="3"/>
      <c r="K21" s="3"/>
      <c r="L21" s="3"/>
    </row>
    <row r="22" spans="2:12" x14ac:dyDescent="0.3">
      <c r="B22" t="s">
        <v>530</v>
      </c>
      <c r="C22" s="29">
        <v>4952</v>
      </c>
      <c r="D22" s="59">
        <v>391208</v>
      </c>
      <c r="E22" s="59">
        <v>16607</v>
      </c>
      <c r="G22" s="15" t="s">
        <v>530</v>
      </c>
      <c r="H22" s="15">
        <v>410</v>
      </c>
      <c r="I22" s="59">
        <v>32390</v>
      </c>
      <c r="J22" s="3"/>
      <c r="K22" s="3"/>
      <c r="L22" s="3"/>
    </row>
    <row r="23" spans="2:12" x14ac:dyDescent="0.3">
      <c r="B23" t="s">
        <v>529</v>
      </c>
      <c r="C23" s="29">
        <v>8122</v>
      </c>
      <c r="D23" s="59">
        <v>682248</v>
      </c>
      <c r="E23" s="59">
        <v>37611</v>
      </c>
      <c r="G23" s="15" t="s">
        <v>529</v>
      </c>
      <c r="H23" s="15">
        <v>706</v>
      </c>
      <c r="I23" s="59">
        <v>59304</v>
      </c>
      <c r="J23" s="3"/>
      <c r="K23" s="3"/>
      <c r="L23" s="3"/>
    </row>
    <row r="24" spans="2:12" x14ac:dyDescent="0.3">
      <c r="B24" t="s">
        <v>528</v>
      </c>
      <c r="C24" s="29">
        <v>11109</v>
      </c>
      <c r="D24" s="59">
        <v>966483</v>
      </c>
      <c r="E24" s="59">
        <v>81914</v>
      </c>
      <c r="G24" s="15" t="s">
        <v>528</v>
      </c>
      <c r="H24" s="15">
        <v>910</v>
      </c>
      <c r="I24" s="59">
        <v>79170</v>
      </c>
      <c r="J24" s="3"/>
      <c r="K24" s="3"/>
      <c r="L24" s="3"/>
    </row>
    <row r="25" spans="2:12" x14ac:dyDescent="0.3">
      <c r="B25" t="s">
        <v>527</v>
      </c>
      <c r="C25" s="29">
        <v>6001</v>
      </c>
      <c r="D25" s="59">
        <v>540090</v>
      </c>
      <c r="E25" s="59">
        <v>46198</v>
      </c>
      <c r="G25" s="15" t="s">
        <v>527</v>
      </c>
      <c r="H25" s="15">
        <v>556</v>
      </c>
      <c r="I25" s="59">
        <v>50040</v>
      </c>
      <c r="J25" s="3"/>
      <c r="K25" s="3"/>
      <c r="L25" s="3"/>
    </row>
    <row r="26" spans="2:12" x14ac:dyDescent="0.3">
      <c r="B26" t="s">
        <v>526</v>
      </c>
      <c r="C26" s="29">
        <v>8161</v>
      </c>
      <c r="D26" s="59">
        <v>718168</v>
      </c>
      <c r="E26" s="59">
        <v>62471</v>
      </c>
      <c r="G26" s="15" t="s">
        <v>526</v>
      </c>
      <c r="H26" s="15">
        <v>800</v>
      </c>
      <c r="I26" s="59">
        <v>70400</v>
      </c>
      <c r="J26" s="3"/>
      <c r="K26" s="3"/>
      <c r="L26" s="3"/>
    </row>
    <row r="27" spans="2:12" x14ac:dyDescent="0.3">
      <c r="B27" t="s">
        <v>525</v>
      </c>
      <c r="C27" s="29">
        <v>6103</v>
      </c>
      <c r="D27" s="59">
        <v>634712</v>
      </c>
      <c r="E27" s="59">
        <v>104641</v>
      </c>
      <c r="G27" s="15" t="s">
        <v>525</v>
      </c>
      <c r="H27" s="15">
        <v>520</v>
      </c>
      <c r="I27" s="59">
        <v>54080</v>
      </c>
      <c r="J27" s="3"/>
      <c r="K27" s="3"/>
      <c r="L27" s="3"/>
    </row>
    <row r="28" spans="2:12" x14ac:dyDescent="0.3">
      <c r="B28" t="s">
        <v>524</v>
      </c>
      <c r="C28" s="29">
        <v>3286</v>
      </c>
      <c r="D28" s="59">
        <v>358174</v>
      </c>
      <c r="E28" s="59">
        <v>64960</v>
      </c>
      <c r="G28" s="15" t="s">
        <v>524</v>
      </c>
      <c r="H28" s="15">
        <v>310</v>
      </c>
      <c r="I28" s="59">
        <v>33790</v>
      </c>
      <c r="J28" s="3"/>
      <c r="K28" s="3"/>
      <c r="L28" s="3"/>
    </row>
    <row r="29" spans="2:12" x14ac:dyDescent="0.3">
      <c r="B29" t="s">
        <v>523</v>
      </c>
      <c r="C29" s="29">
        <v>2138</v>
      </c>
      <c r="D29" s="59">
        <v>224490</v>
      </c>
      <c r="E29" s="59">
        <v>78307</v>
      </c>
      <c r="G29" s="15" t="s">
        <v>523</v>
      </c>
      <c r="H29" s="15">
        <v>180</v>
      </c>
      <c r="I29" s="59">
        <v>18900</v>
      </c>
      <c r="J29" s="3"/>
      <c r="K29" s="3"/>
      <c r="L29" s="3"/>
    </row>
    <row r="30" spans="2:12" x14ac:dyDescent="0.3">
      <c r="B30" t="s">
        <v>522</v>
      </c>
      <c r="C30" s="29">
        <v>593</v>
      </c>
      <c r="D30" s="59">
        <v>69974</v>
      </c>
      <c r="E30" s="59">
        <v>32910</v>
      </c>
      <c r="G30" s="15" t="s">
        <v>522</v>
      </c>
      <c r="H30" s="15">
        <v>60</v>
      </c>
      <c r="I30" s="59">
        <v>7080</v>
      </c>
      <c r="J30" s="3"/>
      <c r="K30" s="3"/>
      <c r="L30" s="3"/>
    </row>
    <row r="31" spans="2:12" x14ac:dyDescent="0.3">
      <c r="B31" t="s">
        <v>521</v>
      </c>
      <c r="C31" s="29">
        <v>304</v>
      </c>
      <c r="D31" s="59">
        <v>35264</v>
      </c>
      <c r="E31" s="59">
        <v>33962</v>
      </c>
      <c r="G31" s="15" t="s">
        <v>521</v>
      </c>
      <c r="H31" s="15">
        <v>20</v>
      </c>
      <c r="I31" s="59">
        <v>2320</v>
      </c>
      <c r="J31" s="3"/>
      <c r="K31" s="3"/>
      <c r="L31" s="3"/>
    </row>
    <row r="32" spans="2:12" x14ac:dyDescent="0.3">
      <c r="F32" s="3"/>
      <c r="G32" s="3"/>
      <c r="H32" s="3"/>
      <c r="I32" s="3"/>
      <c r="J32" s="3"/>
      <c r="K32" s="3"/>
      <c r="L32" s="3"/>
    </row>
    <row r="33" spans="2:19" x14ac:dyDescent="0.3">
      <c r="B33" s="10" t="s">
        <v>48</v>
      </c>
      <c r="C33" s="9"/>
      <c r="D33" s="8"/>
      <c r="E33" s="3"/>
      <c r="F33" s="10" t="s">
        <v>93</v>
      </c>
      <c r="G33" s="8"/>
      <c r="I33" s="10" t="s">
        <v>211</v>
      </c>
      <c r="J33" s="8"/>
      <c r="L33" s="10" t="s">
        <v>301</v>
      </c>
      <c r="M33" s="8"/>
      <c r="O33" s="10" t="s">
        <v>300</v>
      </c>
      <c r="P33" s="8"/>
      <c r="R33" s="10" t="s">
        <v>520</v>
      </c>
      <c r="S33" s="8"/>
    </row>
    <row r="34" spans="2:19" x14ac:dyDescent="0.3">
      <c r="B34" s="7" t="s">
        <v>464</v>
      </c>
      <c r="C34" s="6"/>
      <c r="D34" s="5"/>
      <c r="E34" s="3"/>
      <c r="F34" s="7" t="s">
        <v>463</v>
      </c>
      <c r="G34" s="5"/>
      <c r="I34" s="7" t="s">
        <v>462</v>
      </c>
      <c r="J34" s="5"/>
      <c r="L34" s="7" t="s">
        <v>449</v>
      </c>
      <c r="M34" s="5"/>
      <c r="O34" s="7" t="s">
        <v>519</v>
      </c>
      <c r="P34" s="5"/>
      <c r="R34" s="7" t="s">
        <v>518</v>
      </c>
      <c r="S34" s="5"/>
    </row>
    <row r="35" spans="2:19" x14ac:dyDescent="0.3">
      <c r="B35" s="47"/>
      <c r="C35" s="47"/>
      <c r="D35" s="47"/>
      <c r="E35" s="3"/>
    </row>
    <row r="36" spans="2:19" x14ac:dyDescent="0.3">
      <c r="E36" s="3"/>
      <c r="L36" s="15" t="s">
        <v>419</v>
      </c>
      <c r="M36" s="15"/>
      <c r="O36" s="15" t="s">
        <v>517</v>
      </c>
      <c r="P36" s="15"/>
      <c r="R36" s="15" t="s">
        <v>516</v>
      </c>
      <c r="S36" s="15"/>
    </row>
    <row r="37" spans="2:19" x14ac:dyDescent="0.3">
      <c r="B37" s="15" t="s">
        <v>444</v>
      </c>
      <c r="C37" s="15" t="s">
        <v>189</v>
      </c>
      <c r="D37" s="15" t="s">
        <v>179</v>
      </c>
      <c r="E37" s="3"/>
      <c r="F37" t="s">
        <v>460</v>
      </c>
      <c r="G37" s="13" t="s">
        <v>201</v>
      </c>
      <c r="I37" t="s">
        <v>459</v>
      </c>
      <c r="J37" s="13" t="s">
        <v>201</v>
      </c>
      <c r="L37" s="15" t="s">
        <v>370</v>
      </c>
      <c r="M37" s="15" t="s">
        <v>201</v>
      </c>
      <c r="O37" s="15" t="s">
        <v>515</v>
      </c>
      <c r="P37" s="15" t="s">
        <v>201</v>
      </c>
      <c r="R37" s="15" t="s">
        <v>514</v>
      </c>
      <c r="S37" s="15" t="s">
        <v>201</v>
      </c>
    </row>
    <row r="38" spans="2:19" x14ac:dyDescent="0.3">
      <c r="B38" s="15">
        <v>20</v>
      </c>
      <c r="C38" s="15">
        <v>0.06</v>
      </c>
      <c r="D38" s="15">
        <v>0.04</v>
      </c>
      <c r="E38" s="3"/>
      <c r="F38" t="s">
        <v>457</v>
      </c>
      <c r="G38" s="13">
        <v>1.03</v>
      </c>
      <c r="I38" t="s">
        <v>284</v>
      </c>
      <c r="J38" s="13">
        <v>0.98</v>
      </c>
      <c r="L38" s="48">
        <v>0</v>
      </c>
      <c r="M38" s="65">
        <v>0.96</v>
      </c>
      <c r="O38" s="48" t="s">
        <v>513</v>
      </c>
      <c r="P38" s="15">
        <v>1.42</v>
      </c>
      <c r="R38" s="69" t="s">
        <v>512</v>
      </c>
      <c r="S38" s="15">
        <v>1.1100000000000001</v>
      </c>
    </row>
    <row r="39" spans="2:19" x14ac:dyDescent="0.3">
      <c r="B39" s="15">
        <v>25</v>
      </c>
      <c r="C39" s="15">
        <v>0.06</v>
      </c>
      <c r="D39" s="15">
        <v>0.05</v>
      </c>
      <c r="E39" s="3"/>
      <c r="F39" t="s">
        <v>455</v>
      </c>
      <c r="G39" s="13">
        <v>1.1499999999999999</v>
      </c>
      <c r="I39" t="s">
        <v>275</v>
      </c>
      <c r="J39" s="13">
        <v>1.07</v>
      </c>
      <c r="L39" s="48">
        <v>0.5</v>
      </c>
      <c r="M39" s="65">
        <v>1.04</v>
      </c>
      <c r="O39" s="48" t="s">
        <v>511</v>
      </c>
      <c r="P39" s="15">
        <v>1.24</v>
      </c>
      <c r="R39" s="69" t="s">
        <v>510</v>
      </c>
      <c r="S39" s="15">
        <v>1.07</v>
      </c>
    </row>
    <row r="40" spans="2:19" x14ac:dyDescent="0.3">
      <c r="B40" s="15">
        <v>30</v>
      </c>
      <c r="C40" s="15">
        <v>0.06</v>
      </c>
      <c r="D40" s="15">
        <v>0.08</v>
      </c>
      <c r="E40" s="3"/>
      <c r="F40" t="s">
        <v>277</v>
      </c>
      <c r="G40" s="13">
        <v>1.05</v>
      </c>
      <c r="I40" t="s">
        <v>279</v>
      </c>
      <c r="J40" s="13">
        <v>1.02</v>
      </c>
      <c r="L40" s="48">
        <v>1</v>
      </c>
      <c r="M40" s="65">
        <v>1.3</v>
      </c>
      <c r="O40" s="15" t="s">
        <v>509</v>
      </c>
      <c r="P40" s="15">
        <v>1.07</v>
      </c>
      <c r="R40" s="69" t="s">
        <v>508</v>
      </c>
      <c r="S40" s="15">
        <v>1.03</v>
      </c>
    </row>
    <row r="41" spans="2:19" x14ac:dyDescent="0.3">
      <c r="B41" s="15">
        <v>35</v>
      </c>
      <c r="C41" s="15">
        <v>0.12</v>
      </c>
      <c r="D41" s="15">
        <v>0.08</v>
      </c>
      <c r="E41" s="3"/>
      <c r="F41" t="s">
        <v>453</v>
      </c>
      <c r="G41" s="13">
        <v>1.02</v>
      </c>
      <c r="I41" t="s">
        <v>271</v>
      </c>
      <c r="J41" s="13">
        <v>0.99</v>
      </c>
      <c r="L41" s="15"/>
      <c r="M41" s="15"/>
      <c r="O41" s="48" t="s">
        <v>507</v>
      </c>
      <c r="P41" s="52">
        <v>1</v>
      </c>
      <c r="R41" s="15" t="s">
        <v>506</v>
      </c>
      <c r="S41" s="15">
        <v>1.01</v>
      </c>
    </row>
    <row r="42" spans="2:19" x14ac:dyDescent="0.3">
      <c r="B42" s="15">
        <v>40</v>
      </c>
      <c r="C42" s="15">
        <v>0.16</v>
      </c>
      <c r="D42" s="15">
        <v>0.08</v>
      </c>
      <c r="E42" s="3"/>
      <c r="F42" t="s">
        <v>363</v>
      </c>
      <c r="G42" s="13">
        <v>0.97</v>
      </c>
      <c r="I42" t="s">
        <v>452</v>
      </c>
      <c r="J42" s="13">
        <v>0.96</v>
      </c>
      <c r="R42" s="15" t="s">
        <v>505</v>
      </c>
      <c r="S42" s="15">
        <v>0.99</v>
      </c>
    </row>
    <row r="43" spans="2:19" x14ac:dyDescent="0.3">
      <c r="B43" s="15">
        <v>45</v>
      </c>
      <c r="C43" s="15">
        <v>0.22</v>
      </c>
      <c r="D43" s="15">
        <v>0.15</v>
      </c>
      <c r="E43" s="3"/>
      <c r="F43" t="s">
        <v>451</v>
      </c>
      <c r="G43" s="13">
        <v>0.98</v>
      </c>
    </row>
    <row r="44" spans="2:19" x14ac:dyDescent="0.3">
      <c r="B44" s="15">
        <v>50</v>
      </c>
      <c r="C44" s="15">
        <v>0.34</v>
      </c>
      <c r="D44" s="15">
        <v>0.18</v>
      </c>
      <c r="E44" s="3"/>
      <c r="F44" t="s">
        <v>450</v>
      </c>
      <c r="G44" s="13">
        <v>0.92</v>
      </c>
    </row>
    <row r="45" spans="2:19" x14ac:dyDescent="0.3">
      <c r="B45" s="15">
        <v>55</v>
      </c>
      <c r="C45" s="15">
        <v>0.64</v>
      </c>
      <c r="D45" s="15">
        <v>0.28999999999999998</v>
      </c>
      <c r="E45" s="3"/>
      <c r="F45" s="3"/>
    </row>
    <row r="46" spans="2:19" x14ac:dyDescent="0.3">
      <c r="B46" s="15">
        <v>60</v>
      </c>
      <c r="C46" s="15">
        <v>0.77</v>
      </c>
      <c r="D46" s="15">
        <v>0.45</v>
      </c>
      <c r="E46" s="3"/>
      <c r="F46" s="3"/>
    </row>
    <row r="47" spans="2:19" x14ac:dyDescent="0.3">
      <c r="B47" s="15">
        <v>65</v>
      </c>
      <c r="C47" s="15">
        <v>1.24</v>
      </c>
      <c r="D47" s="15">
        <v>0.78</v>
      </c>
      <c r="E47" s="3"/>
      <c r="F47" s="3"/>
    </row>
    <row r="48" spans="2:19" x14ac:dyDescent="0.3">
      <c r="B48" s="15"/>
      <c r="C48" s="15"/>
      <c r="D48" s="15"/>
      <c r="E48" s="3"/>
      <c r="F48" s="3"/>
    </row>
    <row r="49" spans="1:10" x14ac:dyDescent="0.3">
      <c r="E49" s="3"/>
      <c r="F49" s="3"/>
    </row>
    <row r="50" spans="1:10" x14ac:dyDescent="0.3">
      <c r="B50" t="s">
        <v>504</v>
      </c>
    </row>
    <row r="51" spans="1:10" x14ac:dyDescent="0.3">
      <c r="B51" t="s">
        <v>503</v>
      </c>
    </row>
    <row r="52" spans="1:10" x14ac:dyDescent="0.3">
      <c r="B52" t="s">
        <v>502</v>
      </c>
    </row>
    <row r="54" spans="1:10" x14ac:dyDescent="0.3">
      <c r="A54" t="s">
        <v>6</v>
      </c>
      <c r="B54" t="s">
        <v>501</v>
      </c>
    </row>
    <row r="56" spans="1:10" x14ac:dyDescent="0.3">
      <c r="F56" s="19" t="s">
        <v>407</v>
      </c>
      <c r="G56" s="18"/>
      <c r="J56" s="24" t="s">
        <v>75</v>
      </c>
    </row>
    <row r="57" spans="1:10" x14ac:dyDescent="0.3">
      <c r="C57" s="15" t="s">
        <v>419</v>
      </c>
      <c r="D57" s="15" t="s">
        <v>543</v>
      </c>
      <c r="F57" s="15" t="s">
        <v>566</v>
      </c>
      <c r="G57" s="15" t="s">
        <v>136</v>
      </c>
    </row>
    <row r="58" spans="1:10" x14ac:dyDescent="0.3">
      <c r="B58" t="s">
        <v>251</v>
      </c>
      <c r="C58" s="15" t="s">
        <v>542</v>
      </c>
      <c r="D58" s="15" t="s">
        <v>541</v>
      </c>
      <c r="F58" s="68" t="s">
        <v>564</v>
      </c>
      <c r="G58" s="68" t="s">
        <v>236</v>
      </c>
    </row>
    <row r="59" spans="1:10" x14ac:dyDescent="0.3">
      <c r="B59" t="str">
        <f t="shared" ref="B59:B78" si="0">B12</f>
        <v>20 M</v>
      </c>
      <c r="C59" s="29">
        <f t="shared" ref="C59:C78" si="1">H12</f>
        <v>502</v>
      </c>
      <c r="D59" s="59">
        <f t="shared" ref="D59:D78" si="2">I12</f>
        <v>42168</v>
      </c>
      <c r="F59" s="66">
        <f t="shared" ref="F59:F78" si="3">E12/D12</f>
        <v>6.9953371296525541E-2</v>
      </c>
      <c r="G59" s="58">
        <f t="shared" ref="G59:G78" si="4">E12/D12*D59</f>
        <v>2949.7937608318889</v>
      </c>
      <c r="J59" t="s">
        <v>584</v>
      </c>
    </row>
    <row r="60" spans="1:10" x14ac:dyDescent="0.3">
      <c r="B60" t="str">
        <f t="shared" si="0"/>
        <v>25 M</v>
      </c>
      <c r="C60" s="29">
        <f t="shared" si="1"/>
        <v>410</v>
      </c>
      <c r="D60" s="59">
        <f t="shared" si="2"/>
        <v>34850</v>
      </c>
      <c r="F60" s="66">
        <f t="shared" si="3"/>
        <v>6.6027185259807566E-2</v>
      </c>
      <c r="G60" s="58">
        <f t="shared" si="4"/>
        <v>2301.0474063042939</v>
      </c>
      <c r="J60" t="s">
        <v>583</v>
      </c>
    </row>
    <row r="61" spans="1:10" x14ac:dyDescent="0.3">
      <c r="B61" t="str">
        <f t="shared" si="0"/>
        <v>30 M</v>
      </c>
      <c r="C61" s="29">
        <f t="shared" si="1"/>
        <v>800</v>
      </c>
      <c r="D61" s="59">
        <f t="shared" si="2"/>
        <v>73600</v>
      </c>
      <c r="F61" s="66">
        <f t="shared" si="3"/>
        <v>6.1760068241741198E-2</v>
      </c>
      <c r="G61" s="58">
        <f t="shared" si="4"/>
        <v>4545.5410225921523</v>
      </c>
    </row>
    <row r="62" spans="1:10" x14ac:dyDescent="0.3">
      <c r="B62" t="str">
        <f t="shared" si="0"/>
        <v>35 M</v>
      </c>
      <c r="C62" s="29">
        <f t="shared" si="1"/>
        <v>744</v>
      </c>
      <c r="D62" s="59">
        <f t="shared" si="2"/>
        <v>63984</v>
      </c>
      <c r="F62" s="66">
        <f t="shared" si="3"/>
        <v>0.12170598125551431</v>
      </c>
      <c r="G62" s="58">
        <f t="shared" si="4"/>
        <v>7787.2355046528273</v>
      </c>
    </row>
    <row r="63" spans="1:10" x14ac:dyDescent="0.3">
      <c r="B63" t="str">
        <f t="shared" si="0"/>
        <v>40 M</v>
      </c>
      <c r="C63" s="29">
        <f t="shared" si="1"/>
        <v>590</v>
      </c>
      <c r="D63" s="59">
        <f t="shared" si="2"/>
        <v>54870</v>
      </c>
      <c r="F63" s="66">
        <f t="shared" si="3"/>
        <v>0.19074872014013597</v>
      </c>
      <c r="G63" s="58">
        <f t="shared" si="4"/>
        <v>10466.382274089261</v>
      </c>
    </row>
    <row r="64" spans="1:10" x14ac:dyDescent="0.3">
      <c r="B64" t="str">
        <f t="shared" si="0"/>
        <v>45 M</v>
      </c>
      <c r="C64" s="29">
        <f t="shared" si="1"/>
        <v>540</v>
      </c>
      <c r="D64" s="59">
        <f t="shared" si="2"/>
        <v>50220</v>
      </c>
      <c r="F64" s="66">
        <f t="shared" si="3"/>
        <v>0.20616594610687664</v>
      </c>
      <c r="G64" s="58">
        <f t="shared" si="4"/>
        <v>10353.653813487344</v>
      </c>
    </row>
    <row r="65" spans="2:7" x14ac:dyDescent="0.3">
      <c r="B65" t="str">
        <f t="shared" si="0"/>
        <v>50 M</v>
      </c>
      <c r="C65" s="29">
        <f t="shared" si="1"/>
        <v>370</v>
      </c>
      <c r="D65" s="59">
        <f t="shared" si="2"/>
        <v>41810</v>
      </c>
      <c r="F65" s="66">
        <f t="shared" si="3"/>
        <v>0.37877078450952711</v>
      </c>
      <c r="G65" s="58">
        <f t="shared" si="4"/>
        <v>15836.406500343328</v>
      </c>
    </row>
    <row r="66" spans="2:7" x14ac:dyDescent="0.3">
      <c r="B66" t="str">
        <f t="shared" si="0"/>
        <v>55 M</v>
      </c>
      <c r="C66" s="29">
        <f t="shared" si="1"/>
        <v>240</v>
      </c>
      <c r="D66" s="59">
        <f t="shared" si="2"/>
        <v>24960</v>
      </c>
      <c r="F66" s="66">
        <f t="shared" si="3"/>
        <v>0.68488054330474313</v>
      </c>
      <c r="G66" s="58">
        <f t="shared" si="4"/>
        <v>17094.618360886387</v>
      </c>
    </row>
    <row r="67" spans="2:7" x14ac:dyDescent="0.3">
      <c r="B67" t="str">
        <f t="shared" si="0"/>
        <v>60 M</v>
      </c>
      <c r="C67" s="29">
        <f t="shared" si="1"/>
        <v>200</v>
      </c>
      <c r="D67" s="59">
        <f t="shared" si="2"/>
        <v>24400</v>
      </c>
      <c r="F67" s="66">
        <f t="shared" si="3"/>
        <v>0.74019557347617504</v>
      </c>
      <c r="G67" s="58">
        <f t="shared" si="4"/>
        <v>18060.771992818671</v>
      </c>
    </row>
    <row r="68" spans="2:7" x14ac:dyDescent="0.3">
      <c r="B68" t="str">
        <f t="shared" si="0"/>
        <v>65 M</v>
      </c>
      <c r="C68" s="29">
        <f t="shared" si="1"/>
        <v>80</v>
      </c>
      <c r="D68" s="59">
        <f t="shared" si="2"/>
        <v>9280</v>
      </c>
      <c r="F68" s="66">
        <f t="shared" si="3"/>
        <v>1.3689033861447655</v>
      </c>
      <c r="G68" s="58">
        <f t="shared" si="4"/>
        <v>12703.423423423425</v>
      </c>
    </row>
    <row r="69" spans="2:7" x14ac:dyDescent="0.3">
      <c r="B69" t="str">
        <f t="shared" si="0"/>
        <v>20 F</v>
      </c>
      <c r="C69" s="29">
        <f t="shared" si="1"/>
        <v>410</v>
      </c>
      <c r="D69" s="59">
        <f t="shared" si="2"/>
        <v>32390</v>
      </c>
      <c r="F69" s="66">
        <f t="shared" si="3"/>
        <v>4.2450563383161902E-2</v>
      </c>
      <c r="G69" s="58">
        <f t="shared" si="4"/>
        <v>1374.973747980614</v>
      </c>
    </row>
    <row r="70" spans="2:7" x14ac:dyDescent="0.3">
      <c r="B70" t="str">
        <f t="shared" si="0"/>
        <v>25 F</v>
      </c>
      <c r="C70" s="29">
        <f t="shared" si="1"/>
        <v>706</v>
      </c>
      <c r="D70" s="59">
        <f t="shared" si="2"/>
        <v>59304</v>
      </c>
      <c r="F70" s="66">
        <f t="shared" si="3"/>
        <v>5.5128047278995319E-2</v>
      </c>
      <c r="G70" s="58">
        <f t="shared" si="4"/>
        <v>3269.3137158335385</v>
      </c>
    </row>
    <row r="71" spans="2:7" x14ac:dyDescent="0.3">
      <c r="B71" t="str">
        <f t="shared" si="0"/>
        <v>30 F</v>
      </c>
      <c r="C71" s="29">
        <f t="shared" si="1"/>
        <v>910</v>
      </c>
      <c r="D71" s="59">
        <f t="shared" si="2"/>
        <v>79170</v>
      </c>
      <c r="F71" s="66">
        <f t="shared" si="3"/>
        <v>8.4754724087231753E-2</v>
      </c>
      <c r="G71" s="58">
        <f t="shared" si="4"/>
        <v>6710.0315059861377</v>
      </c>
    </row>
    <row r="72" spans="2:7" x14ac:dyDescent="0.3">
      <c r="B72" t="str">
        <f t="shared" si="0"/>
        <v>35 F</v>
      </c>
      <c r="C72" s="29">
        <f t="shared" si="1"/>
        <v>556</v>
      </c>
      <c r="D72" s="59">
        <f t="shared" si="2"/>
        <v>50040</v>
      </c>
      <c r="F72" s="66">
        <f t="shared" si="3"/>
        <v>8.5537595585920861E-2</v>
      </c>
      <c r="G72" s="58">
        <f t="shared" si="4"/>
        <v>4280.3012831194801</v>
      </c>
    </row>
    <row r="73" spans="2:7" x14ac:dyDescent="0.3">
      <c r="B73" t="str">
        <f t="shared" si="0"/>
        <v>40 F</v>
      </c>
      <c r="C73" s="29">
        <f t="shared" si="1"/>
        <v>800</v>
      </c>
      <c r="D73" s="59">
        <f t="shared" si="2"/>
        <v>70400</v>
      </c>
      <c r="F73" s="66">
        <f t="shared" si="3"/>
        <v>8.6986610375288237E-2</v>
      </c>
      <c r="G73" s="58">
        <f t="shared" si="4"/>
        <v>6123.8573704202918</v>
      </c>
    </row>
    <row r="74" spans="2:7" x14ac:dyDescent="0.3">
      <c r="B74" t="str">
        <f t="shared" si="0"/>
        <v>45 F</v>
      </c>
      <c r="C74" s="29">
        <f t="shared" si="1"/>
        <v>520</v>
      </c>
      <c r="D74" s="59">
        <f t="shared" si="2"/>
        <v>54080</v>
      </c>
      <c r="F74" s="66">
        <f t="shared" si="3"/>
        <v>0.16486374922799632</v>
      </c>
      <c r="G74" s="58">
        <f t="shared" si="4"/>
        <v>8915.8315582500418</v>
      </c>
    </row>
    <row r="75" spans="2:7" x14ac:dyDescent="0.3">
      <c r="B75" t="str">
        <f t="shared" si="0"/>
        <v>50 F</v>
      </c>
      <c r="C75" s="29">
        <f t="shared" si="1"/>
        <v>310</v>
      </c>
      <c r="D75" s="59">
        <f t="shared" si="2"/>
        <v>33790</v>
      </c>
      <c r="F75" s="66">
        <f t="shared" si="3"/>
        <v>0.18136436480593232</v>
      </c>
      <c r="G75" s="58">
        <f t="shared" si="4"/>
        <v>6128.3018867924529</v>
      </c>
    </row>
    <row r="76" spans="2:7" x14ac:dyDescent="0.3">
      <c r="B76" t="str">
        <f t="shared" si="0"/>
        <v>55 F</v>
      </c>
      <c r="C76" s="29">
        <f t="shared" si="1"/>
        <v>180</v>
      </c>
      <c r="D76" s="59">
        <f t="shared" si="2"/>
        <v>18900</v>
      </c>
      <c r="F76" s="66">
        <f t="shared" si="3"/>
        <v>0.34882177379838747</v>
      </c>
      <c r="G76" s="58">
        <f t="shared" si="4"/>
        <v>6592.7315247895231</v>
      </c>
    </row>
    <row r="77" spans="2:7" x14ac:dyDescent="0.3">
      <c r="B77" t="str">
        <f t="shared" si="0"/>
        <v>60 F</v>
      </c>
      <c r="C77" s="29">
        <f t="shared" si="1"/>
        <v>60</v>
      </c>
      <c r="D77" s="59">
        <f t="shared" si="2"/>
        <v>7080</v>
      </c>
      <c r="F77" s="66">
        <f t="shared" si="3"/>
        <v>0.47031754651727786</v>
      </c>
      <c r="G77" s="58">
        <f t="shared" si="4"/>
        <v>3329.8482293423272</v>
      </c>
    </row>
    <row r="78" spans="2:7" x14ac:dyDescent="0.3">
      <c r="B78" t="str">
        <f t="shared" si="0"/>
        <v>65 F</v>
      </c>
      <c r="C78" s="29">
        <f t="shared" si="1"/>
        <v>20</v>
      </c>
      <c r="D78" s="59">
        <f t="shared" si="2"/>
        <v>2320</v>
      </c>
      <c r="F78" s="66">
        <f t="shared" si="3"/>
        <v>0.96307849364791287</v>
      </c>
      <c r="G78" s="58">
        <f t="shared" si="4"/>
        <v>2234.3421052631579</v>
      </c>
    </row>
    <row r="79" spans="2:7" ht="15" thickBot="1" x14ac:dyDescent="0.35">
      <c r="C79" s="15"/>
      <c r="D79" s="59"/>
      <c r="F79" s="15"/>
      <c r="G79" s="58"/>
    </row>
    <row r="80" spans="2:7" ht="15" thickBot="1" x14ac:dyDescent="0.35">
      <c r="B80" t="s">
        <v>53</v>
      </c>
      <c r="C80" s="29">
        <f>SUM(C59:C78)</f>
        <v>8948</v>
      </c>
      <c r="D80" s="59">
        <f>SUM(D59:D78)</f>
        <v>827616</v>
      </c>
      <c r="F80" s="15"/>
      <c r="G80" s="79">
        <f>SUM(G59:G78)</f>
        <v>151058.4069872071</v>
      </c>
    </row>
    <row r="81" spans="2:14" x14ac:dyDescent="0.3">
      <c r="C81" s="3"/>
      <c r="D81" s="3"/>
      <c r="G81" s="3"/>
      <c r="M81" s="3"/>
      <c r="N81" s="3"/>
    </row>
    <row r="82" spans="2:14" x14ac:dyDescent="0.3">
      <c r="B82" s="19" t="s">
        <v>138</v>
      </c>
      <c r="C82" s="18"/>
      <c r="D82" s="18"/>
      <c r="E82" s="18"/>
      <c r="F82" s="18"/>
      <c r="G82" s="18"/>
      <c r="J82" s="24" t="s">
        <v>75</v>
      </c>
      <c r="M82" s="3"/>
      <c r="N82" s="3"/>
    </row>
    <row r="83" spans="2:14" x14ac:dyDescent="0.3">
      <c r="E83" s="15" t="s">
        <v>566</v>
      </c>
      <c r="F83" s="15" t="s">
        <v>565</v>
      </c>
      <c r="G83" s="15" t="s">
        <v>136</v>
      </c>
      <c r="M83" s="3"/>
      <c r="N83" s="3"/>
    </row>
    <row r="84" spans="2:14" x14ac:dyDescent="0.3">
      <c r="C84" t="s">
        <v>201</v>
      </c>
      <c r="D84" s="13" t="s">
        <v>251</v>
      </c>
      <c r="E84" s="68" t="s">
        <v>564</v>
      </c>
      <c r="F84" s="68" t="s">
        <v>564</v>
      </c>
      <c r="G84" s="68" t="s">
        <v>236</v>
      </c>
      <c r="M84" s="3"/>
      <c r="N84" s="3"/>
    </row>
    <row r="85" spans="2:14" x14ac:dyDescent="0.3">
      <c r="B85" t="s">
        <v>563</v>
      </c>
      <c r="C85">
        <f>G41</f>
        <v>1.02</v>
      </c>
      <c r="D85" s="13" t="s">
        <v>540</v>
      </c>
      <c r="E85" s="70">
        <f t="shared" ref="E85:E94" si="5">C38</f>
        <v>0.06</v>
      </c>
      <c r="F85" s="70">
        <f t="shared" ref="F85:F104" si="6">E85*$C$90</f>
        <v>6.3011520000000001E-2</v>
      </c>
      <c r="G85" s="58">
        <f>F85*D59</f>
        <v>2657.0697753600002</v>
      </c>
      <c r="J85" t="s">
        <v>582</v>
      </c>
      <c r="M85" s="3"/>
      <c r="N85" s="3"/>
    </row>
    <row r="86" spans="2:14" x14ac:dyDescent="0.3">
      <c r="B86" t="s">
        <v>370</v>
      </c>
      <c r="C86">
        <f>M39</f>
        <v>1.04</v>
      </c>
      <c r="D86" s="13" t="s">
        <v>539</v>
      </c>
      <c r="E86" s="70">
        <f t="shared" si="5"/>
        <v>0.06</v>
      </c>
      <c r="F86" s="70">
        <f t="shared" si="6"/>
        <v>6.3011520000000001E-2</v>
      </c>
      <c r="G86" s="58">
        <f t="shared" ref="G86:G104" si="7">F86*D60</f>
        <v>2195.9514720000002</v>
      </c>
      <c r="J86" t="s">
        <v>581</v>
      </c>
      <c r="M86" s="3"/>
      <c r="N86" s="3"/>
    </row>
    <row r="87" spans="2:14" x14ac:dyDescent="0.3">
      <c r="B87" t="s">
        <v>560</v>
      </c>
      <c r="C87" s="43">
        <f>P41</f>
        <v>1</v>
      </c>
      <c r="D87" s="13" t="s">
        <v>538</v>
      </c>
      <c r="E87" s="70">
        <f t="shared" si="5"/>
        <v>0.06</v>
      </c>
      <c r="F87" s="70">
        <f t="shared" si="6"/>
        <v>6.3011520000000001E-2</v>
      </c>
      <c r="G87" s="58">
        <f t="shared" si="7"/>
        <v>4637.6478720000005</v>
      </c>
      <c r="J87" t="s">
        <v>580</v>
      </c>
      <c r="M87" s="3"/>
      <c r="N87" s="3"/>
    </row>
    <row r="88" spans="2:14" x14ac:dyDescent="0.3">
      <c r="B88" t="s">
        <v>559</v>
      </c>
      <c r="C88">
        <f>S42</f>
        <v>0.99</v>
      </c>
      <c r="D88" s="13" t="s">
        <v>537</v>
      </c>
      <c r="E88" s="70">
        <f t="shared" si="5"/>
        <v>0.12</v>
      </c>
      <c r="F88" s="70">
        <f t="shared" si="6"/>
        <v>0.12602304</v>
      </c>
      <c r="G88" s="58">
        <f t="shared" si="7"/>
        <v>8063.4581913600005</v>
      </c>
      <c r="M88" s="3"/>
      <c r="N88" s="3"/>
    </row>
    <row r="89" spans="2:14" x14ac:dyDescent="0.3">
      <c r="D89" s="13" t="s">
        <v>536</v>
      </c>
      <c r="E89" s="70">
        <f t="shared" si="5"/>
        <v>0.16</v>
      </c>
      <c r="F89" s="70">
        <f t="shared" si="6"/>
        <v>0.16803071999999999</v>
      </c>
      <c r="G89" s="58">
        <f t="shared" si="7"/>
        <v>9219.8456064000002</v>
      </c>
      <c r="M89" s="3"/>
      <c r="N89" s="3"/>
    </row>
    <row r="90" spans="2:14" x14ac:dyDescent="0.3">
      <c r="B90" t="s">
        <v>53</v>
      </c>
      <c r="C90" s="38">
        <f>PRODUCT(C85:C88)</f>
        <v>1.050192</v>
      </c>
      <c r="D90" s="13" t="s">
        <v>535</v>
      </c>
      <c r="E90" s="70">
        <f t="shared" si="5"/>
        <v>0.22</v>
      </c>
      <c r="F90" s="70">
        <f t="shared" si="6"/>
        <v>0.23104224000000001</v>
      </c>
      <c r="G90" s="58">
        <f t="shared" si="7"/>
        <v>11602.9412928</v>
      </c>
      <c r="M90" s="3"/>
      <c r="N90" s="3"/>
    </row>
    <row r="91" spans="2:14" x14ac:dyDescent="0.3">
      <c r="D91" s="13" t="s">
        <v>534</v>
      </c>
      <c r="E91" s="70">
        <f t="shared" si="5"/>
        <v>0.34</v>
      </c>
      <c r="F91" s="70">
        <f t="shared" si="6"/>
        <v>0.35706528000000004</v>
      </c>
      <c r="G91" s="58">
        <f t="shared" si="7"/>
        <v>14928.899356800002</v>
      </c>
      <c r="M91" s="3"/>
      <c r="N91" s="3"/>
    </row>
    <row r="92" spans="2:14" x14ac:dyDescent="0.3">
      <c r="D92" s="13" t="s">
        <v>533</v>
      </c>
      <c r="E92" s="70">
        <f t="shared" si="5"/>
        <v>0.64</v>
      </c>
      <c r="F92" s="70">
        <f t="shared" si="6"/>
        <v>0.67212287999999998</v>
      </c>
      <c r="G92" s="58">
        <f t="shared" si="7"/>
        <v>16776.1870848</v>
      </c>
      <c r="M92" s="3"/>
      <c r="N92" s="3"/>
    </row>
    <row r="93" spans="2:14" x14ac:dyDescent="0.3">
      <c r="D93" s="13" t="s">
        <v>532</v>
      </c>
      <c r="E93" s="70">
        <f t="shared" si="5"/>
        <v>0.77</v>
      </c>
      <c r="F93" s="70">
        <f t="shared" si="6"/>
        <v>0.80864784000000001</v>
      </c>
      <c r="G93" s="58">
        <f t="shared" si="7"/>
        <v>19731.007296</v>
      </c>
      <c r="M93" s="3"/>
      <c r="N93" s="3"/>
    </row>
    <row r="94" spans="2:14" x14ac:dyDescent="0.3">
      <c r="D94" s="13" t="s">
        <v>531</v>
      </c>
      <c r="E94" s="70">
        <f t="shared" si="5"/>
        <v>1.24</v>
      </c>
      <c r="F94" s="70">
        <f t="shared" si="6"/>
        <v>1.30223808</v>
      </c>
      <c r="G94" s="58">
        <f t="shared" si="7"/>
        <v>12084.7693824</v>
      </c>
      <c r="M94" s="3"/>
      <c r="N94" s="3"/>
    </row>
    <row r="95" spans="2:14" x14ac:dyDescent="0.3">
      <c r="D95" s="13" t="s">
        <v>530</v>
      </c>
      <c r="E95" s="70">
        <f t="shared" ref="E95:E104" si="8">D38</f>
        <v>0.04</v>
      </c>
      <c r="F95" s="70">
        <f t="shared" si="6"/>
        <v>4.2007679999999999E-2</v>
      </c>
      <c r="G95" s="58">
        <f t="shared" si="7"/>
        <v>1360.6287551999999</v>
      </c>
      <c r="M95" s="3"/>
      <c r="N95" s="3"/>
    </row>
    <row r="96" spans="2:14" x14ac:dyDescent="0.3">
      <c r="D96" s="13" t="s">
        <v>529</v>
      </c>
      <c r="E96" s="70">
        <f t="shared" si="8"/>
        <v>0.05</v>
      </c>
      <c r="F96" s="70">
        <f t="shared" si="6"/>
        <v>5.2509600000000003E-2</v>
      </c>
      <c r="G96" s="58">
        <f t="shared" si="7"/>
        <v>3114.0293184000002</v>
      </c>
      <c r="M96" s="3"/>
      <c r="N96" s="3"/>
    </row>
    <row r="97" spans="2:14" x14ac:dyDescent="0.3">
      <c r="D97" s="13" t="s">
        <v>528</v>
      </c>
      <c r="E97" s="70">
        <f t="shared" si="8"/>
        <v>0.08</v>
      </c>
      <c r="F97" s="70">
        <f t="shared" si="6"/>
        <v>8.4015359999999997E-2</v>
      </c>
      <c r="G97" s="58">
        <f t="shared" si="7"/>
        <v>6651.4960511999998</v>
      </c>
      <c r="M97" s="3"/>
      <c r="N97" s="3"/>
    </row>
    <row r="98" spans="2:14" x14ac:dyDescent="0.3">
      <c r="D98" s="13" t="s">
        <v>527</v>
      </c>
      <c r="E98" s="70">
        <f t="shared" si="8"/>
        <v>0.08</v>
      </c>
      <c r="F98" s="70">
        <f t="shared" si="6"/>
        <v>8.4015359999999997E-2</v>
      </c>
      <c r="G98" s="58">
        <f t="shared" si="7"/>
        <v>4204.1286143999996</v>
      </c>
      <c r="M98" s="3"/>
      <c r="N98" s="3"/>
    </row>
    <row r="99" spans="2:14" x14ac:dyDescent="0.3">
      <c r="D99" s="13" t="s">
        <v>526</v>
      </c>
      <c r="E99" s="70">
        <f t="shared" si="8"/>
        <v>0.08</v>
      </c>
      <c r="F99" s="70">
        <f t="shared" si="6"/>
        <v>8.4015359999999997E-2</v>
      </c>
      <c r="G99" s="58">
        <f t="shared" si="7"/>
        <v>5914.6813439999996</v>
      </c>
      <c r="M99" s="3"/>
      <c r="N99" s="3"/>
    </row>
    <row r="100" spans="2:14" x14ac:dyDescent="0.3">
      <c r="D100" s="13" t="s">
        <v>525</v>
      </c>
      <c r="E100" s="70">
        <f t="shared" si="8"/>
        <v>0.15</v>
      </c>
      <c r="F100" s="70">
        <f t="shared" si="6"/>
        <v>0.1575288</v>
      </c>
      <c r="G100" s="58">
        <f t="shared" si="7"/>
        <v>8519.1575040000007</v>
      </c>
      <c r="M100" s="3"/>
      <c r="N100" s="3"/>
    </row>
    <row r="101" spans="2:14" x14ac:dyDescent="0.3">
      <c r="D101" s="13" t="s">
        <v>524</v>
      </c>
      <c r="E101" s="70">
        <f t="shared" si="8"/>
        <v>0.18</v>
      </c>
      <c r="F101" s="70">
        <f t="shared" si="6"/>
        <v>0.18903455999999999</v>
      </c>
      <c r="G101" s="58">
        <f t="shared" si="7"/>
        <v>6387.4777823999993</v>
      </c>
      <c r="M101" s="3"/>
      <c r="N101" s="3"/>
    </row>
    <row r="102" spans="2:14" x14ac:dyDescent="0.3">
      <c r="D102" s="13" t="s">
        <v>523</v>
      </c>
      <c r="E102" s="70">
        <f t="shared" si="8"/>
        <v>0.28999999999999998</v>
      </c>
      <c r="F102" s="70">
        <f t="shared" si="6"/>
        <v>0.30455568</v>
      </c>
      <c r="G102" s="58">
        <f t="shared" si="7"/>
        <v>5756.1023519999999</v>
      </c>
      <c r="M102" s="3"/>
      <c r="N102" s="3"/>
    </row>
    <row r="103" spans="2:14" x14ac:dyDescent="0.3">
      <c r="D103" s="13" t="s">
        <v>522</v>
      </c>
      <c r="E103" s="70">
        <f t="shared" si="8"/>
        <v>0.45</v>
      </c>
      <c r="F103" s="70">
        <f t="shared" si="6"/>
        <v>0.47258640000000002</v>
      </c>
      <c r="G103" s="58">
        <f t="shared" si="7"/>
        <v>3345.9117120000001</v>
      </c>
      <c r="M103" s="3"/>
      <c r="N103" s="3"/>
    </row>
    <row r="104" spans="2:14" x14ac:dyDescent="0.3">
      <c r="D104" s="13" t="s">
        <v>521</v>
      </c>
      <c r="E104" s="70">
        <f t="shared" si="8"/>
        <v>0.78</v>
      </c>
      <c r="F104" s="70">
        <f t="shared" si="6"/>
        <v>0.81914976000000006</v>
      </c>
      <c r="G104" s="58">
        <f t="shared" si="7"/>
        <v>1900.4274432000002</v>
      </c>
      <c r="M104" s="3"/>
      <c r="N104" s="3"/>
    </row>
    <row r="105" spans="2:14" ht="15" thickBot="1" x14ac:dyDescent="0.35">
      <c r="E105" s="15"/>
      <c r="F105" s="15"/>
      <c r="G105" s="58"/>
      <c r="M105" s="3"/>
      <c r="N105" s="3"/>
    </row>
    <row r="106" spans="2:14" ht="15" thickBot="1" x14ac:dyDescent="0.35">
      <c r="E106" s="15"/>
      <c r="F106" s="29"/>
      <c r="G106" s="79">
        <f>SUM(G85:G104)</f>
        <v>149051.81820672</v>
      </c>
      <c r="M106" s="3"/>
      <c r="N106" s="3"/>
    </row>
    <row r="107" spans="2:14" x14ac:dyDescent="0.3">
      <c r="C107" s="3"/>
      <c r="D107" s="3"/>
      <c r="E107" s="15"/>
      <c r="F107" s="15"/>
      <c r="G107" s="29"/>
      <c r="M107" s="3"/>
      <c r="N107" s="3"/>
    </row>
    <row r="108" spans="2:14" x14ac:dyDescent="0.3">
      <c r="B108" s="13" t="s">
        <v>558</v>
      </c>
      <c r="C108" s="3"/>
      <c r="D108" s="29" t="s">
        <v>144</v>
      </c>
      <c r="G108" s="3"/>
      <c r="J108" s="24" t="s">
        <v>75</v>
      </c>
      <c r="M108" s="3"/>
    </row>
    <row r="109" spans="2:14" x14ac:dyDescent="0.3">
      <c r="B109" s="13" t="s">
        <v>407</v>
      </c>
      <c r="C109" s="39">
        <f>G80</f>
        <v>151058.4069872071</v>
      </c>
      <c r="D109" s="48">
        <v>0.15</v>
      </c>
      <c r="G109" s="3"/>
      <c r="M109" s="3"/>
    </row>
    <row r="110" spans="2:14" x14ac:dyDescent="0.3">
      <c r="B110" s="13" t="s">
        <v>138</v>
      </c>
      <c r="C110" s="39">
        <f>G106</f>
        <v>149051.81820672</v>
      </c>
      <c r="D110" s="48">
        <v>0.85</v>
      </c>
      <c r="G110" s="3"/>
      <c r="M110" s="3"/>
    </row>
    <row r="111" spans="2:14" x14ac:dyDescent="0.3">
      <c r="B111" s="13" t="s">
        <v>557</v>
      </c>
      <c r="C111" s="39">
        <f>C109*D109+C110*D110</f>
        <v>149352.80652379306</v>
      </c>
      <c r="D111" s="3"/>
      <c r="G111" s="3"/>
      <c r="J111" t="s">
        <v>579</v>
      </c>
    </row>
    <row r="112" spans="2:14" x14ac:dyDescent="0.3">
      <c r="B112" s="13"/>
      <c r="C112" s="39"/>
      <c r="D112" s="3"/>
      <c r="G112" s="3"/>
    </row>
    <row r="113" spans="1:10" x14ac:dyDescent="0.3">
      <c r="B113" s="13" t="s">
        <v>556</v>
      </c>
      <c r="C113" s="39">
        <f>C111/(1-0.2-0.05)*0.2</f>
        <v>39827.415073011485</v>
      </c>
      <c r="D113" s="3"/>
      <c r="G113" s="3"/>
      <c r="J113" t="s">
        <v>578</v>
      </c>
    </row>
    <row r="114" spans="1:10" x14ac:dyDescent="0.3">
      <c r="B114" s="13" t="s">
        <v>555</v>
      </c>
      <c r="C114" s="39">
        <f>C111/(1-0.2-0.05)*0.05</f>
        <v>9956.8537682528713</v>
      </c>
      <c r="D114" s="3"/>
      <c r="G114" s="3"/>
      <c r="J114" t="s">
        <v>577</v>
      </c>
    </row>
    <row r="115" spans="1:10" x14ac:dyDescent="0.3">
      <c r="B115" s="13"/>
      <c r="C115" s="39"/>
      <c r="D115" s="3"/>
      <c r="G115" s="3"/>
    </row>
    <row r="116" spans="1:10" ht="15" thickBot="1" x14ac:dyDescent="0.35">
      <c r="B116" s="13" t="s">
        <v>554</v>
      </c>
      <c r="C116" s="39">
        <f>C111+C113+C114</f>
        <v>199137.07536505742</v>
      </c>
      <c r="D116" s="3"/>
      <c r="G116" s="3"/>
      <c r="J116" t="s">
        <v>576</v>
      </c>
    </row>
    <row r="117" spans="1:10" ht="15" thickBot="1" x14ac:dyDescent="0.35">
      <c r="B117" s="13" t="s">
        <v>552</v>
      </c>
      <c r="C117" s="41">
        <f>C116/C80</f>
        <v>22.254925722514241</v>
      </c>
      <c r="D117" s="3"/>
      <c r="G117" s="3"/>
      <c r="J117" t="s">
        <v>575</v>
      </c>
    </row>
    <row r="118" spans="1:10" x14ac:dyDescent="0.3">
      <c r="C118" s="3"/>
      <c r="D118" s="3"/>
      <c r="G118" s="3"/>
    </row>
    <row r="119" spans="1:10" x14ac:dyDescent="0.3">
      <c r="B119" t="s">
        <v>500</v>
      </c>
    </row>
    <row r="121" spans="1:10" x14ac:dyDescent="0.3">
      <c r="A121" t="s">
        <v>4</v>
      </c>
      <c r="B121" t="s">
        <v>499</v>
      </c>
    </row>
    <row r="123" spans="1:10" x14ac:dyDescent="0.3">
      <c r="C123" s="15" t="s">
        <v>419</v>
      </c>
      <c r="D123" s="15" t="s">
        <v>543</v>
      </c>
      <c r="E123" s="15" t="s">
        <v>419</v>
      </c>
      <c r="F123" s="15" t="s">
        <v>419</v>
      </c>
      <c r="G123" s="15" t="s">
        <v>574</v>
      </c>
      <c r="H123" s="15" t="s">
        <v>543</v>
      </c>
      <c r="J123" s="24" t="s">
        <v>75</v>
      </c>
    </row>
    <row r="124" spans="1:10" x14ac:dyDescent="0.3">
      <c r="B124" t="s">
        <v>251</v>
      </c>
      <c r="C124" s="15" t="s">
        <v>542</v>
      </c>
      <c r="D124" s="15" t="s">
        <v>541</v>
      </c>
      <c r="E124" s="15" t="s">
        <v>573</v>
      </c>
      <c r="F124" s="15" t="s">
        <v>568</v>
      </c>
      <c r="G124" s="15" t="s">
        <v>572</v>
      </c>
      <c r="H124" s="15" t="s">
        <v>541</v>
      </c>
    </row>
    <row r="125" spans="1:10" x14ac:dyDescent="0.3">
      <c r="B125" t="str">
        <f t="shared" ref="B125:D144" si="9">B59</f>
        <v>20 M</v>
      </c>
      <c r="C125" s="29">
        <f t="shared" si="9"/>
        <v>502</v>
      </c>
      <c r="D125" s="59">
        <f t="shared" si="9"/>
        <v>42168</v>
      </c>
      <c r="E125" s="71">
        <f>1-0.5</f>
        <v>0.5</v>
      </c>
      <c r="F125" s="15">
        <f t="shared" ref="F125:F144" si="10">C125*E125</f>
        <v>251</v>
      </c>
      <c r="G125" s="59">
        <f t="shared" ref="G125:G144" si="11">D125/C125*1000</f>
        <v>84000</v>
      </c>
      <c r="H125" s="59">
        <f t="shared" ref="H125:H144" si="12">F125*G125/1000</f>
        <v>21084</v>
      </c>
      <c r="J125" t="s">
        <v>571</v>
      </c>
    </row>
    <row r="126" spans="1:10" x14ac:dyDescent="0.3">
      <c r="B126" t="str">
        <f t="shared" si="9"/>
        <v>25 M</v>
      </c>
      <c r="C126" s="29">
        <f t="shared" si="9"/>
        <v>410</v>
      </c>
      <c r="D126" s="59">
        <f t="shared" si="9"/>
        <v>34850</v>
      </c>
      <c r="E126" s="71">
        <f>1-0.5</f>
        <v>0.5</v>
      </c>
      <c r="F126" s="15">
        <f t="shared" si="10"/>
        <v>205</v>
      </c>
      <c r="G126" s="59">
        <f t="shared" si="11"/>
        <v>85000</v>
      </c>
      <c r="H126" s="59">
        <f t="shared" si="12"/>
        <v>17425</v>
      </c>
      <c r="J126" t="s">
        <v>570</v>
      </c>
    </row>
    <row r="127" spans="1:10" x14ac:dyDescent="0.3">
      <c r="B127" t="str">
        <f t="shared" si="9"/>
        <v>30 M</v>
      </c>
      <c r="C127" s="29">
        <f t="shared" si="9"/>
        <v>800</v>
      </c>
      <c r="D127" s="59">
        <f t="shared" si="9"/>
        <v>73600</v>
      </c>
      <c r="E127" s="71">
        <f>1-0.5</f>
        <v>0.5</v>
      </c>
      <c r="F127" s="15">
        <f t="shared" si="10"/>
        <v>400</v>
      </c>
      <c r="G127" s="59">
        <f t="shared" si="11"/>
        <v>92000</v>
      </c>
      <c r="H127" s="59">
        <f t="shared" si="12"/>
        <v>36800</v>
      </c>
    </row>
    <row r="128" spans="1:10" x14ac:dyDescent="0.3">
      <c r="B128" t="str">
        <f t="shared" si="9"/>
        <v>35 M</v>
      </c>
      <c r="C128" s="29">
        <f t="shared" si="9"/>
        <v>744</v>
      </c>
      <c r="D128" s="59">
        <f t="shared" si="9"/>
        <v>63984</v>
      </c>
      <c r="E128" s="71">
        <f>1-0.5</f>
        <v>0.5</v>
      </c>
      <c r="F128" s="15">
        <f t="shared" si="10"/>
        <v>372</v>
      </c>
      <c r="G128" s="59">
        <f t="shared" si="11"/>
        <v>86000</v>
      </c>
      <c r="H128" s="59">
        <f t="shared" si="12"/>
        <v>31992</v>
      </c>
    </row>
    <row r="129" spans="2:8" x14ac:dyDescent="0.3">
      <c r="B129" t="str">
        <f t="shared" si="9"/>
        <v>40 M</v>
      </c>
      <c r="C129" s="29">
        <f t="shared" si="9"/>
        <v>590</v>
      </c>
      <c r="D129" s="59">
        <f t="shared" si="9"/>
        <v>54870</v>
      </c>
      <c r="E129" s="71">
        <f t="shared" ref="E129:E134" si="13">1-0.1</f>
        <v>0.9</v>
      </c>
      <c r="F129" s="15">
        <f t="shared" si="10"/>
        <v>531</v>
      </c>
      <c r="G129" s="59">
        <f t="shared" si="11"/>
        <v>93000</v>
      </c>
      <c r="H129" s="59">
        <f t="shared" si="12"/>
        <v>49383</v>
      </c>
    </row>
    <row r="130" spans="2:8" x14ac:dyDescent="0.3">
      <c r="B130" t="str">
        <f t="shared" si="9"/>
        <v>45 M</v>
      </c>
      <c r="C130" s="29">
        <f t="shared" si="9"/>
        <v>540</v>
      </c>
      <c r="D130" s="59">
        <f t="shared" si="9"/>
        <v>50220</v>
      </c>
      <c r="E130" s="71">
        <f t="shared" si="13"/>
        <v>0.9</v>
      </c>
      <c r="F130" s="15">
        <f t="shared" si="10"/>
        <v>486</v>
      </c>
      <c r="G130" s="59">
        <f t="shared" si="11"/>
        <v>93000</v>
      </c>
      <c r="H130" s="59">
        <f t="shared" si="12"/>
        <v>45198</v>
      </c>
    </row>
    <row r="131" spans="2:8" x14ac:dyDescent="0.3">
      <c r="B131" t="str">
        <f t="shared" si="9"/>
        <v>50 M</v>
      </c>
      <c r="C131" s="29">
        <f t="shared" si="9"/>
        <v>370</v>
      </c>
      <c r="D131" s="59">
        <f t="shared" si="9"/>
        <v>41810</v>
      </c>
      <c r="E131" s="71">
        <f t="shared" si="13"/>
        <v>0.9</v>
      </c>
      <c r="F131" s="15">
        <f t="shared" si="10"/>
        <v>333</v>
      </c>
      <c r="G131" s="59">
        <f t="shared" si="11"/>
        <v>113000</v>
      </c>
      <c r="H131" s="59">
        <f t="shared" si="12"/>
        <v>37629</v>
      </c>
    </row>
    <row r="132" spans="2:8" x14ac:dyDescent="0.3">
      <c r="B132" t="str">
        <f t="shared" si="9"/>
        <v>55 M</v>
      </c>
      <c r="C132" s="29">
        <f t="shared" si="9"/>
        <v>240</v>
      </c>
      <c r="D132" s="59">
        <f t="shared" si="9"/>
        <v>24960</v>
      </c>
      <c r="E132" s="71">
        <f t="shared" si="13"/>
        <v>0.9</v>
      </c>
      <c r="F132" s="15">
        <f t="shared" si="10"/>
        <v>216</v>
      </c>
      <c r="G132" s="59">
        <f t="shared" si="11"/>
        <v>104000</v>
      </c>
      <c r="H132" s="59">
        <f t="shared" si="12"/>
        <v>22464</v>
      </c>
    </row>
    <row r="133" spans="2:8" x14ac:dyDescent="0.3">
      <c r="B133" t="str">
        <f t="shared" si="9"/>
        <v>60 M</v>
      </c>
      <c r="C133" s="29">
        <f t="shared" si="9"/>
        <v>200</v>
      </c>
      <c r="D133" s="59">
        <f t="shared" si="9"/>
        <v>24400</v>
      </c>
      <c r="E133" s="71">
        <f t="shared" si="13"/>
        <v>0.9</v>
      </c>
      <c r="F133" s="15">
        <f t="shared" si="10"/>
        <v>180</v>
      </c>
      <c r="G133" s="59">
        <f t="shared" si="11"/>
        <v>122000</v>
      </c>
      <c r="H133" s="59">
        <f t="shared" si="12"/>
        <v>21960</v>
      </c>
    </row>
    <row r="134" spans="2:8" x14ac:dyDescent="0.3">
      <c r="B134" t="str">
        <f t="shared" si="9"/>
        <v>65 M</v>
      </c>
      <c r="C134" s="29">
        <f t="shared" si="9"/>
        <v>80</v>
      </c>
      <c r="D134" s="59">
        <f t="shared" si="9"/>
        <v>9280</v>
      </c>
      <c r="E134" s="71">
        <f t="shared" si="13"/>
        <v>0.9</v>
      </c>
      <c r="F134" s="15">
        <f t="shared" si="10"/>
        <v>72</v>
      </c>
      <c r="G134" s="59">
        <f t="shared" si="11"/>
        <v>116000</v>
      </c>
      <c r="H134" s="59">
        <f t="shared" si="12"/>
        <v>8352</v>
      </c>
    </row>
    <row r="135" spans="2:8" x14ac:dyDescent="0.3">
      <c r="B135" t="str">
        <f t="shared" si="9"/>
        <v>20 F</v>
      </c>
      <c r="C135" s="29">
        <f t="shared" si="9"/>
        <v>410</v>
      </c>
      <c r="D135" s="59">
        <f t="shared" si="9"/>
        <v>32390</v>
      </c>
      <c r="E135" s="71">
        <f>1-0.5</f>
        <v>0.5</v>
      </c>
      <c r="F135" s="15">
        <f t="shared" si="10"/>
        <v>205</v>
      </c>
      <c r="G135" s="59">
        <f t="shared" si="11"/>
        <v>79000</v>
      </c>
      <c r="H135" s="59">
        <f t="shared" si="12"/>
        <v>16195</v>
      </c>
    </row>
    <row r="136" spans="2:8" x14ac:dyDescent="0.3">
      <c r="B136" t="str">
        <f t="shared" si="9"/>
        <v>25 F</v>
      </c>
      <c r="C136" s="29">
        <f t="shared" si="9"/>
        <v>706</v>
      </c>
      <c r="D136" s="59">
        <f t="shared" si="9"/>
        <v>59304</v>
      </c>
      <c r="E136" s="71">
        <f>1-0.5</f>
        <v>0.5</v>
      </c>
      <c r="F136" s="15">
        <f t="shared" si="10"/>
        <v>353</v>
      </c>
      <c r="G136" s="59">
        <f t="shared" si="11"/>
        <v>84000</v>
      </c>
      <c r="H136" s="59">
        <f t="shared" si="12"/>
        <v>29652</v>
      </c>
    </row>
    <row r="137" spans="2:8" x14ac:dyDescent="0.3">
      <c r="B137" t="str">
        <f t="shared" si="9"/>
        <v>30 F</v>
      </c>
      <c r="C137" s="29">
        <f t="shared" si="9"/>
        <v>910</v>
      </c>
      <c r="D137" s="59">
        <f t="shared" si="9"/>
        <v>79170</v>
      </c>
      <c r="E137" s="71">
        <f>1-0.5</f>
        <v>0.5</v>
      </c>
      <c r="F137" s="15">
        <f t="shared" si="10"/>
        <v>455</v>
      </c>
      <c r="G137" s="59">
        <f t="shared" si="11"/>
        <v>87000</v>
      </c>
      <c r="H137" s="59">
        <f t="shared" si="12"/>
        <v>39585</v>
      </c>
    </row>
    <row r="138" spans="2:8" x14ac:dyDescent="0.3">
      <c r="B138" t="str">
        <f t="shared" si="9"/>
        <v>35 F</v>
      </c>
      <c r="C138" s="29">
        <f t="shared" si="9"/>
        <v>556</v>
      </c>
      <c r="D138" s="59">
        <f t="shared" si="9"/>
        <v>50040</v>
      </c>
      <c r="E138" s="71">
        <f>1-0.5</f>
        <v>0.5</v>
      </c>
      <c r="F138" s="15">
        <f t="shared" si="10"/>
        <v>278</v>
      </c>
      <c r="G138" s="59">
        <f t="shared" si="11"/>
        <v>90000</v>
      </c>
      <c r="H138" s="59">
        <f t="shared" si="12"/>
        <v>25020</v>
      </c>
    </row>
    <row r="139" spans="2:8" x14ac:dyDescent="0.3">
      <c r="B139" t="str">
        <f t="shared" si="9"/>
        <v>40 F</v>
      </c>
      <c r="C139" s="29">
        <f t="shared" si="9"/>
        <v>800</v>
      </c>
      <c r="D139" s="59">
        <f t="shared" si="9"/>
        <v>70400</v>
      </c>
      <c r="E139" s="71">
        <f t="shared" ref="E139:E144" si="14">1-0.1</f>
        <v>0.9</v>
      </c>
      <c r="F139" s="15">
        <f t="shared" si="10"/>
        <v>720</v>
      </c>
      <c r="G139" s="59">
        <f t="shared" si="11"/>
        <v>88000</v>
      </c>
      <c r="H139" s="59">
        <f t="shared" si="12"/>
        <v>63360</v>
      </c>
    </row>
    <row r="140" spans="2:8" x14ac:dyDescent="0.3">
      <c r="B140" t="str">
        <f t="shared" si="9"/>
        <v>45 F</v>
      </c>
      <c r="C140" s="29">
        <f t="shared" si="9"/>
        <v>520</v>
      </c>
      <c r="D140" s="59">
        <f t="shared" si="9"/>
        <v>54080</v>
      </c>
      <c r="E140" s="71">
        <f t="shared" si="14"/>
        <v>0.9</v>
      </c>
      <c r="F140" s="15">
        <f t="shared" si="10"/>
        <v>468</v>
      </c>
      <c r="G140" s="59">
        <f t="shared" si="11"/>
        <v>104000</v>
      </c>
      <c r="H140" s="59">
        <f t="shared" si="12"/>
        <v>48672</v>
      </c>
    </row>
    <row r="141" spans="2:8" x14ac:dyDescent="0.3">
      <c r="B141" t="str">
        <f t="shared" si="9"/>
        <v>50 F</v>
      </c>
      <c r="C141" s="29">
        <f t="shared" si="9"/>
        <v>310</v>
      </c>
      <c r="D141" s="59">
        <f t="shared" si="9"/>
        <v>33790</v>
      </c>
      <c r="E141" s="71">
        <f t="shared" si="14"/>
        <v>0.9</v>
      </c>
      <c r="F141" s="15">
        <f t="shared" si="10"/>
        <v>279</v>
      </c>
      <c r="G141" s="59">
        <f t="shared" si="11"/>
        <v>109000</v>
      </c>
      <c r="H141" s="59">
        <f t="shared" si="12"/>
        <v>30411</v>
      </c>
    </row>
    <row r="142" spans="2:8" x14ac:dyDescent="0.3">
      <c r="B142" t="str">
        <f t="shared" si="9"/>
        <v>55 F</v>
      </c>
      <c r="C142" s="29">
        <f t="shared" si="9"/>
        <v>180</v>
      </c>
      <c r="D142" s="59">
        <f t="shared" si="9"/>
        <v>18900</v>
      </c>
      <c r="E142" s="71">
        <f t="shared" si="14"/>
        <v>0.9</v>
      </c>
      <c r="F142" s="15">
        <f t="shared" si="10"/>
        <v>162</v>
      </c>
      <c r="G142" s="59">
        <f t="shared" si="11"/>
        <v>105000</v>
      </c>
      <c r="H142" s="59">
        <f t="shared" si="12"/>
        <v>17010</v>
      </c>
    </row>
    <row r="143" spans="2:8" x14ac:dyDescent="0.3">
      <c r="B143" t="str">
        <f t="shared" si="9"/>
        <v>60 F</v>
      </c>
      <c r="C143" s="29">
        <f t="shared" si="9"/>
        <v>60</v>
      </c>
      <c r="D143" s="59">
        <f t="shared" si="9"/>
        <v>7080</v>
      </c>
      <c r="E143" s="71">
        <f t="shared" si="14"/>
        <v>0.9</v>
      </c>
      <c r="F143" s="15">
        <f t="shared" si="10"/>
        <v>54</v>
      </c>
      <c r="G143" s="59">
        <f t="shared" si="11"/>
        <v>118000</v>
      </c>
      <c r="H143" s="59">
        <f t="shared" si="12"/>
        <v>6372</v>
      </c>
    </row>
    <row r="144" spans="2:8" x14ac:dyDescent="0.3">
      <c r="B144" t="str">
        <f t="shared" si="9"/>
        <v>65 F</v>
      </c>
      <c r="C144" s="29">
        <f t="shared" si="9"/>
        <v>20</v>
      </c>
      <c r="D144" s="59">
        <f t="shared" si="9"/>
        <v>2320</v>
      </c>
      <c r="E144" s="71">
        <f t="shared" si="14"/>
        <v>0.9</v>
      </c>
      <c r="F144" s="15">
        <f t="shared" si="10"/>
        <v>18</v>
      </c>
      <c r="G144" s="59">
        <f t="shared" si="11"/>
        <v>116000</v>
      </c>
      <c r="H144" s="59">
        <f t="shared" si="12"/>
        <v>2088</v>
      </c>
    </row>
    <row r="145" spans="2:13" x14ac:dyDescent="0.3">
      <c r="C145" s="3"/>
      <c r="D145" s="40"/>
      <c r="F145" s="64"/>
      <c r="I145" s="3"/>
      <c r="J145" s="63"/>
      <c r="M145" s="62"/>
    </row>
    <row r="146" spans="2:13" x14ac:dyDescent="0.3">
      <c r="B146" t="s">
        <v>53</v>
      </c>
      <c r="C146" s="29">
        <f>SUM(C125:C144)</f>
        <v>8948</v>
      </c>
      <c r="D146" s="29"/>
      <c r="E146" s="15"/>
      <c r="F146" s="29">
        <f>SUM(F125:F144)</f>
        <v>6038</v>
      </c>
      <c r="I146" s="3"/>
      <c r="J146" s="63"/>
      <c r="M146" s="62"/>
    </row>
    <row r="147" spans="2:13" x14ac:dyDescent="0.3">
      <c r="C147" s="3"/>
      <c r="D147" s="3"/>
      <c r="F147" s="64" t="s">
        <v>560</v>
      </c>
      <c r="G147" s="32">
        <f>F146/C146</f>
        <v>0.67478766204738494</v>
      </c>
      <c r="I147" s="3"/>
      <c r="J147" t="s">
        <v>569</v>
      </c>
      <c r="M147" s="62"/>
    </row>
    <row r="148" spans="2:13" x14ac:dyDescent="0.3">
      <c r="C148" s="3"/>
      <c r="D148" s="3"/>
      <c r="F148" s="64"/>
      <c r="G148" s="32"/>
      <c r="I148" s="3"/>
      <c r="J148" s="63"/>
      <c r="M148" s="62"/>
    </row>
    <row r="149" spans="2:13" x14ac:dyDescent="0.3">
      <c r="F149" s="19" t="s">
        <v>407</v>
      </c>
      <c r="G149" s="18"/>
      <c r="J149" s="24" t="s">
        <v>75</v>
      </c>
    </row>
    <row r="150" spans="2:13" x14ac:dyDescent="0.3">
      <c r="C150" s="15" t="s">
        <v>419</v>
      </c>
      <c r="D150" s="15" t="s">
        <v>543</v>
      </c>
      <c r="E150" s="3"/>
      <c r="F150" s="15" t="s">
        <v>566</v>
      </c>
      <c r="G150" s="15" t="s">
        <v>136</v>
      </c>
    </row>
    <row r="151" spans="2:13" x14ac:dyDescent="0.3">
      <c r="B151" t="s">
        <v>251</v>
      </c>
      <c r="C151" s="15" t="s">
        <v>568</v>
      </c>
      <c r="D151" s="15" t="s">
        <v>541</v>
      </c>
      <c r="F151" s="68" t="s">
        <v>564</v>
      </c>
      <c r="G151" s="68" t="s">
        <v>236</v>
      </c>
      <c r="J151" t="s">
        <v>567</v>
      </c>
    </row>
    <row r="152" spans="2:13" x14ac:dyDescent="0.3">
      <c r="B152" t="str">
        <f t="shared" ref="B152:B171" si="15">B125</f>
        <v>20 M</v>
      </c>
      <c r="C152" s="15">
        <f t="shared" ref="C152:C171" si="16">F125</f>
        <v>251</v>
      </c>
      <c r="D152" s="59">
        <f t="shared" ref="D152:D171" si="17">H125</f>
        <v>21084</v>
      </c>
      <c r="F152" s="66">
        <f t="shared" ref="F152:F171" si="18">F59</f>
        <v>6.9953371296525541E-2</v>
      </c>
      <c r="G152" s="58">
        <f t="shared" ref="G152:G171" si="19">F152*D152</f>
        <v>1474.8968804159445</v>
      </c>
    </row>
    <row r="153" spans="2:13" x14ac:dyDescent="0.3">
      <c r="B153" t="str">
        <f t="shared" si="15"/>
        <v>25 M</v>
      </c>
      <c r="C153" s="15">
        <f t="shared" si="16"/>
        <v>205</v>
      </c>
      <c r="D153" s="59">
        <f t="shared" si="17"/>
        <v>17425</v>
      </c>
      <c r="F153" s="66">
        <f t="shared" si="18"/>
        <v>6.6027185259807566E-2</v>
      </c>
      <c r="G153" s="58">
        <f t="shared" si="19"/>
        <v>1150.5237031521469</v>
      </c>
    </row>
    <row r="154" spans="2:13" x14ac:dyDescent="0.3">
      <c r="B154" t="str">
        <f t="shared" si="15"/>
        <v>30 M</v>
      </c>
      <c r="C154" s="15">
        <f t="shared" si="16"/>
        <v>400</v>
      </c>
      <c r="D154" s="59">
        <f t="shared" si="17"/>
        <v>36800</v>
      </c>
      <c r="F154" s="66">
        <f t="shared" si="18"/>
        <v>6.1760068241741198E-2</v>
      </c>
      <c r="G154" s="58">
        <f t="shared" si="19"/>
        <v>2272.7705112960762</v>
      </c>
    </row>
    <row r="155" spans="2:13" x14ac:dyDescent="0.3">
      <c r="B155" t="str">
        <f t="shared" si="15"/>
        <v>35 M</v>
      </c>
      <c r="C155" s="15">
        <f t="shared" si="16"/>
        <v>372</v>
      </c>
      <c r="D155" s="59">
        <f t="shared" si="17"/>
        <v>31992</v>
      </c>
      <c r="F155" s="66">
        <f t="shared" si="18"/>
        <v>0.12170598125551431</v>
      </c>
      <c r="G155" s="58">
        <f t="shared" si="19"/>
        <v>3893.6177523264137</v>
      </c>
    </row>
    <row r="156" spans="2:13" x14ac:dyDescent="0.3">
      <c r="B156" t="str">
        <f t="shared" si="15"/>
        <v>40 M</v>
      </c>
      <c r="C156" s="15">
        <f t="shared" si="16"/>
        <v>531</v>
      </c>
      <c r="D156" s="59">
        <f t="shared" si="17"/>
        <v>49383</v>
      </c>
      <c r="F156" s="66">
        <f t="shared" si="18"/>
        <v>0.19074872014013597</v>
      </c>
      <c r="G156" s="58">
        <f t="shared" si="19"/>
        <v>9419.7440466803346</v>
      </c>
    </row>
    <row r="157" spans="2:13" x14ac:dyDescent="0.3">
      <c r="B157" t="str">
        <f t="shared" si="15"/>
        <v>45 M</v>
      </c>
      <c r="C157" s="15">
        <f t="shared" si="16"/>
        <v>486</v>
      </c>
      <c r="D157" s="59">
        <f t="shared" si="17"/>
        <v>45198</v>
      </c>
      <c r="F157" s="66">
        <f t="shared" si="18"/>
        <v>0.20616594610687664</v>
      </c>
      <c r="G157" s="58">
        <f t="shared" si="19"/>
        <v>9318.28843213861</v>
      </c>
    </row>
    <row r="158" spans="2:13" x14ac:dyDescent="0.3">
      <c r="B158" t="str">
        <f t="shared" si="15"/>
        <v>50 M</v>
      </c>
      <c r="C158" s="15">
        <f t="shared" si="16"/>
        <v>333</v>
      </c>
      <c r="D158" s="59">
        <f t="shared" si="17"/>
        <v>37629</v>
      </c>
      <c r="F158" s="66">
        <f t="shared" si="18"/>
        <v>0.37877078450952711</v>
      </c>
      <c r="G158" s="58">
        <f t="shared" si="19"/>
        <v>14252.765850308995</v>
      </c>
    </row>
    <row r="159" spans="2:13" x14ac:dyDescent="0.3">
      <c r="B159" t="str">
        <f t="shared" si="15"/>
        <v>55 M</v>
      </c>
      <c r="C159" s="15">
        <f t="shared" si="16"/>
        <v>216</v>
      </c>
      <c r="D159" s="59">
        <f t="shared" si="17"/>
        <v>22464</v>
      </c>
      <c r="F159" s="66">
        <f t="shared" si="18"/>
        <v>0.68488054330474313</v>
      </c>
      <c r="G159" s="58">
        <f t="shared" si="19"/>
        <v>15385.156524797749</v>
      </c>
    </row>
    <row r="160" spans="2:13" x14ac:dyDescent="0.3">
      <c r="B160" t="str">
        <f t="shared" si="15"/>
        <v>60 M</v>
      </c>
      <c r="C160" s="15">
        <f t="shared" si="16"/>
        <v>180</v>
      </c>
      <c r="D160" s="59">
        <f t="shared" si="17"/>
        <v>21960</v>
      </c>
      <c r="F160" s="66">
        <f t="shared" si="18"/>
        <v>0.74019557347617504</v>
      </c>
      <c r="G160" s="58">
        <f t="shared" si="19"/>
        <v>16254.694793536804</v>
      </c>
    </row>
    <row r="161" spans="2:14" x14ac:dyDescent="0.3">
      <c r="B161" t="str">
        <f t="shared" si="15"/>
        <v>65 M</v>
      </c>
      <c r="C161" s="15">
        <f t="shared" si="16"/>
        <v>72</v>
      </c>
      <c r="D161" s="59">
        <f t="shared" si="17"/>
        <v>8352</v>
      </c>
      <c r="F161" s="66">
        <f t="shared" si="18"/>
        <v>1.3689033861447655</v>
      </c>
      <c r="G161" s="58">
        <f t="shared" si="19"/>
        <v>11433.081081081082</v>
      </c>
    </row>
    <row r="162" spans="2:14" x14ac:dyDescent="0.3">
      <c r="B162" t="str">
        <f t="shared" si="15"/>
        <v>20 F</v>
      </c>
      <c r="C162" s="15">
        <f t="shared" si="16"/>
        <v>205</v>
      </c>
      <c r="D162" s="59">
        <f t="shared" si="17"/>
        <v>16195</v>
      </c>
      <c r="F162" s="66">
        <f t="shared" si="18"/>
        <v>4.2450563383161902E-2</v>
      </c>
      <c r="G162" s="58">
        <f t="shared" si="19"/>
        <v>687.486873990307</v>
      </c>
    </row>
    <row r="163" spans="2:14" x14ac:dyDescent="0.3">
      <c r="B163" t="str">
        <f t="shared" si="15"/>
        <v>25 F</v>
      </c>
      <c r="C163" s="15">
        <f t="shared" si="16"/>
        <v>353</v>
      </c>
      <c r="D163" s="59">
        <f t="shared" si="17"/>
        <v>29652</v>
      </c>
      <c r="F163" s="66">
        <f t="shared" si="18"/>
        <v>5.5128047278995319E-2</v>
      </c>
      <c r="G163" s="58">
        <f t="shared" si="19"/>
        <v>1634.6568579167692</v>
      </c>
    </row>
    <row r="164" spans="2:14" x14ac:dyDescent="0.3">
      <c r="B164" t="str">
        <f t="shared" si="15"/>
        <v>30 F</v>
      </c>
      <c r="C164" s="15">
        <f t="shared" si="16"/>
        <v>455</v>
      </c>
      <c r="D164" s="59">
        <f t="shared" si="17"/>
        <v>39585</v>
      </c>
      <c r="F164" s="66">
        <f t="shared" si="18"/>
        <v>8.4754724087231753E-2</v>
      </c>
      <c r="G164" s="58">
        <f t="shared" si="19"/>
        <v>3355.0157529930689</v>
      </c>
    </row>
    <row r="165" spans="2:14" x14ac:dyDescent="0.3">
      <c r="B165" t="str">
        <f t="shared" si="15"/>
        <v>35 F</v>
      </c>
      <c r="C165" s="15">
        <f t="shared" si="16"/>
        <v>278</v>
      </c>
      <c r="D165" s="59">
        <f t="shared" si="17"/>
        <v>25020</v>
      </c>
      <c r="F165" s="66">
        <f t="shared" si="18"/>
        <v>8.5537595585920861E-2</v>
      </c>
      <c r="G165" s="58">
        <f t="shared" si="19"/>
        <v>2140.1506415597401</v>
      </c>
    </row>
    <row r="166" spans="2:14" x14ac:dyDescent="0.3">
      <c r="B166" t="str">
        <f t="shared" si="15"/>
        <v>40 F</v>
      </c>
      <c r="C166" s="15">
        <f t="shared" si="16"/>
        <v>720</v>
      </c>
      <c r="D166" s="59">
        <f t="shared" si="17"/>
        <v>63360</v>
      </c>
      <c r="F166" s="66">
        <f t="shared" si="18"/>
        <v>8.6986610375288237E-2</v>
      </c>
      <c r="G166" s="58">
        <f t="shared" si="19"/>
        <v>5511.4716333782626</v>
      </c>
    </row>
    <row r="167" spans="2:14" x14ac:dyDescent="0.3">
      <c r="B167" t="str">
        <f t="shared" si="15"/>
        <v>45 F</v>
      </c>
      <c r="C167" s="15">
        <f t="shared" si="16"/>
        <v>468</v>
      </c>
      <c r="D167" s="59">
        <f t="shared" si="17"/>
        <v>48672</v>
      </c>
      <c r="F167" s="66">
        <f t="shared" si="18"/>
        <v>0.16486374922799632</v>
      </c>
      <c r="G167" s="58">
        <f t="shared" si="19"/>
        <v>8024.2484024250371</v>
      </c>
    </row>
    <row r="168" spans="2:14" x14ac:dyDescent="0.3">
      <c r="B168" t="str">
        <f t="shared" si="15"/>
        <v>50 F</v>
      </c>
      <c r="C168" s="15">
        <f t="shared" si="16"/>
        <v>279</v>
      </c>
      <c r="D168" s="59">
        <f t="shared" si="17"/>
        <v>30411</v>
      </c>
      <c r="F168" s="66">
        <f t="shared" si="18"/>
        <v>0.18136436480593232</v>
      </c>
      <c r="G168" s="58">
        <f t="shared" si="19"/>
        <v>5515.4716981132078</v>
      </c>
    </row>
    <row r="169" spans="2:14" x14ac:dyDescent="0.3">
      <c r="B169" t="str">
        <f t="shared" si="15"/>
        <v>55 F</v>
      </c>
      <c r="C169" s="15">
        <f t="shared" si="16"/>
        <v>162</v>
      </c>
      <c r="D169" s="59">
        <f t="shared" si="17"/>
        <v>17010</v>
      </c>
      <c r="F169" s="66">
        <f t="shared" si="18"/>
        <v>0.34882177379838747</v>
      </c>
      <c r="G169" s="58">
        <f t="shared" si="19"/>
        <v>5933.4583723105707</v>
      </c>
    </row>
    <row r="170" spans="2:14" x14ac:dyDescent="0.3">
      <c r="B170" t="str">
        <f t="shared" si="15"/>
        <v>60 F</v>
      </c>
      <c r="C170" s="15">
        <f t="shared" si="16"/>
        <v>54</v>
      </c>
      <c r="D170" s="59">
        <f t="shared" si="17"/>
        <v>6372</v>
      </c>
      <c r="F170" s="66">
        <f t="shared" si="18"/>
        <v>0.47031754651727786</v>
      </c>
      <c r="G170" s="58">
        <f t="shared" si="19"/>
        <v>2996.8634064080948</v>
      </c>
    </row>
    <row r="171" spans="2:14" x14ac:dyDescent="0.3">
      <c r="B171" t="str">
        <f t="shared" si="15"/>
        <v>65 F</v>
      </c>
      <c r="C171" s="15">
        <f t="shared" si="16"/>
        <v>18</v>
      </c>
      <c r="D171" s="59">
        <f t="shared" si="17"/>
        <v>2088</v>
      </c>
      <c r="F171" s="66">
        <f t="shared" si="18"/>
        <v>0.96307849364791287</v>
      </c>
      <c r="G171" s="58">
        <f t="shared" si="19"/>
        <v>2010.9078947368421</v>
      </c>
    </row>
    <row r="172" spans="2:14" ht="15" thickBot="1" x14ac:dyDescent="0.35">
      <c r="F172" s="15"/>
      <c r="G172" s="58"/>
    </row>
    <row r="173" spans="2:14" ht="15" thickBot="1" x14ac:dyDescent="0.35">
      <c r="B173" t="s">
        <v>53</v>
      </c>
      <c r="F173" s="15"/>
      <c r="G173" s="79">
        <f>SUM(G152:G171)</f>
        <v>122665.27110956603</v>
      </c>
    </row>
    <row r="174" spans="2:14" x14ac:dyDescent="0.3">
      <c r="G174" s="3"/>
      <c r="M174" s="3"/>
      <c r="N174" s="3"/>
    </row>
    <row r="175" spans="2:14" x14ac:dyDescent="0.3">
      <c r="B175" s="19" t="s">
        <v>138</v>
      </c>
      <c r="C175" s="18"/>
      <c r="D175" s="18"/>
      <c r="E175" s="18"/>
      <c r="F175" s="18"/>
      <c r="G175" s="18"/>
      <c r="M175" s="3"/>
      <c r="N175" s="3"/>
    </row>
    <row r="176" spans="2:14" x14ac:dyDescent="0.3">
      <c r="E176" s="13" t="s">
        <v>566</v>
      </c>
      <c r="F176" s="13" t="s">
        <v>565</v>
      </c>
      <c r="G176" s="13" t="s">
        <v>136</v>
      </c>
      <c r="M176" s="3"/>
      <c r="N176" s="3"/>
    </row>
    <row r="177" spans="2:14" x14ac:dyDescent="0.3">
      <c r="C177" s="66" t="s">
        <v>201</v>
      </c>
      <c r="D177" s="13" t="s">
        <v>251</v>
      </c>
      <c r="E177" s="72" t="s">
        <v>564</v>
      </c>
      <c r="F177" s="72" t="s">
        <v>564</v>
      </c>
      <c r="G177" s="72" t="s">
        <v>236</v>
      </c>
      <c r="M177" s="3"/>
      <c r="N177" s="3"/>
    </row>
    <row r="178" spans="2:14" x14ac:dyDescent="0.3">
      <c r="B178" t="s">
        <v>563</v>
      </c>
      <c r="C178" s="66">
        <f>G41</f>
        <v>1.02</v>
      </c>
      <c r="D178" s="13" t="s">
        <v>540</v>
      </c>
      <c r="E178" s="73">
        <f t="shared" ref="E178:E197" si="20">E85</f>
        <v>0.06</v>
      </c>
      <c r="F178" s="73">
        <f t="shared" ref="F178:F197" si="21">E178*$C$183</f>
        <v>6.7422326399999996E-2</v>
      </c>
      <c r="G178" s="50">
        <f>F178*D152</f>
        <v>1421.5323298175999</v>
      </c>
      <c r="J178" t="s">
        <v>562</v>
      </c>
      <c r="M178" s="3"/>
      <c r="N178" s="3"/>
    </row>
    <row r="179" spans="2:14" x14ac:dyDescent="0.3">
      <c r="B179" t="s">
        <v>370</v>
      </c>
      <c r="C179" s="66">
        <f>M39</f>
        <v>1.04</v>
      </c>
      <c r="D179" s="13" t="s">
        <v>539</v>
      </c>
      <c r="E179" s="73">
        <f t="shared" si="20"/>
        <v>0.06</v>
      </c>
      <c r="F179" s="73">
        <f t="shared" si="21"/>
        <v>6.7422326399999996E-2</v>
      </c>
      <c r="G179" s="50">
        <f t="shared" ref="G179:G197" si="22">F179*D153</f>
        <v>1174.83403752</v>
      </c>
      <c r="J179" t="s">
        <v>561</v>
      </c>
      <c r="M179" s="3"/>
      <c r="N179" s="3"/>
    </row>
    <row r="180" spans="2:14" x14ac:dyDescent="0.3">
      <c r="B180" t="s">
        <v>560</v>
      </c>
      <c r="C180" s="66">
        <f>P40</f>
        <v>1.07</v>
      </c>
      <c r="D180" s="13" t="s">
        <v>538</v>
      </c>
      <c r="E180" s="73">
        <f t="shared" si="20"/>
        <v>0.06</v>
      </c>
      <c r="F180" s="73">
        <f t="shared" si="21"/>
        <v>6.7422326399999996E-2</v>
      </c>
      <c r="G180" s="50">
        <f t="shared" si="22"/>
        <v>2481.14161152</v>
      </c>
      <c r="M180" s="3"/>
      <c r="N180" s="3"/>
    </row>
    <row r="181" spans="2:14" x14ac:dyDescent="0.3">
      <c r="B181" t="s">
        <v>559</v>
      </c>
      <c r="C181" s="66">
        <f>S42</f>
        <v>0.99</v>
      </c>
      <c r="D181" s="13" t="s">
        <v>537</v>
      </c>
      <c r="E181" s="73">
        <f t="shared" si="20"/>
        <v>0.12</v>
      </c>
      <c r="F181" s="73">
        <f t="shared" si="21"/>
        <v>0.13484465279999999</v>
      </c>
      <c r="G181" s="50">
        <f t="shared" si="22"/>
        <v>4313.9501323775994</v>
      </c>
      <c r="M181" s="3"/>
      <c r="N181" s="3"/>
    </row>
    <row r="182" spans="2:14" x14ac:dyDescent="0.3">
      <c r="C182" s="66"/>
      <c r="D182" s="13" t="s">
        <v>536</v>
      </c>
      <c r="E182" s="73">
        <f t="shared" si="20"/>
        <v>0.16</v>
      </c>
      <c r="F182" s="73">
        <f t="shared" si="21"/>
        <v>0.1797928704</v>
      </c>
      <c r="G182" s="50">
        <f t="shared" si="22"/>
        <v>8878.7113189632</v>
      </c>
      <c r="M182" s="3"/>
      <c r="N182" s="3"/>
    </row>
    <row r="183" spans="2:14" x14ac:dyDescent="0.3">
      <c r="B183" t="s">
        <v>53</v>
      </c>
      <c r="C183" s="66">
        <f>PRODUCT(C178:C181)</f>
        <v>1.1237054399999999</v>
      </c>
      <c r="D183" s="13" t="s">
        <v>535</v>
      </c>
      <c r="E183" s="73">
        <f t="shared" si="20"/>
        <v>0.22</v>
      </c>
      <c r="F183" s="73">
        <f t="shared" si="21"/>
        <v>0.24721519679999998</v>
      </c>
      <c r="G183" s="50">
        <f t="shared" si="22"/>
        <v>11173.632464966398</v>
      </c>
      <c r="M183" s="3"/>
      <c r="N183" s="3"/>
    </row>
    <row r="184" spans="2:14" x14ac:dyDescent="0.3">
      <c r="D184" s="13" t="s">
        <v>534</v>
      </c>
      <c r="E184" s="73">
        <f t="shared" si="20"/>
        <v>0.34</v>
      </c>
      <c r="F184" s="73">
        <f t="shared" si="21"/>
        <v>0.3820598496</v>
      </c>
      <c r="G184" s="50">
        <f t="shared" si="22"/>
        <v>14376.530080598401</v>
      </c>
      <c r="M184" s="3"/>
      <c r="N184" s="3"/>
    </row>
    <row r="185" spans="2:14" x14ac:dyDescent="0.3">
      <c r="D185" s="13" t="s">
        <v>533</v>
      </c>
      <c r="E185" s="73">
        <f t="shared" si="20"/>
        <v>0.64</v>
      </c>
      <c r="F185" s="73">
        <f t="shared" si="21"/>
        <v>0.7191714816</v>
      </c>
      <c r="G185" s="50">
        <f t="shared" si="22"/>
        <v>16155.468162662401</v>
      </c>
      <c r="M185" s="3"/>
      <c r="N185" s="3"/>
    </row>
    <row r="186" spans="2:14" x14ac:dyDescent="0.3">
      <c r="D186" s="13" t="s">
        <v>532</v>
      </c>
      <c r="E186" s="73">
        <f t="shared" si="20"/>
        <v>0.77</v>
      </c>
      <c r="F186" s="73">
        <f t="shared" si="21"/>
        <v>0.86525318880000002</v>
      </c>
      <c r="G186" s="50">
        <f t="shared" si="22"/>
        <v>19000.960026048</v>
      </c>
      <c r="M186" s="3"/>
      <c r="N186" s="3"/>
    </row>
    <row r="187" spans="2:14" x14ac:dyDescent="0.3">
      <c r="D187" s="13" t="s">
        <v>531</v>
      </c>
      <c r="E187" s="73">
        <f t="shared" si="20"/>
        <v>1.24</v>
      </c>
      <c r="F187" s="73">
        <f t="shared" si="21"/>
        <v>1.3933947456</v>
      </c>
      <c r="G187" s="50">
        <f t="shared" si="22"/>
        <v>11637.632915251201</v>
      </c>
      <c r="M187" s="3"/>
      <c r="N187" s="3"/>
    </row>
    <row r="188" spans="2:14" x14ac:dyDescent="0.3">
      <c r="D188" s="13" t="s">
        <v>530</v>
      </c>
      <c r="E188" s="73">
        <f t="shared" si="20"/>
        <v>0.04</v>
      </c>
      <c r="F188" s="73">
        <f t="shared" si="21"/>
        <v>4.49482176E-2</v>
      </c>
      <c r="G188" s="50">
        <f t="shared" si="22"/>
        <v>727.93638403199998</v>
      </c>
      <c r="M188" s="3"/>
      <c r="N188" s="3"/>
    </row>
    <row r="189" spans="2:14" x14ac:dyDescent="0.3">
      <c r="D189" s="13" t="s">
        <v>529</v>
      </c>
      <c r="E189" s="73">
        <f t="shared" si="20"/>
        <v>0.05</v>
      </c>
      <c r="F189" s="73">
        <f t="shared" si="21"/>
        <v>5.6185272000000001E-2</v>
      </c>
      <c r="G189" s="50">
        <f t="shared" si="22"/>
        <v>1666.0056853440001</v>
      </c>
      <c r="M189" s="3"/>
      <c r="N189" s="3"/>
    </row>
    <row r="190" spans="2:14" x14ac:dyDescent="0.3">
      <c r="D190" s="13" t="s">
        <v>528</v>
      </c>
      <c r="E190" s="73">
        <f t="shared" si="20"/>
        <v>0.08</v>
      </c>
      <c r="F190" s="73">
        <f t="shared" si="21"/>
        <v>8.9896435199999999E-2</v>
      </c>
      <c r="G190" s="50">
        <f t="shared" si="22"/>
        <v>3558.5503873920002</v>
      </c>
      <c r="M190" s="3"/>
      <c r="N190" s="3"/>
    </row>
    <row r="191" spans="2:14" x14ac:dyDescent="0.3">
      <c r="D191" s="13" t="s">
        <v>527</v>
      </c>
      <c r="E191" s="73">
        <f t="shared" si="20"/>
        <v>0.08</v>
      </c>
      <c r="F191" s="73">
        <f t="shared" si="21"/>
        <v>8.9896435199999999E-2</v>
      </c>
      <c r="G191" s="50">
        <f t="shared" si="22"/>
        <v>2249.2088087040001</v>
      </c>
      <c r="M191" s="3"/>
      <c r="N191" s="3"/>
    </row>
    <row r="192" spans="2:14" x14ac:dyDescent="0.3">
      <c r="D192" s="13" t="s">
        <v>526</v>
      </c>
      <c r="E192" s="73">
        <f t="shared" si="20"/>
        <v>0.08</v>
      </c>
      <c r="F192" s="73">
        <f t="shared" si="21"/>
        <v>8.9896435199999999E-2</v>
      </c>
      <c r="G192" s="50">
        <f t="shared" si="22"/>
        <v>5695.8381342720004</v>
      </c>
      <c r="M192" s="3"/>
      <c r="N192" s="3"/>
    </row>
    <row r="193" spans="2:14" x14ac:dyDescent="0.3">
      <c r="D193" s="13" t="s">
        <v>525</v>
      </c>
      <c r="E193" s="73">
        <f t="shared" si="20"/>
        <v>0.15</v>
      </c>
      <c r="F193" s="73">
        <f t="shared" si="21"/>
        <v>0.168555816</v>
      </c>
      <c r="G193" s="50">
        <f t="shared" si="22"/>
        <v>8203.9486763519999</v>
      </c>
      <c r="M193" s="3"/>
      <c r="N193" s="3"/>
    </row>
    <row r="194" spans="2:14" x14ac:dyDescent="0.3">
      <c r="D194" s="13" t="s">
        <v>524</v>
      </c>
      <c r="E194" s="73">
        <f t="shared" si="20"/>
        <v>0.18</v>
      </c>
      <c r="F194" s="73">
        <f t="shared" si="21"/>
        <v>0.20226697919999997</v>
      </c>
      <c r="G194" s="50">
        <f t="shared" si="22"/>
        <v>6151.1411044511988</v>
      </c>
      <c r="M194" s="3"/>
      <c r="N194" s="3"/>
    </row>
    <row r="195" spans="2:14" x14ac:dyDescent="0.3">
      <c r="D195" s="13" t="s">
        <v>523</v>
      </c>
      <c r="E195" s="73">
        <f t="shared" si="20"/>
        <v>0.28999999999999998</v>
      </c>
      <c r="F195" s="73">
        <f t="shared" si="21"/>
        <v>0.32587457759999994</v>
      </c>
      <c r="G195" s="50">
        <f t="shared" si="22"/>
        <v>5543.1265649759989</v>
      </c>
      <c r="M195" s="3"/>
      <c r="N195" s="3"/>
    </row>
    <row r="196" spans="2:14" x14ac:dyDescent="0.3">
      <c r="D196" s="13" t="s">
        <v>522</v>
      </c>
      <c r="E196" s="73">
        <f t="shared" si="20"/>
        <v>0.45</v>
      </c>
      <c r="F196" s="73">
        <f t="shared" si="21"/>
        <v>0.50566744799999996</v>
      </c>
      <c r="G196" s="50">
        <f t="shared" si="22"/>
        <v>3222.112978656</v>
      </c>
      <c r="M196" s="3"/>
      <c r="N196" s="3"/>
    </row>
    <row r="197" spans="2:14" x14ac:dyDescent="0.3">
      <c r="D197" s="13" t="s">
        <v>521</v>
      </c>
      <c r="E197" s="73">
        <f t="shared" si="20"/>
        <v>0.78</v>
      </c>
      <c r="F197" s="73">
        <f t="shared" si="21"/>
        <v>0.87649024320000002</v>
      </c>
      <c r="G197" s="50">
        <f t="shared" si="22"/>
        <v>1830.1116278016</v>
      </c>
      <c r="M197" s="3"/>
      <c r="N197" s="3"/>
    </row>
    <row r="198" spans="2:14" ht="15" thickBot="1" x14ac:dyDescent="0.35">
      <c r="E198" s="13"/>
      <c r="F198" s="13"/>
      <c r="G198" s="50"/>
      <c r="M198" s="3"/>
      <c r="N198" s="3"/>
    </row>
    <row r="199" spans="2:14" ht="15" thickBot="1" x14ac:dyDescent="0.35">
      <c r="E199" s="13"/>
      <c r="F199" s="49"/>
      <c r="G199" s="77">
        <f>SUM(G178:G197)</f>
        <v>129462.37343170561</v>
      </c>
      <c r="M199" s="3"/>
      <c r="N199" s="3"/>
    </row>
    <row r="200" spans="2:14" x14ac:dyDescent="0.3">
      <c r="G200" s="3"/>
      <c r="M200" s="3"/>
      <c r="N200" s="3"/>
    </row>
    <row r="201" spans="2:14" x14ac:dyDescent="0.3">
      <c r="B201" s="13" t="s">
        <v>558</v>
      </c>
      <c r="C201" s="3"/>
      <c r="D201" s="15" t="s">
        <v>144</v>
      </c>
    </row>
    <row r="202" spans="2:14" x14ac:dyDescent="0.3">
      <c r="B202" s="13" t="s">
        <v>407</v>
      </c>
      <c r="C202" s="39">
        <f>G173</f>
        <v>122665.27110956603</v>
      </c>
      <c r="D202" s="48">
        <v>0.15</v>
      </c>
    </row>
    <row r="203" spans="2:14" x14ac:dyDescent="0.3">
      <c r="B203" s="13" t="s">
        <v>138</v>
      </c>
      <c r="C203" s="39">
        <f>G199</f>
        <v>129462.37343170561</v>
      </c>
      <c r="D203" s="48">
        <v>0.85</v>
      </c>
    </row>
    <row r="204" spans="2:14" x14ac:dyDescent="0.3">
      <c r="B204" s="13" t="s">
        <v>557</v>
      </c>
      <c r="C204" s="39">
        <f>C202*D202+C203*D203</f>
        <v>128442.80808338466</v>
      </c>
    </row>
    <row r="205" spans="2:14" x14ac:dyDescent="0.3">
      <c r="B205" s="13"/>
      <c r="C205" s="3"/>
    </row>
    <row r="206" spans="2:14" x14ac:dyDescent="0.3">
      <c r="B206" s="13" t="s">
        <v>556</v>
      </c>
      <c r="C206" s="39">
        <f>C204/(1-0.2-0.05)*0.2</f>
        <v>34251.415488902581</v>
      </c>
    </row>
    <row r="207" spans="2:14" x14ac:dyDescent="0.3">
      <c r="B207" s="13" t="s">
        <v>555</v>
      </c>
      <c r="C207" s="39">
        <f>C204/(1-0.2-0.05)*0.05</f>
        <v>8562.8538722256453</v>
      </c>
    </row>
    <row r="208" spans="2:14" x14ac:dyDescent="0.3">
      <c r="B208" s="13"/>
      <c r="C208" s="39"/>
    </row>
    <row r="209" spans="2:10" x14ac:dyDescent="0.3">
      <c r="B209" s="13" t="s">
        <v>554</v>
      </c>
      <c r="C209" s="39">
        <f>C204+C206+C207</f>
        <v>171257.07744451289</v>
      </c>
      <c r="J209" t="s">
        <v>553</v>
      </c>
    </row>
    <row r="210" spans="2:10" x14ac:dyDescent="0.3">
      <c r="B210" s="13" t="s">
        <v>552</v>
      </c>
      <c r="C210" s="39">
        <f>C209/F146</f>
        <v>28.363212561197894</v>
      </c>
    </row>
    <row r="211" spans="2:10" x14ac:dyDescent="0.3">
      <c r="C211" s="39"/>
    </row>
    <row r="212" spans="2:10" x14ac:dyDescent="0.3">
      <c r="B212" s="13" t="s">
        <v>551</v>
      </c>
      <c r="C212" s="39">
        <f>C116/C80</f>
        <v>22.254925722514241</v>
      </c>
    </row>
    <row r="213" spans="2:10" x14ac:dyDescent="0.3">
      <c r="B213" s="13" t="s">
        <v>550</v>
      </c>
      <c r="C213" s="39">
        <f>C212*F146</f>
        <v>134375.24151254099</v>
      </c>
      <c r="J213" t="s">
        <v>549</v>
      </c>
    </row>
    <row r="214" spans="2:10" ht="15" thickBot="1" x14ac:dyDescent="0.35">
      <c r="C214" s="39"/>
    </row>
    <row r="215" spans="2:10" ht="15" thickBot="1" x14ac:dyDescent="0.35">
      <c r="B215" s="13" t="s">
        <v>548</v>
      </c>
      <c r="C215" s="41">
        <f>C213-C209</f>
        <v>-36881.835931971902</v>
      </c>
      <c r="J215" t="s">
        <v>547</v>
      </c>
    </row>
    <row r="216" spans="2:10" x14ac:dyDescent="0.3">
      <c r="J216" t="s">
        <v>546</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A98CC-C36B-4E60-857D-FFE4364E6EA0}">
  <sheetPr>
    <tabColor theme="5" tint="0.39997558519241921"/>
  </sheetPr>
  <dimension ref="A1:Q41"/>
  <sheetViews>
    <sheetView zoomScaleNormal="100" workbookViewId="0"/>
  </sheetViews>
  <sheetFormatPr defaultRowHeight="14.4" x14ac:dyDescent="0.3"/>
  <cols>
    <col min="2" max="2" width="28.6640625" customWidth="1"/>
    <col min="3" max="9" width="18" customWidth="1"/>
    <col min="10" max="15" width="12.6640625" customWidth="1"/>
    <col min="16" max="17" width="18" customWidth="1"/>
    <col min="18" max="18" width="12.6640625" customWidth="1"/>
    <col min="19" max="19" width="18" customWidth="1"/>
    <col min="20" max="21" width="12.6640625" customWidth="1"/>
    <col min="23" max="28" width="12.6640625" customWidth="1"/>
    <col min="30" max="31" width="12.6640625" customWidth="1"/>
  </cols>
  <sheetData>
    <row r="1" spans="1:17" x14ac:dyDescent="0.3">
      <c r="A1" s="89" t="s">
        <v>721</v>
      </c>
    </row>
    <row r="3" spans="1:17" x14ac:dyDescent="0.3">
      <c r="A3" s="11" t="s">
        <v>52</v>
      </c>
    </row>
    <row r="4" spans="1:17" x14ac:dyDescent="0.3">
      <c r="A4" t="s">
        <v>140</v>
      </c>
    </row>
    <row r="5" spans="1:17" x14ac:dyDescent="0.3">
      <c r="A5" s="11"/>
    </row>
    <row r="7" spans="1:17" x14ac:dyDescent="0.3">
      <c r="B7" s="10" t="s">
        <v>50</v>
      </c>
      <c r="C7" s="9"/>
      <c r="D7" s="9"/>
      <c r="E7" s="9"/>
      <c r="F7" s="9"/>
      <c r="G7" s="9"/>
      <c r="H7" s="8"/>
    </row>
    <row r="8" spans="1:17" x14ac:dyDescent="0.3">
      <c r="B8" s="7" t="s">
        <v>624</v>
      </c>
      <c r="C8" s="6"/>
      <c r="D8" s="6"/>
      <c r="E8" s="6"/>
      <c r="F8" s="6"/>
      <c r="G8" s="6"/>
      <c r="H8" s="5"/>
    </row>
    <row r="9" spans="1:17" x14ac:dyDescent="0.3">
      <c r="B9" s="47"/>
      <c r="C9" s="47"/>
      <c r="D9" s="47"/>
      <c r="E9" s="47"/>
      <c r="F9" s="47"/>
      <c r="G9" s="47"/>
      <c r="H9" s="47"/>
    </row>
    <row r="10" spans="1:17" x14ac:dyDescent="0.3">
      <c r="C10" s="13" t="s">
        <v>623</v>
      </c>
      <c r="D10" s="13" t="s">
        <v>622</v>
      </c>
      <c r="E10" s="13" t="s">
        <v>621</v>
      </c>
      <c r="F10" s="13" t="s">
        <v>620</v>
      </c>
      <c r="G10" s="13" t="s">
        <v>610</v>
      </c>
      <c r="H10" s="13" t="s">
        <v>609</v>
      </c>
    </row>
    <row r="11" spans="1:17" x14ac:dyDescent="0.3">
      <c r="B11" t="s">
        <v>619</v>
      </c>
      <c r="C11" s="39">
        <v>113.85</v>
      </c>
      <c r="D11" s="39">
        <v>111.54</v>
      </c>
      <c r="E11" s="39">
        <v>119.99</v>
      </c>
      <c r="F11" s="39">
        <v>114.73</v>
      </c>
      <c r="G11" s="39">
        <v>121.39</v>
      </c>
      <c r="H11" s="39">
        <v>128.54</v>
      </c>
    </row>
    <row r="12" spans="1:17" x14ac:dyDescent="0.3">
      <c r="B12" t="s">
        <v>618</v>
      </c>
      <c r="C12" s="39">
        <v>61.77</v>
      </c>
      <c r="D12" s="39">
        <v>68.349999999999994</v>
      </c>
      <c r="E12" s="39">
        <v>76.459999999999994</v>
      </c>
      <c r="F12" s="39">
        <v>72.09</v>
      </c>
      <c r="G12" s="39">
        <v>77.180000000000007</v>
      </c>
      <c r="H12" s="39">
        <v>83.72</v>
      </c>
    </row>
    <row r="13" spans="1:17" x14ac:dyDescent="0.3">
      <c r="B13" t="s">
        <v>617</v>
      </c>
      <c r="C13" s="39">
        <v>49.54</v>
      </c>
      <c r="D13" s="39">
        <v>53.06</v>
      </c>
      <c r="E13" s="39">
        <v>50.3</v>
      </c>
      <c r="F13" s="39">
        <v>48.33</v>
      </c>
      <c r="G13" s="39">
        <v>50.55</v>
      </c>
      <c r="H13" s="39">
        <v>53.16</v>
      </c>
    </row>
    <row r="14" spans="1:17" x14ac:dyDescent="0.3">
      <c r="B14" t="s">
        <v>616</v>
      </c>
      <c r="C14" s="39">
        <v>31.99</v>
      </c>
      <c r="D14" s="39">
        <v>35.299999999999997</v>
      </c>
      <c r="E14" s="39">
        <v>37.11</v>
      </c>
      <c r="F14" s="39">
        <v>40.44</v>
      </c>
      <c r="G14" s="39">
        <v>38.68</v>
      </c>
      <c r="H14" s="39">
        <v>40.549999999999997</v>
      </c>
    </row>
    <row r="15" spans="1:17" x14ac:dyDescent="0.3">
      <c r="C15" s="39"/>
      <c r="D15" s="39"/>
      <c r="E15" s="39"/>
      <c r="F15" s="39"/>
      <c r="G15" s="39"/>
      <c r="H15" s="39"/>
    </row>
    <row r="16" spans="1:17" x14ac:dyDescent="0.3">
      <c r="B16" s="10" t="s">
        <v>49</v>
      </c>
      <c r="C16" s="9"/>
      <c r="D16" s="9"/>
      <c r="E16" s="9"/>
      <c r="F16" s="9"/>
      <c r="G16" s="8"/>
      <c r="I16" s="10" t="s">
        <v>48</v>
      </c>
      <c r="J16" s="9"/>
      <c r="K16" s="9"/>
      <c r="L16" s="9"/>
      <c r="M16" s="9"/>
      <c r="N16" s="8"/>
      <c r="P16" s="10" t="s">
        <v>93</v>
      </c>
      <c r="Q16" s="8"/>
    </row>
    <row r="17" spans="2:17" x14ac:dyDescent="0.3">
      <c r="B17" s="7" t="s">
        <v>615</v>
      </c>
      <c r="C17" s="6"/>
      <c r="D17" s="6"/>
      <c r="E17" s="6"/>
      <c r="F17" s="6"/>
      <c r="G17" s="5"/>
      <c r="I17" s="7" t="s">
        <v>614</v>
      </c>
      <c r="J17" s="6"/>
      <c r="K17" s="6"/>
      <c r="L17" s="6"/>
      <c r="M17" s="6"/>
      <c r="N17" s="5"/>
      <c r="P17" s="7" t="s">
        <v>613</v>
      </c>
      <c r="Q17" s="5"/>
    </row>
    <row r="18" spans="2:17" x14ac:dyDescent="0.3">
      <c r="B18" s="47"/>
      <c r="C18" s="47"/>
      <c r="D18" s="47"/>
      <c r="E18" s="47"/>
      <c r="F18" s="47"/>
      <c r="G18" s="47"/>
      <c r="I18" s="47"/>
      <c r="J18" s="47"/>
      <c r="K18" s="47"/>
      <c r="L18" s="47"/>
      <c r="M18" s="47"/>
      <c r="N18" s="47"/>
      <c r="P18" s="47"/>
      <c r="Q18" s="47"/>
    </row>
    <row r="19" spans="2:17" x14ac:dyDescent="0.3">
      <c r="E19" s="13" t="s">
        <v>610</v>
      </c>
      <c r="F19" s="13" t="s">
        <v>609</v>
      </c>
      <c r="G19" s="13" t="s">
        <v>608</v>
      </c>
      <c r="J19" s="13" t="s">
        <v>612</v>
      </c>
      <c r="K19" s="13" t="s">
        <v>611</v>
      </c>
      <c r="L19" s="13" t="s">
        <v>610</v>
      </c>
      <c r="M19" s="13" t="s">
        <v>609</v>
      </c>
      <c r="N19" s="13" t="s">
        <v>608</v>
      </c>
      <c r="P19" s="32"/>
      <c r="Q19" s="32"/>
    </row>
    <row r="20" spans="2:17" x14ac:dyDescent="0.3">
      <c r="B20" t="s">
        <v>203</v>
      </c>
      <c r="C20" s="15" t="s">
        <v>202</v>
      </c>
      <c r="D20" s="15" t="s">
        <v>607</v>
      </c>
      <c r="E20" s="13" t="s">
        <v>604</v>
      </c>
      <c r="F20" s="13" t="s">
        <v>604</v>
      </c>
      <c r="G20" s="13" t="s">
        <v>484</v>
      </c>
      <c r="I20" t="s">
        <v>606</v>
      </c>
      <c r="J20" s="13" t="s">
        <v>605</v>
      </c>
      <c r="K20" s="13" t="s">
        <v>38</v>
      </c>
      <c r="L20" s="13" t="s">
        <v>604</v>
      </c>
      <c r="M20" s="13" t="s">
        <v>604</v>
      </c>
      <c r="N20" s="13" t="s">
        <v>484</v>
      </c>
      <c r="P20" t="s">
        <v>603</v>
      </c>
      <c r="Q20" s="13" t="s">
        <v>291</v>
      </c>
    </row>
    <row r="21" spans="2:17" x14ac:dyDescent="0.3">
      <c r="B21" t="s">
        <v>600</v>
      </c>
      <c r="C21" s="15" t="s">
        <v>602</v>
      </c>
      <c r="D21" s="70">
        <v>0.72</v>
      </c>
      <c r="E21" s="25">
        <v>0.05</v>
      </c>
      <c r="F21" s="25">
        <v>0.06</v>
      </c>
      <c r="G21" s="25">
        <v>0.05</v>
      </c>
      <c r="I21" t="s">
        <v>133</v>
      </c>
      <c r="J21" s="25">
        <v>0.9</v>
      </c>
      <c r="K21" s="73">
        <v>1.1259999999999999</v>
      </c>
      <c r="L21" s="25">
        <v>0.02</v>
      </c>
      <c r="M21" s="25">
        <v>0.04</v>
      </c>
      <c r="N21" s="25">
        <v>0.05</v>
      </c>
      <c r="P21" t="s">
        <v>601</v>
      </c>
      <c r="Q21" s="13">
        <v>1.042</v>
      </c>
    </row>
    <row r="22" spans="2:17" x14ac:dyDescent="0.3">
      <c r="B22" t="s">
        <v>600</v>
      </c>
      <c r="C22" s="75" t="s">
        <v>599</v>
      </c>
      <c r="D22" s="70">
        <v>0.41</v>
      </c>
      <c r="E22" s="25">
        <v>0.03</v>
      </c>
      <c r="F22" s="25">
        <v>0.03</v>
      </c>
      <c r="G22" s="25">
        <v>0.05</v>
      </c>
      <c r="I22" t="s">
        <v>128</v>
      </c>
      <c r="J22" s="25">
        <v>0.8</v>
      </c>
      <c r="K22" s="73">
        <v>1.075</v>
      </c>
      <c r="L22" s="25">
        <v>0.28999999999999998</v>
      </c>
      <c r="M22" s="25">
        <v>0.31</v>
      </c>
      <c r="N22" s="25">
        <v>0.3</v>
      </c>
      <c r="P22" t="s">
        <v>598</v>
      </c>
      <c r="Q22" s="13">
        <v>1.0669999999999999</v>
      </c>
    </row>
    <row r="23" spans="2:17" x14ac:dyDescent="0.3">
      <c r="B23" t="s">
        <v>179</v>
      </c>
      <c r="C23" s="69" t="s">
        <v>594</v>
      </c>
      <c r="D23" s="76">
        <v>0.52</v>
      </c>
      <c r="E23" s="25">
        <v>0.14000000000000001</v>
      </c>
      <c r="F23" s="25">
        <v>0.16</v>
      </c>
      <c r="G23" s="25">
        <v>0.15</v>
      </c>
      <c r="I23" t="s">
        <v>127</v>
      </c>
      <c r="J23" s="25">
        <v>0.7</v>
      </c>
      <c r="K23" s="73">
        <v>1.038</v>
      </c>
      <c r="L23" s="25">
        <v>0.45</v>
      </c>
      <c r="M23" s="25">
        <v>0.38</v>
      </c>
      <c r="N23" s="25">
        <v>0.4</v>
      </c>
      <c r="P23" t="s">
        <v>597</v>
      </c>
      <c r="Q23" s="13">
        <v>1.0149999999999999</v>
      </c>
    </row>
    <row r="24" spans="2:17" x14ac:dyDescent="0.3">
      <c r="B24" t="s">
        <v>179</v>
      </c>
      <c r="C24" s="69" t="s">
        <v>593</v>
      </c>
      <c r="D24" s="76">
        <v>0.65</v>
      </c>
      <c r="E24" s="25">
        <v>0.16</v>
      </c>
      <c r="F24" s="25">
        <v>0.17</v>
      </c>
      <c r="G24" s="25">
        <v>0.15</v>
      </c>
      <c r="I24" t="s">
        <v>125</v>
      </c>
      <c r="J24" s="25">
        <v>0.6</v>
      </c>
      <c r="K24" s="73">
        <v>0.98699999999999999</v>
      </c>
      <c r="L24" s="25">
        <v>0.24</v>
      </c>
      <c r="M24" s="25">
        <v>0.27</v>
      </c>
      <c r="N24" s="25">
        <v>0.25</v>
      </c>
      <c r="P24" t="s">
        <v>596</v>
      </c>
      <c r="Q24" s="13">
        <v>0.98699999999999999</v>
      </c>
    </row>
    <row r="25" spans="2:17" x14ac:dyDescent="0.3">
      <c r="B25" t="s">
        <v>179</v>
      </c>
      <c r="C25" s="69" t="s">
        <v>592</v>
      </c>
      <c r="D25" s="76">
        <v>0.86</v>
      </c>
      <c r="E25" s="25">
        <v>0.12</v>
      </c>
      <c r="F25" s="25">
        <v>0.14000000000000001</v>
      </c>
      <c r="G25" s="25">
        <v>0.1</v>
      </c>
      <c r="I25" s="2"/>
      <c r="P25" t="s">
        <v>595</v>
      </c>
      <c r="Q25" s="13">
        <v>0.94499999999999995</v>
      </c>
    </row>
    <row r="26" spans="2:17" x14ac:dyDescent="0.3">
      <c r="B26" t="s">
        <v>179</v>
      </c>
      <c r="C26" s="15" t="s">
        <v>591</v>
      </c>
      <c r="D26" s="70">
        <v>1.82</v>
      </c>
      <c r="E26" s="25">
        <v>0.05</v>
      </c>
      <c r="F26" s="25">
        <v>0.04</v>
      </c>
      <c r="G26" s="25">
        <v>0.05</v>
      </c>
      <c r="I26" s="2"/>
    </row>
    <row r="27" spans="2:17" x14ac:dyDescent="0.3">
      <c r="B27" t="s">
        <v>189</v>
      </c>
      <c r="C27" s="69" t="s">
        <v>594</v>
      </c>
      <c r="D27" s="76">
        <v>0.67</v>
      </c>
      <c r="E27" s="25">
        <v>0.12</v>
      </c>
      <c r="F27" s="25">
        <v>0.14000000000000001</v>
      </c>
      <c r="G27" s="25">
        <v>0.15</v>
      </c>
      <c r="I27" s="2"/>
    </row>
    <row r="28" spans="2:17" x14ac:dyDescent="0.3">
      <c r="B28" t="s">
        <v>189</v>
      </c>
      <c r="C28" s="69" t="s">
        <v>593</v>
      </c>
      <c r="D28" s="76">
        <v>0.74</v>
      </c>
      <c r="E28" s="25">
        <v>0.17</v>
      </c>
      <c r="F28" s="25">
        <v>0.14000000000000001</v>
      </c>
      <c r="G28" s="25">
        <v>0.15</v>
      </c>
      <c r="I28" s="2"/>
    </row>
    <row r="29" spans="2:17" x14ac:dyDescent="0.3">
      <c r="B29" t="s">
        <v>189</v>
      </c>
      <c r="C29" s="69" t="s">
        <v>592</v>
      </c>
      <c r="D29" s="76">
        <v>0.95</v>
      </c>
      <c r="E29" s="25">
        <v>0.09</v>
      </c>
      <c r="F29" s="25">
        <v>7.0000000000000007E-2</v>
      </c>
      <c r="G29" s="25">
        <v>0.1</v>
      </c>
      <c r="I29" s="2"/>
    </row>
    <row r="30" spans="2:17" x14ac:dyDescent="0.3">
      <c r="B30" t="s">
        <v>189</v>
      </c>
      <c r="C30" s="15" t="s">
        <v>591</v>
      </c>
      <c r="D30" s="70">
        <v>1.65</v>
      </c>
      <c r="E30" s="25">
        <v>7.0000000000000007E-2</v>
      </c>
      <c r="F30" s="25">
        <v>0.05</v>
      </c>
      <c r="G30" s="25">
        <v>0.05</v>
      </c>
      <c r="I30" s="2"/>
    </row>
    <row r="32" spans="2:17" x14ac:dyDescent="0.3">
      <c r="B32" t="s">
        <v>746</v>
      </c>
    </row>
    <row r="33" spans="1:2" x14ac:dyDescent="0.3">
      <c r="B33" t="s">
        <v>590</v>
      </c>
    </row>
    <row r="34" spans="1:2" x14ac:dyDescent="0.3">
      <c r="B34" t="s">
        <v>589</v>
      </c>
    </row>
    <row r="36" spans="1:2" x14ac:dyDescent="0.3">
      <c r="A36" t="s">
        <v>6</v>
      </c>
      <c r="B36" t="s">
        <v>588</v>
      </c>
    </row>
    <row r="38" spans="1:2" x14ac:dyDescent="0.3">
      <c r="B38" t="s">
        <v>587</v>
      </c>
    </row>
    <row r="39" spans="1:2" x14ac:dyDescent="0.3">
      <c r="B39" t="s">
        <v>586</v>
      </c>
    </row>
    <row r="41" spans="1:2" x14ac:dyDescent="0.3">
      <c r="A41" t="s">
        <v>4</v>
      </c>
      <c r="B41" t="s">
        <v>585</v>
      </c>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413E-28D3-41D2-BC02-7E349C5FE36A}">
  <sheetPr>
    <tabColor theme="9" tint="0.59999389629810485"/>
  </sheetPr>
  <dimension ref="A1:Q78"/>
  <sheetViews>
    <sheetView zoomScaleNormal="100" workbookViewId="0"/>
  </sheetViews>
  <sheetFormatPr defaultRowHeight="14.4" x14ac:dyDescent="0.3"/>
  <cols>
    <col min="2" max="2" width="28.6640625" customWidth="1"/>
    <col min="3" max="9" width="18" customWidth="1"/>
    <col min="10" max="15" width="12.6640625" customWidth="1"/>
    <col min="16" max="17" width="18" customWidth="1"/>
    <col min="18" max="18" width="12.6640625" customWidth="1"/>
    <col min="19" max="19" width="18" customWidth="1"/>
    <col min="20" max="21" width="12.6640625" customWidth="1"/>
    <col min="23" max="28" width="12.6640625" customWidth="1"/>
    <col min="30" max="31" width="12.6640625" customWidth="1"/>
  </cols>
  <sheetData>
    <row r="1" spans="1:17" x14ac:dyDescent="0.3">
      <c r="A1" s="89" t="s">
        <v>721</v>
      </c>
    </row>
    <row r="3" spans="1:17" x14ac:dyDescent="0.3">
      <c r="A3" s="11" t="s">
        <v>52</v>
      </c>
    </row>
    <row r="4" spans="1:17" x14ac:dyDescent="0.3">
      <c r="A4" t="s">
        <v>140</v>
      </c>
    </row>
    <row r="5" spans="1:17" x14ac:dyDescent="0.3">
      <c r="A5" s="11"/>
    </row>
    <row r="7" spans="1:17" x14ac:dyDescent="0.3">
      <c r="B7" s="10" t="s">
        <v>50</v>
      </c>
      <c r="C7" s="9"/>
      <c r="D7" s="9"/>
      <c r="E7" s="9"/>
      <c r="F7" s="9"/>
      <c r="G7" s="9"/>
      <c r="H7" s="8"/>
    </row>
    <row r="8" spans="1:17" x14ac:dyDescent="0.3">
      <c r="B8" s="7" t="s">
        <v>624</v>
      </c>
      <c r="C8" s="6"/>
      <c r="D8" s="6"/>
      <c r="E8" s="6"/>
      <c r="F8" s="6"/>
      <c r="G8" s="6"/>
      <c r="H8" s="5"/>
    </row>
    <row r="9" spans="1:17" x14ac:dyDescent="0.3">
      <c r="B9" s="47"/>
      <c r="C9" s="47"/>
      <c r="D9" s="47"/>
      <c r="E9" s="47"/>
      <c r="F9" s="47"/>
      <c r="G9" s="47"/>
      <c r="H9" s="47"/>
    </row>
    <row r="10" spans="1:17" x14ac:dyDescent="0.3">
      <c r="C10" s="13" t="s">
        <v>623</v>
      </c>
      <c r="D10" s="13" t="s">
        <v>622</v>
      </c>
      <c r="E10" s="13" t="s">
        <v>621</v>
      </c>
      <c r="F10" s="13" t="s">
        <v>620</v>
      </c>
      <c r="G10" s="13" t="s">
        <v>610</v>
      </c>
      <c r="H10" s="13" t="s">
        <v>609</v>
      </c>
    </row>
    <row r="11" spans="1:17" x14ac:dyDescent="0.3">
      <c r="B11" t="s">
        <v>619</v>
      </c>
      <c r="C11" s="39">
        <v>113.85</v>
      </c>
      <c r="D11" s="39">
        <v>111.54</v>
      </c>
      <c r="E11" s="39">
        <v>119.99</v>
      </c>
      <c r="F11" s="39">
        <v>114.73</v>
      </c>
      <c r="G11" s="39">
        <v>121.39</v>
      </c>
      <c r="H11" s="39">
        <v>128.54</v>
      </c>
    </row>
    <row r="12" spans="1:17" x14ac:dyDescent="0.3">
      <c r="B12" t="s">
        <v>618</v>
      </c>
      <c r="C12" s="39">
        <v>61.77</v>
      </c>
      <c r="D12" s="39">
        <v>68.349999999999994</v>
      </c>
      <c r="E12" s="39">
        <v>76.459999999999994</v>
      </c>
      <c r="F12" s="39">
        <v>72.09</v>
      </c>
      <c r="G12" s="39">
        <v>77.180000000000007</v>
      </c>
      <c r="H12" s="39">
        <v>83.72</v>
      </c>
    </row>
    <row r="13" spans="1:17" x14ac:dyDescent="0.3">
      <c r="B13" t="s">
        <v>617</v>
      </c>
      <c r="C13" s="39">
        <v>49.54</v>
      </c>
      <c r="D13" s="39">
        <v>53.06</v>
      </c>
      <c r="E13" s="39">
        <v>50.3</v>
      </c>
      <c r="F13" s="39">
        <v>48.33</v>
      </c>
      <c r="G13" s="39">
        <v>50.55</v>
      </c>
      <c r="H13" s="39">
        <v>53.16</v>
      </c>
    </row>
    <row r="14" spans="1:17" x14ac:dyDescent="0.3">
      <c r="B14" t="s">
        <v>616</v>
      </c>
      <c r="C14" s="39">
        <v>31.99</v>
      </c>
      <c r="D14" s="39">
        <v>35.299999999999997</v>
      </c>
      <c r="E14" s="39">
        <v>37.11</v>
      </c>
      <c r="F14" s="39">
        <v>40.44</v>
      </c>
      <c r="G14" s="39">
        <v>38.68</v>
      </c>
      <c r="H14" s="39">
        <v>40.549999999999997</v>
      </c>
    </row>
    <row r="16" spans="1:17" x14ac:dyDescent="0.3">
      <c r="B16" s="10" t="s">
        <v>49</v>
      </c>
      <c r="C16" s="9"/>
      <c r="D16" s="9"/>
      <c r="E16" s="9"/>
      <c r="F16" s="9"/>
      <c r="G16" s="8"/>
      <c r="I16" s="10" t="s">
        <v>48</v>
      </c>
      <c r="J16" s="9"/>
      <c r="K16" s="9"/>
      <c r="L16" s="9"/>
      <c r="M16" s="9"/>
      <c r="N16" s="8"/>
      <c r="P16" s="10" t="s">
        <v>93</v>
      </c>
      <c r="Q16" s="8"/>
    </row>
    <row r="17" spans="2:17" x14ac:dyDescent="0.3">
      <c r="B17" s="7" t="s">
        <v>615</v>
      </c>
      <c r="C17" s="6"/>
      <c r="D17" s="6"/>
      <c r="E17" s="6"/>
      <c r="F17" s="6"/>
      <c r="G17" s="5"/>
      <c r="I17" s="7" t="s">
        <v>614</v>
      </c>
      <c r="J17" s="6"/>
      <c r="K17" s="6"/>
      <c r="L17" s="6"/>
      <c r="M17" s="6"/>
      <c r="N17" s="5"/>
      <c r="P17" s="7" t="s">
        <v>613</v>
      </c>
      <c r="Q17" s="5"/>
    </row>
    <row r="18" spans="2:17" x14ac:dyDescent="0.3">
      <c r="B18" s="47"/>
      <c r="C18" s="47"/>
      <c r="D18" s="47"/>
      <c r="E18" s="47"/>
      <c r="F18" s="47"/>
      <c r="G18" s="47"/>
      <c r="I18" s="47"/>
      <c r="J18" s="47"/>
      <c r="K18" s="47"/>
      <c r="L18" s="47"/>
      <c r="M18" s="47"/>
      <c r="N18" s="47"/>
      <c r="P18" s="47"/>
      <c r="Q18" s="47"/>
    </row>
    <row r="19" spans="2:17" x14ac:dyDescent="0.3">
      <c r="C19" s="15"/>
      <c r="D19" s="15"/>
      <c r="E19" s="13" t="s">
        <v>610</v>
      </c>
      <c r="F19" s="13" t="s">
        <v>609</v>
      </c>
      <c r="G19" s="13" t="s">
        <v>608</v>
      </c>
      <c r="J19" s="13" t="s">
        <v>612</v>
      </c>
      <c r="K19" s="13" t="s">
        <v>611</v>
      </c>
      <c r="L19" s="13" t="s">
        <v>610</v>
      </c>
      <c r="M19" s="13" t="s">
        <v>609</v>
      </c>
      <c r="N19" s="13" t="s">
        <v>608</v>
      </c>
      <c r="P19" s="32"/>
      <c r="Q19" s="32"/>
    </row>
    <row r="20" spans="2:17" x14ac:dyDescent="0.3">
      <c r="B20" t="s">
        <v>203</v>
      </c>
      <c r="C20" s="15" t="s">
        <v>202</v>
      </c>
      <c r="D20" s="15" t="s">
        <v>607</v>
      </c>
      <c r="E20" s="13" t="s">
        <v>604</v>
      </c>
      <c r="F20" s="13" t="s">
        <v>604</v>
      </c>
      <c r="G20" s="13" t="s">
        <v>484</v>
      </c>
      <c r="I20" t="s">
        <v>606</v>
      </c>
      <c r="J20" s="13" t="s">
        <v>605</v>
      </c>
      <c r="K20" s="13" t="s">
        <v>38</v>
      </c>
      <c r="L20" s="13" t="s">
        <v>604</v>
      </c>
      <c r="M20" s="13" t="s">
        <v>604</v>
      </c>
      <c r="N20" s="13" t="s">
        <v>484</v>
      </c>
      <c r="P20" t="s">
        <v>603</v>
      </c>
      <c r="Q20" s="13" t="s">
        <v>291</v>
      </c>
    </row>
    <row r="21" spans="2:17" x14ac:dyDescent="0.3">
      <c r="B21" t="s">
        <v>600</v>
      </c>
      <c r="C21" s="15" t="s">
        <v>602</v>
      </c>
      <c r="D21" s="70">
        <v>0.72</v>
      </c>
      <c r="E21" s="25">
        <v>0.05</v>
      </c>
      <c r="F21" s="25">
        <v>0.06</v>
      </c>
      <c r="G21" s="25">
        <v>0.05</v>
      </c>
      <c r="I21" t="s">
        <v>133</v>
      </c>
      <c r="J21" s="25">
        <v>0.9</v>
      </c>
      <c r="K21" s="73">
        <v>1.1259999999999999</v>
      </c>
      <c r="L21" s="25">
        <v>0.02</v>
      </c>
      <c r="M21" s="25">
        <v>0.04</v>
      </c>
      <c r="N21" s="25">
        <v>0.05</v>
      </c>
      <c r="P21" t="s">
        <v>601</v>
      </c>
      <c r="Q21" s="13">
        <v>1.042</v>
      </c>
    </row>
    <row r="22" spans="2:17" x14ac:dyDescent="0.3">
      <c r="B22" t="s">
        <v>600</v>
      </c>
      <c r="C22" s="75" t="s">
        <v>599</v>
      </c>
      <c r="D22" s="70">
        <v>0.41</v>
      </c>
      <c r="E22" s="25">
        <v>0.03</v>
      </c>
      <c r="F22" s="25">
        <v>0.03</v>
      </c>
      <c r="G22" s="25">
        <v>0.05</v>
      </c>
      <c r="I22" t="s">
        <v>128</v>
      </c>
      <c r="J22" s="25">
        <v>0.8</v>
      </c>
      <c r="K22" s="73">
        <v>1.075</v>
      </c>
      <c r="L22" s="25">
        <v>0.28999999999999998</v>
      </c>
      <c r="M22" s="25">
        <v>0.31</v>
      </c>
      <c r="N22" s="25">
        <v>0.3</v>
      </c>
      <c r="P22" t="s">
        <v>598</v>
      </c>
      <c r="Q22" s="13">
        <v>1.0669999999999999</v>
      </c>
    </row>
    <row r="23" spans="2:17" x14ac:dyDescent="0.3">
      <c r="B23" t="s">
        <v>179</v>
      </c>
      <c r="C23" s="69" t="s">
        <v>594</v>
      </c>
      <c r="D23" s="76">
        <v>0.52</v>
      </c>
      <c r="E23" s="25">
        <v>0.14000000000000001</v>
      </c>
      <c r="F23" s="25">
        <v>0.16</v>
      </c>
      <c r="G23" s="25">
        <v>0.15</v>
      </c>
      <c r="I23" t="s">
        <v>127</v>
      </c>
      <c r="J23" s="25">
        <v>0.7</v>
      </c>
      <c r="K23" s="73">
        <v>1.038</v>
      </c>
      <c r="L23" s="25">
        <v>0.45</v>
      </c>
      <c r="M23" s="25">
        <v>0.38</v>
      </c>
      <c r="N23" s="25">
        <v>0.4</v>
      </c>
      <c r="P23" t="s">
        <v>597</v>
      </c>
      <c r="Q23" s="13">
        <v>1.0149999999999999</v>
      </c>
    </row>
    <row r="24" spans="2:17" x14ac:dyDescent="0.3">
      <c r="B24" t="s">
        <v>179</v>
      </c>
      <c r="C24" s="69" t="s">
        <v>593</v>
      </c>
      <c r="D24" s="76">
        <v>0.65</v>
      </c>
      <c r="E24" s="25">
        <v>0.16</v>
      </c>
      <c r="F24" s="25">
        <v>0.17</v>
      </c>
      <c r="G24" s="25">
        <v>0.15</v>
      </c>
      <c r="I24" t="s">
        <v>125</v>
      </c>
      <c r="J24" s="25">
        <v>0.6</v>
      </c>
      <c r="K24" s="73">
        <v>0.98699999999999999</v>
      </c>
      <c r="L24" s="25">
        <v>0.24</v>
      </c>
      <c r="M24" s="25">
        <v>0.27</v>
      </c>
      <c r="N24" s="25">
        <v>0.25</v>
      </c>
      <c r="P24" t="s">
        <v>596</v>
      </c>
      <c r="Q24" s="13">
        <v>0.98699999999999999</v>
      </c>
    </row>
    <row r="25" spans="2:17" x14ac:dyDescent="0.3">
      <c r="B25" t="s">
        <v>179</v>
      </c>
      <c r="C25" s="69" t="s">
        <v>592</v>
      </c>
      <c r="D25" s="76">
        <v>0.86</v>
      </c>
      <c r="E25" s="25">
        <v>0.12</v>
      </c>
      <c r="F25" s="25">
        <v>0.14000000000000001</v>
      </c>
      <c r="G25" s="25">
        <v>0.1</v>
      </c>
      <c r="I25" s="2"/>
      <c r="P25" t="s">
        <v>595</v>
      </c>
      <c r="Q25" s="13">
        <v>0.94499999999999995</v>
      </c>
    </row>
    <row r="26" spans="2:17" x14ac:dyDescent="0.3">
      <c r="B26" t="s">
        <v>179</v>
      </c>
      <c r="C26" s="15" t="s">
        <v>591</v>
      </c>
      <c r="D26" s="70">
        <v>1.82</v>
      </c>
      <c r="E26" s="25">
        <v>0.05</v>
      </c>
      <c r="F26" s="25">
        <v>0.04</v>
      </c>
      <c r="G26" s="25">
        <v>0.05</v>
      </c>
      <c r="I26" s="2"/>
    </row>
    <row r="27" spans="2:17" x14ac:dyDescent="0.3">
      <c r="B27" t="s">
        <v>189</v>
      </c>
      <c r="C27" s="69" t="s">
        <v>594</v>
      </c>
      <c r="D27" s="76">
        <v>0.67</v>
      </c>
      <c r="E27" s="25">
        <v>0.12</v>
      </c>
      <c r="F27" s="25">
        <v>0.14000000000000001</v>
      </c>
      <c r="G27" s="25">
        <v>0.15</v>
      </c>
      <c r="I27" s="2"/>
    </row>
    <row r="28" spans="2:17" x14ac:dyDescent="0.3">
      <c r="B28" t="s">
        <v>189</v>
      </c>
      <c r="C28" s="69" t="s">
        <v>593</v>
      </c>
      <c r="D28" s="76">
        <v>0.74</v>
      </c>
      <c r="E28" s="25">
        <v>0.17</v>
      </c>
      <c r="F28" s="25">
        <v>0.14000000000000001</v>
      </c>
      <c r="G28" s="25">
        <v>0.15</v>
      </c>
      <c r="I28" s="2"/>
    </row>
    <row r="29" spans="2:17" x14ac:dyDescent="0.3">
      <c r="B29" t="s">
        <v>189</v>
      </c>
      <c r="C29" s="69" t="s">
        <v>592</v>
      </c>
      <c r="D29" s="76">
        <v>0.95</v>
      </c>
      <c r="E29" s="25">
        <v>0.09</v>
      </c>
      <c r="F29" s="25">
        <v>7.0000000000000007E-2</v>
      </c>
      <c r="G29" s="25">
        <v>0.1</v>
      </c>
      <c r="I29" s="2"/>
    </row>
    <row r="30" spans="2:17" x14ac:dyDescent="0.3">
      <c r="B30" t="s">
        <v>189</v>
      </c>
      <c r="C30" s="15" t="s">
        <v>591</v>
      </c>
      <c r="D30" s="70">
        <v>1.65</v>
      </c>
      <c r="E30" s="25">
        <v>7.0000000000000007E-2</v>
      </c>
      <c r="F30" s="25">
        <v>0.05</v>
      </c>
      <c r="G30" s="25">
        <v>0.05</v>
      </c>
      <c r="I30" s="2"/>
    </row>
    <row r="32" spans="2:17" x14ac:dyDescent="0.3">
      <c r="B32" t="s">
        <v>746</v>
      </c>
    </row>
    <row r="33" spans="1:10" x14ac:dyDescent="0.3">
      <c r="B33" t="s">
        <v>590</v>
      </c>
    </row>
    <row r="34" spans="1:10" x14ac:dyDescent="0.3">
      <c r="B34" t="s">
        <v>589</v>
      </c>
    </row>
    <row r="36" spans="1:10" x14ac:dyDescent="0.3">
      <c r="A36" t="s">
        <v>6</v>
      </c>
      <c r="B36" t="s">
        <v>588</v>
      </c>
    </row>
    <row r="37" spans="1:10" x14ac:dyDescent="0.3">
      <c r="J37" s="24" t="s">
        <v>75</v>
      </c>
    </row>
    <row r="38" spans="1:10" x14ac:dyDescent="0.3">
      <c r="C38" s="15" t="s">
        <v>650</v>
      </c>
      <c r="D38" s="19" t="s">
        <v>407</v>
      </c>
      <c r="E38" s="18"/>
      <c r="G38" s="19" t="s">
        <v>649</v>
      </c>
      <c r="H38" s="18"/>
    </row>
    <row r="39" spans="1:10" x14ac:dyDescent="0.3">
      <c r="B39" t="s">
        <v>233</v>
      </c>
      <c r="C39" s="15" t="s">
        <v>648</v>
      </c>
      <c r="D39" s="13" t="s">
        <v>610</v>
      </c>
      <c r="E39" s="13" t="s">
        <v>609</v>
      </c>
      <c r="G39" s="13" t="s">
        <v>610</v>
      </c>
      <c r="H39" s="13" t="s">
        <v>609</v>
      </c>
      <c r="J39" t="s">
        <v>647</v>
      </c>
    </row>
    <row r="40" spans="1:10" x14ac:dyDescent="0.3">
      <c r="B40" t="str">
        <f>B11</f>
        <v>Hospital Inpatient</v>
      </c>
      <c r="C40" s="42">
        <f>(H11/C11)^(1/(COUNTA($C$10:$H$10)-1))-1</f>
        <v>2.4568624117435656E-2</v>
      </c>
      <c r="D40" s="50">
        <f t="shared" ref="D40:E43" si="0">G11</f>
        <v>121.39</v>
      </c>
      <c r="E40" s="50">
        <f t="shared" si="0"/>
        <v>128.54</v>
      </c>
      <c r="F40" s="39"/>
      <c r="G40" s="50">
        <f>D40*(1+$C40)^(3)</f>
        <v>130.55877537304315</v>
      </c>
      <c r="H40" s="50">
        <f>E40*(1+$C40)^(2)</f>
        <v>134.93369085469854</v>
      </c>
      <c r="J40" t="s">
        <v>646</v>
      </c>
    </row>
    <row r="41" spans="1:10" x14ac:dyDescent="0.3">
      <c r="B41" t="str">
        <f>B12</f>
        <v>Hospital Outpatient</v>
      </c>
      <c r="C41" s="42">
        <f>(H12/C12)^(1/(COUNTA($C$10:$H$10)-1))-1</f>
        <v>6.2699126649573111E-2</v>
      </c>
      <c r="D41" s="50">
        <f t="shared" si="0"/>
        <v>77.180000000000007</v>
      </c>
      <c r="E41" s="50">
        <f t="shared" si="0"/>
        <v>83.72</v>
      </c>
      <c r="F41" s="39"/>
      <c r="G41" s="50">
        <f>D41*(1+$C41)^(3)</f>
        <v>92.626604761960834</v>
      </c>
      <c r="H41" s="50">
        <f>E41*(1+$C41)^(2)</f>
        <v>94.5474601962094</v>
      </c>
    </row>
    <row r="42" spans="1:10" x14ac:dyDescent="0.3">
      <c r="B42" t="str">
        <f>B13</f>
        <v>Physician</v>
      </c>
      <c r="C42" s="42">
        <f>(H13/C13)^(1/(COUNTA($C$10:$H$10)-1))-1</f>
        <v>1.4205109124460824E-2</v>
      </c>
      <c r="D42" s="50">
        <f t="shared" si="0"/>
        <v>50.55</v>
      </c>
      <c r="E42" s="50">
        <f t="shared" si="0"/>
        <v>53.16</v>
      </c>
      <c r="F42" s="39"/>
      <c r="G42" s="50">
        <f>D42*(1+$C42)^(3)</f>
        <v>52.734950408461835</v>
      </c>
      <c r="H42" s="50">
        <f>E42*(1+$C42)^(2)</f>
        <v>54.681014099370316</v>
      </c>
    </row>
    <row r="43" spans="1:10" x14ac:dyDescent="0.3">
      <c r="B43" t="str">
        <f>B14</f>
        <v>Prescription Drugs</v>
      </c>
      <c r="C43" s="42">
        <f>(H14/C14)^(1/(COUNTA($C$10:$H$10)-1))-1</f>
        <v>4.8564918796898393E-2</v>
      </c>
      <c r="D43" s="50">
        <f t="shared" si="0"/>
        <v>38.68</v>
      </c>
      <c r="E43" s="50">
        <f t="shared" si="0"/>
        <v>40.549999999999997</v>
      </c>
      <c r="F43" s="39"/>
      <c r="G43" s="50">
        <f>D43*(1+$C43)^(3)</f>
        <v>44.593589992024832</v>
      </c>
      <c r="H43" s="50">
        <f>E43*(1+$C43)^(2)</f>
        <v>44.584254171174194</v>
      </c>
    </row>
    <row r="44" spans="1:10" x14ac:dyDescent="0.3">
      <c r="B44" t="s">
        <v>53</v>
      </c>
      <c r="D44" s="50">
        <f>SUM(D40:D43)</f>
        <v>287.8</v>
      </c>
      <c r="E44" s="50">
        <f>SUM(E40:E43)</f>
        <v>305.96999999999997</v>
      </c>
      <c r="F44" s="39"/>
      <c r="G44" s="50">
        <f>SUM(G40:G43)</f>
        <v>320.51392053549063</v>
      </c>
      <c r="H44" s="50">
        <f>SUM(H40:H43)</f>
        <v>328.74641932145244</v>
      </c>
    </row>
    <row r="46" spans="1:10" x14ac:dyDescent="0.3">
      <c r="D46" s="13" t="s">
        <v>610</v>
      </c>
      <c r="E46" s="13" t="s">
        <v>609</v>
      </c>
      <c r="F46" s="13" t="s">
        <v>608</v>
      </c>
    </row>
    <row r="47" spans="1:10" x14ac:dyDescent="0.3">
      <c r="D47" s="13"/>
      <c r="E47" s="13"/>
      <c r="F47" s="13"/>
    </row>
    <row r="48" spans="1:10" x14ac:dyDescent="0.3">
      <c r="B48" t="s">
        <v>645</v>
      </c>
      <c r="D48" s="73">
        <f>G44/D44</f>
        <v>1.1136689386222745</v>
      </c>
      <c r="E48" s="73">
        <f>H44/E44</f>
        <v>1.0744400409237915</v>
      </c>
      <c r="F48" s="13"/>
      <c r="G48" s="30"/>
      <c r="H48" s="30"/>
      <c r="J48" t="s">
        <v>747</v>
      </c>
    </row>
    <row r="49" spans="2:10" x14ac:dyDescent="0.3">
      <c r="D49" s="13"/>
      <c r="E49" s="13"/>
      <c r="F49" s="13"/>
      <c r="G49" s="30"/>
      <c r="H49" s="30"/>
    </row>
    <row r="50" spans="2:10" x14ac:dyDescent="0.3">
      <c r="B50" t="s">
        <v>644</v>
      </c>
      <c r="D50" s="73">
        <f>SUMPRODUCT(E21:E30,$D$21:$D$30)</f>
        <v>0.82650000000000012</v>
      </c>
      <c r="E50" s="73">
        <f>SUMPRODUCT(F21:F30,$D$21:$D$30)</f>
        <v>0.78880000000000006</v>
      </c>
      <c r="F50" s="13">
        <f>SUMPRODUCT(G21:G30,$D$21:$D$30)</f>
        <v>0.79800000000000004</v>
      </c>
      <c r="J50" t="s">
        <v>643</v>
      </c>
    </row>
    <row r="51" spans="2:10" x14ac:dyDescent="0.3">
      <c r="B51" t="s">
        <v>642</v>
      </c>
      <c r="D51" s="73">
        <f>F50/D50</f>
        <v>0.96551724137931028</v>
      </c>
      <c r="E51" s="73">
        <f>F50/E50</f>
        <v>1.0116632860040569</v>
      </c>
      <c r="F51" s="13"/>
      <c r="J51" t="s">
        <v>748</v>
      </c>
    </row>
    <row r="52" spans="2:10" x14ac:dyDescent="0.3">
      <c r="D52" s="13"/>
      <c r="E52" s="13"/>
      <c r="F52" s="13"/>
    </row>
    <row r="53" spans="2:10" x14ac:dyDescent="0.3">
      <c r="B53" t="s">
        <v>606</v>
      </c>
      <c r="D53" s="73">
        <f>SUMPRODUCT(L21:L24,$K$21:$K$24)</f>
        <v>1.0382499999999999</v>
      </c>
      <c r="E53" s="73">
        <f>SUMPRODUCT(M21:M24,$K$21:$K$24)</f>
        <v>1.03922</v>
      </c>
      <c r="F53" s="73">
        <f>SUMPRODUCT(N21:N24,$K$21:$K$24)</f>
        <v>1.0407500000000001</v>
      </c>
      <c r="J53" t="s">
        <v>749</v>
      </c>
    </row>
    <row r="54" spans="2:10" x14ac:dyDescent="0.3">
      <c r="B54" t="s">
        <v>641</v>
      </c>
      <c r="D54" s="73">
        <f>F53/D53</f>
        <v>1.002407897905129</v>
      </c>
      <c r="E54" s="73">
        <f>F53/E53</f>
        <v>1.0014722580396835</v>
      </c>
      <c r="F54" s="13"/>
      <c r="J54" t="s">
        <v>750</v>
      </c>
    </row>
    <row r="55" spans="2:10" x14ac:dyDescent="0.3">
      <c r="D55" s="13"/>
      <c r="E55" s="13"/>
      <c r="F55" s="13"/>
    </row>
    <row r="56" spans="2:10" x14ac:dyDescent="0.3">
      <c r="B56" t="s">
        <v>640</v>
      </c>
      <c r="D56" s="13">
        <f>$Q$22</f>
        <v>1.0669999999999999</v>
      </c>
      <c r="E56" s="13">
        <f>$Q$22</f>
        <v>1.0669999999999999</v>
      </c>
      <c r="F56" s="13">
        <f>$Q$22</f>
        <v>1.0669999999999999</v>
      </c>
      <c r="J56" t="s">
        <v>751</v>
      </c>
    </row>
    <row r="57" spans="2:10" x14ac:dyDescent="0.3">
      <c r="B57" t="s">
        <v>291</v>
      </c>
      <c r="D57" s="73">
        <f>F56/D56</f>
        <v>1</v>
      </c>
      <c r="E57" s="73">
        <f>F56/E56</f>
        <v>1</v>
      </c>
      <c r="F57" s="13"/>
      <c r="J57" t="s">
        <v>750</v>
      </c>
    </row>
    <row r="58" spans="2:10" ht="15" thickBot="1" x14ac:dyDescent="0.35">
      <c r="D58" s="13"/>
      <c r="E58" s="13"/>
      <c r="F58" s="13"/>
    </row>
    <row r="59" spans="2:10" ht="15" thickBot="1" x14ac:dyDescent="0.35">
      <c r="B59" t="s">
        <v>639</v>
      </c>
      <c r="D59" s="50">
        <f>D44*D48*D51*D54*D57</f>
        <v>310.20686859768119</v>
      </c>
      <c r="E59" s="50">
        <f>E44*E48*E51*E54*E57</f>
        <v>333.07032741695218</v>
      </c>
      <c r="F59" s="77">
        <f>SUMPRODUCT(D59:E59,D60:E60)</f>
        <v>321.63859800731666</v>
      </c>
      <c r="J59" t="s">
        <v>638</v>
      </c>
    </row>
    <row r="60" spans="2:10" x14ac:dyDescent="0.3">
      <c r="B60" t="s">
        <v>144</v>
      </c>
      <c r="D60" s="25">
        <v>0.5</v>
      </c>
      <c r="E60" s="25">
        <v>0.5</v>
      </c>
      <c r="F60" s="13"/>
      <c r="J60" t="s">
        <v>637</v>
      </c>
    </row>
    <row r="62" spans="2:10" x14ac:dyDescent="0.3">
      <c r="B62" t="s">
        <v>587</v>
      </c>
    </row>
    <row r="63" spans="2:10" x14ac:dyDescent="0.3">
      <c r="B63" t="s">
        <v>752</v>
      </c>
    </row>
    <row r="65" spans="1:10" x14ac:dyDescent="0.3">
      <c r="A65" t="s">
        <v>4</v>
      </c>
      <c r="B65" t="s">
        <v>585</v>
      </c>
    </row>
    <row r="67" spans="1:10" x14ac:dyDescent="0.3">
      <c r="B67" t="s">
        <v>636</v>
      </c>
    </row>
    <row r="68" spans="1:10" x14ac:dyDescent="0.3">
      <c r="B68" t="s">
        <v>598</v>
      </c>
      <c r="C68" s="30">
        <f>Q22</f>
        <v>1.0669999999999999</v>
      </c>
      <c r="J68" t="s">
        <v>635</v>
      </c>
    </row>
    <row r="69" spans="1:10" x14ac:dyDescent="0.3">
      <c r="B69" t="s">
        <v>595</v>
      </c>
      <c r="C69" s="30">
        <f>Q25</f>
        <v>0.94499999999999995</v>
      </c>
    </row>
    <row r="70" spans="1:10" x14ac:dyDescent="0.3">
      <c r="B70" t="s">
        <v>634</v>
      </c>
      <c r="C70" s="30">
        <f>C69/C68</f>
        <v>0.88566073102155574</v>
      </c>
      <c r="J70" t="s">
        <v>633</v>
      </c>
    </row>
    <row r="72" spans="1:10" x14ac:dyDescent="0.3">
      <c r="B72" t="s">
        <v>632</v>
      </c>
      <c r="C72" s="39">
        <f>F59</f>
        <v>321.63859800731666</v>
      </c>
      <c r="J72" t="s">
        <v>631</v>
      </c>
    </row>
    <row r="73" spans="1:10" x14ac:dyDescent="0.3">
      <c r="B73" t="s">
        <v>630</v>
      </c>
      <c r="C73" s="39">
        <f>C72*C70</f>
        <v>284.86267583590836</v>
      </c>
      <c r="J73" t="s">
        <v>629</v>
      </c>
    </row>
    <row r="75" spans="1:10" x14ac:dyDescent="0.3">
      <c r="B75" t="s">
        <v>628</v>
      </c>
      <c r="C75" s="64">
        <f>1/(1+0.25)</f>
        <v>0.8</v>
      </c>
      <c r="J75" t="s">
        <v>753</v>
      </c>
    </row>
    <row r="76" spans="1:10" x14ac:dyDescent="0.3">
      <c r="B76" t="s">
        <v>627</v>
      </c>
      <c r="C76" s="64">
        <f>0.25/(1+0.25)</f>
        <v>0.2</v>
      </c>
    </row>
    <row r="77" spans="1:10" ht="15" thickBot="1" x14ac:dyDescent="0.35"/>
    <row r="78" spans="1:10" ht="15" thickBot="1" x14ac:dyDescent="0.35">
      <c r="B78" t="s">
        <v>626</v>
      </c>
      <c r="C78" s="41">
        <f>C72*C75+C73*C76</f>
        <v>314.28341357303498</v>
      </c>
      <c r="J78" t="s">
        <v>625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1D3A9-5A2C-43FC-817F-B4B4956B512A}">
  <sheetPr>
    <tabColor theme="5" tint="0.39997558519241921"/>
  </sheetPr>
  <dimension ref="A1:S30"/>
  <sheetViews>
    <sheetView zoomScaleNormal="100" workbookViewId="0"/>
  </sheetViews>
  <sheetFormatPr defaultRowHeight="14.4" x14ac:dyDescent="0.3"/>
  <cols>
    <col min="1" max="8" width="12.6640625" customWidth="1"/>
    <col min="9" max="9" width="19.6640625" bestFit="1" customWidth="1"/>
    <col min="10" max="15" width="12.6640625" customWidth="1"/>
  </cols>
  <sheetData>
    <row r="1" spans="1:15" x14ac:dyDescent="0.3">
      <c r="A1" s="89" t="s">
        <v>721</v>
      </c>
    </row>
    <row r="3" spans="1:15" x14ac:dyDescent="0.3">
      <c r="A3" s="11" t="s">
        <v>52</v>
      </c>
    </row>
    <row r="4" spans="1:15" x14ac:dyDescent="0.3">
      <c r="A4" t="s">
        <v>51</v>
      </c>
    </row>
    <row r="7" spans="1:15" x14ac:dyDescent="0.3">
      <c r="B7" s="10" t="s">
        <v>50</v>
      </c>
      <c r="C7" s="9"/>
      <c r="D7" s="9"/>
      <c r="E7" s="8"/>
      <c r="G7" s="10" t="s">
        <v>49</v>
      </c>
      <c r="H7" s="9"/>
      <c r="I7" s="9"/>
      <c r="J7" s="8"/>
      <c r="L7" s="10" t="s">
        <v>48</v>
      </c>
      <c r="M7" s="9"/>
      <c r="N7" s="9"/>
      <c r="O7" s="8"/>
    </row>
    <row r="8" spans="1:15" x14ac:dyDescent="0.3">
      <c r="B8" s="7" t="s">
        <v>47</v>
      </c>
      <c r="C8" s="6"/>
      <c r="D8" s="6"/>
      <c r="E8" s="5"/>
      <c r="G8" s="7" t="s">
        <v>46</v>
      </c>
      <c r="H8" s="6"/>
      <c r="I8" s="6"/>
      <c r="J8" s="5"/>
      <c r="L8" s="7" t="s">
        <v>45</v>
      </c>
      <c r="M8" s="6"/>
      <c r="N8" s="6"/>
      <c r="O8" s="5"/>
    </row>
    <row r="10" spans="1:15" x14ac:dyDescent="0.3">
      <c r="D10" s="13" t="s">
        <v>44</v>
      </c>
      <c r="E10" s="13" t="s">
        <v>43</v>
      </c>
      <c r="H10" t="s">
        <v>42</v>
      </c>
      <c r="I10" t="s">
        <v>41</v>
      </c>
      <c r="L10" t="s">
        <v>41</v>
      </c>
      <c r="M10" t="s">
        <v>40</v>
      </c>
      <c r="N10" s="13" t="s">
        <v>39</v>
      </c>
      <c r="O10" s="13" t="s">
        <v>38</v>
      </c>
    </row>
    <row r="11" spans="1:15" x14ac:dyDescent="0.3">
      <c r="D11" s="13" t="s">
        <v>37</v>
      </c>
      <c r="E11" s="13" t="s">
        <v>36</v>
      </c>
      <c r="H11" t="s">
        <v>35</v>
      </c>
      <c r="I11" t="s">
        <v>34</v>
      </c>
      <c r="L11" t="s">
        <v>33</v>
      </c>
      <c r="M11" t="s">
        <v>32</v>
      </c>
      <c r="N11" s="13" t="s">
        <v>31</v>
      </c>
      <c r="O11" s="13" t="s">
        <v>30</v>
      </c>
    </row>
    <row r="12" spans="1:15" x14ac:dyDescent="0.3">
      <c r="B12" t="s">
        <v>29</v>
      </c>
      <c r="C12" t="s">
        <v>16</v>
      </c>
      <c r="D12" s="2">
        <v>0.85</v>
      </c>
      <c r="E12" s="1">
        <v>1</v>
      </c>
      <c r="G12" t="s">
        <v>26</v>
      </c>
      <c r="H12" s="4">
        <v>2</v>
      </c>
      <c r="I12" t="s">
        <v>28</v>
      </c>
      <c r="L12" t="s">
        <v>27</v>
      </c>
      <c r="M12" t="s">
        <v>26</v>
      </c>
      <c r="N12" s="3">
        <v>120</v>
      </c>
      <c r="O12" s="3">
        <v>4500</v>
      </c>
    </row>
    <row r="13" spans="1:15" x14ac:dyDescent="0.3">
      <c r="C13" t="s">
        <v>13</v>
      </c>
      <c r="D13" s="2">
        <v>0.2</v>
      </c>
      <c r="E13" s="1">
        <v>1</v>
      </c>
      <c r="G13" t="s">
        <v>23</v>
      </c>
      <c r="H13" s="4">
        <v>4</v>
      </c>
      <c r="I13" t="s">
        <v>25</v>
      </c>
      <c r="L13" t="s">
        <v>24</v>
      </c>
      <c r="M13" t="s">
        <v>23</v>
      </c>
      <c r="N13" s="3">
        <v>225</v>
      </c>
      <c r="O13" s="3">
        <v>2200</v>
      </c>
    </row>
    <row r="14" spans="1:15" x14ac:dyDescent="0.3">
      <c r="C14" t="s">
        <v>10</v>
      </c>
      <c r="D14" s="2">
        <v>0.15</v>
      </c>
      <c r="E14" s="1">
        <v>1</v>
      </c>
      <c r="G14" t="s">
        <v>14</v>
      </c>
      <c r="H14" s="4">
        <v>15</v>
      </c>
      <c r="I14" t="s">
        <v>22</v>
      </c>
      <c r="L14" t="s">
        <v>21</v>
      </c>
      <c r="M14" t="s">
        <v>14</v>
      </c>
      <c r="N14" s="3">
        <v>160</v>
      </c>
      <c r="O14" s="3">
        <v>800</v>
      </c>
    </row>
    <row r="15" spans="1:15" x14ac:dyDescent="0.3">
      <c r="G15" t="s">
        <v>18</v>
      </c>
      <c r="H15" s="2">
        <v>0.4</v>
      </c>
      <c r="I15" t="s">
        <v>20</v>
      </c>
      <c r="L15" t="s">
        <v>19</v>
      </c>
      <c r="M15" t="s">
        <v>18</v>
      </c>
      <c r="N15" s="3">
        <v>600</v>
      </c>
      <c r="O15" s="3">
        <v>500</v>
      </c>
    </row>
    <row r="16" spans="1:15" x14ac:dyDescent="0.3">
      <c r="B16" t="s">
        <v>17</v>
      </c>
      <c r="C16" t="s">
        <v>16</v>
      </c>
      <c r="D16" s="2">
        <v>0.88</v>
      </c>
      <c r="E16" s="1">
        <v>0.5</v>
      </c>
      <c r="G16" t="s">
        <v>11</v>
      </c>
      <c r="H16" s="2">
        <v>0.25</v>
      </c>
      <c r="I16" t="s">
        <v>10</v>
      </c>
      <c r="L16" t="s">
        <v>15</v>
      </c>
      <c r="M16" t="s">
        <v>14</v>
      </c>
      <c r="N16" s="3">
        <v>450</v>
      </c>
      <c r="O16" s="3">
        <v>300</v>
      </c>
    </row>
    <row r="17" spans="1:19" x14ac:dyDescent="0.3">
      <c r="C17" t="s">
        <v>13</v>
      </c>
      <c r="D17" s="2">
        <v>0.21</v>
      </c>
      <c r="E17" s="1">
        <v>0.5</v>
      </c>
      <c r="L17" t="s">
        <v>12</v>
      </c>
      <c r="M17" t="s">
        <v>11</v>
      </c>
      <c r="N17" s="3">
        <v>2000</v>
      </c>
      <c r="O17" s="3">
        <v>40</v>
      </c>
    </row>
    <row r="18" spans="1:19" x14ac:dyDescent="0.3">
      <c r="C18" t="s">
        <v>10</v>
      </c>
      <c r="D18" s="13" t="s">
        <v>9</v>
      </c>
      <c r="E18" s="13" t="s">
        <v>9</v>
      </c>
    </row>
    <row r="19" spans="1:19" x14ac:dyDescent="0.3">
      <c r="L19" t="s">
        <v>8</v>
      </c>
    </row>
    <row r="20" spans="1:19" x14ac:dyDescent="0.3">
      <c r="D20" s="2"/>
      <c r="E20" s="1"/>
      <c r="L20" s="2">
        <v>0.06</v>
      </c>
    </row>
    <row r="21" spans="1:19" x14ac:dyDescent="0.3">
      <c r="R21" s="2"/>
      <c r="S21" s="1"/>
    </row>
    <row r="22" spans="1:19" x14ac:dyDescent="0.3">
      <c r="B22" t="s">
        <v>7</v>
      </c>
    </row>
    <row r="24" spans="1:19" x14ac:dyDescent="0.3">
      <c r="A24" t="s">
        <v>6</v>
      </c>
      <c r="B24" t="s">
        <v>5</v>
      </c>
    </row>
    <row r="26" spans="1:19" x14ac:dyDescent="0.3">
      <c r="A26" t="s">
        <v>4</v>
      </c>
      <c r="B26" t="s">
        <v>3</v>
      </c>
    </row>
    <row r="28" spans="1:19" x14ac:dyDescent="0.3">
      <c r="B28" t="s">
        <v>2</v>
      </c>
    </row>
    <row r="30" spans="1:19" x14ac:dyDescent="0.3">
      <c r="A30" t="s">
        <v>1</v>
      </c>
      <c r="B30" t="s">
        <v>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10A7F-95F0-4FDC-BCCB-C8A2386CD241}">
  <sheetPr>
    <tabColor theme="5" tint="0.39997558519241921"/>
  </sheetPr>
  <dimension ref="A1:Q39"/>
  <sheetViews>
    <sheetView zoomScaleNormal="100" workbookViewId="0"/>
  </sheetViews>
  <sheetFormatPr defaultRowHeight="14.4" x14ac:dyDescent="0.3"/>
  <cols>
    <col min="2" max="2" width="30" customWidth="1"/>
    <col min="3" max="3" width="15" bestFit="1" customWidth="1"/>
    <col min="4" max="4" width="18.33203125" bestFit="1" customWidth="1"/>
    <col min="5" max="5" width="16.44140625" bestFit="1" customWidth="1"/>
    <col min="6" max="6" width="18.33203125" bestFit="1" customWidth="1"/>
    <col min="7" max="7" width="17" bestFit="1" customWidth="1"/>
    <col min="8" max="8" width="15.6640625" bestFit="1" customWidth="1"/>
    <col min="9" max="9" width="16.33203125" bestFit="1" customWidth="1"/>
    <col min="10" max="10" width="12.6640625" customWidth="1"/>
    <col min="11" max="12" width="18" customWidth="1"/>
    <col min="13" max="14" width="12.6640625" customWidth="1"/>
    <col min="15" max="15" width="18.5546875" bestFit="1" customWidth="1"/>
    <col min="16" max="17" width="13.88671875" bestFit="1" customWidth="1"/>
    <col min="18" max="19" width="18" customWidth="1"/>
    <col min="20" max="20" width="12.6640625" customWidth="1"/>
    <col min="21" max="21" width="18" customWidth="1"/>
    <col min="22" max="23" width="12.6640625" customWidth="1"/>
    <col min="25" max="30" width="12.6640625" customWidth="1"/>
    <col min="32" max="33" width="12.6640625" customWidth="1"/>
  </cols>
  <sheetData>
    <row r="1" spans="1:12" x14ac:dyDescent="0.3">
      <c r="A1" s="89" t="s">
        <v>721</v>
      </c>
    </row>
    <row r="3" spans="1:12" x14ac:dyDescent="0.3">
      <c r="A3" s="11" t="s">
        <v>52</v>
      </c>
    </row>
    <row r="4" spans="1:12" x14ac:dyDescent="0.3">
      <c r="A4" t="s">
        <v>309</v>
      </c>
    </row>
    <row r="5" spans="1:12" x14ac:dyDescent="0.3">
      <c r="A5" s="11"/>
    </row>
    <row r="7" spans="1:12" x14ac:dyDescent="0.3">
      <c r="B7" s="10" t="s">
        <v>50</v>
      </c>
      <c r="C7" s="9"/>
      <c r="D7" s="8"/>
      <c r="F7" s="10" t="s">
        <v>49</v>
      </c>
      <c r="G7" s="8"/>
      <c r="I7" s="10" t="s">
        <v>48</v>
      </c>
      <c r="J7" s="9"/>
      <c r="K7" s="9"/>
      <c r="L7" s="8"/>
    </row>
    <row r="8" spans="1:12" x14ac:dyDescent="0.3">
      <c r="B8" s="7" t="s">
        <v>674</v>
      </c>
      <c r="C8" s="6"/>
      <c r="D8" s="5"/>
      <c r="F8" s="7" t="s">
        <v>299</v>
      </c>
      <c r="G8" s="5"/>
      <c r="I8" s="7" t="s">
        <v>673</v>
      </c>
      <c r="J8" s="6"/>
      <c r="K8" s="6"/>
      <c r="L8" s="5"/>
    </row>
    <row r="9" spans="1:12" x14ac:dyDescent="0.3">
      <c r="B9" s="47"/>
      <c r="C9" s="47"/>
      <c r="D9" s="47"/>
      <c r="E9" s="47"/>
      <c r="F9" s="47"/>
      <c r="G9" s="47"/>
      <c r="H9" s="47"/>
      <c r="I9" s="47"/>
      <c r="J9" s="47"/>
    </row>
    <row r="10" spans="1:12" x14ac:dyDescent="0.3">
      <c r="F10" t="s">
        <v>292</v>
      </c>
    </row>
    <row r="11" spans="1:12" x14ac:dyDescent="0.3">
      <c r="C11" s="13" t="s">
        <v>664</v>
      </c>
      <c r="D11" s="13" t="s">
        <v>307</v>
      </c>
      <c r="F11" t="s">
        <v>290</v>
      </c>
      <c r="G11" s="13" t="s">
        <v>201</v>
      </c>
      <c r="J11" s="15" t="s">
        <v>664</v>
      </c>
      <c r="K11" s="15" t="s">
        <v>307</v>
      </c>
      <c r="L11" s="15" t="s">
        <v>620</v>
      </c>
    </row>
    <row r="12" spans="1:12" x14ac:dyDescent="0.3">
      <c r="B12" t="s">
        <v>672</v>
      </c>
      <c r="C12" s="51">
        <v>350</v>
      </c>
      <c r="D12" s="51">
        <v>296</v>
      </c>
      <c r="F12" t="s">
        <v>671</v>
      </c>
      <c r="G12" s="13">
        <v>1.25</v>
      </c>
      <c r="I12" t="s">
        <v>670</v>
      </c>
      <c r="J12" s="78">
        <v>0.06</v>
      </c>
      <c r="K12" s="78">
        <v>0.03</v>
      </c>
      <c r="L12" s="78">
        <v>0.05</v>
      </c>
    </row>
    <row r="13" spans="1:12" x14ac:dyDescent="0.3">
      <c r="B13" t="s">
        <v>376</v>
      </c>
      <c r="C13" s="51">
        <v>265</v>
      </c>
      <c r="D13" s="51">
        <v>245</v>
      </c>
      <c r="F13" t="s">
        <v>669</v>
      </c>
      <c r="G13" s="13">
        <v>0.95</v>
      </c>
    </row>
    <row r="14" spans="1:12" x14ac:dyDescent="0.3">
      <c r="B14" t="s">
        <v>351</v>
      </c>
      <c r="C14" s="51">
        <v>125</v>
      </c>
      <c r="D14" s="51">
        <v>130</v>
      </c>
      <c r="F14" t="s">
        <v>668</v>
      </c>
      <c r="G14" s="13">
        <v>0.85</v>
      </c>
    </row>
    <row r="15" spans="1:12" x14ac:dyDescent="0.3">
      <c r="F15" t="s">
        <v>667</v>
      </c>
      <c r="G15" s="13">
        <v>0.75</v>
      </c>
    </row>
    <row r="17" spans="2:17" x14ac:dyDescent="0.3">
      <c r="B17" s="10" t="s">
        <v>93</v>
      </c>
      <c r="C17" s="9"/>
      <c r="D17" s="9"/>
      <c r="E17" s="9"/>
      <c r="F17" s="9"/>
      <c r="G17" s="8"/>
      <c r="I17" s="10" t="s">
        <v>211</v>
      </c>
      <c r="J17" s="9"/>
      <c r="K17" s="9"/>
      <c r="L17" s="9"/>
      <c r="M17" s="8"/>
      <c r="O17" s="10" t="s">
        <v>302</v>
      </c>
      <c r="P17" s="9"/>
      <c r="Q17" s="8"/>
    </row>
    <row r="18" spans="2:17" x14ac:dyDescent="0.3">
      <c r="B18" s="7" t="s">
        <v>666</v>
      </c>
      <c r="C18" s="6"/>
      <c r="D18" s="6"/>
      <c r="E18" s="6"/>
      <c r="F18" s="6"/>
      <c r="G18" s="5"/>
      <c r="I18" s="7" t="s">
        <v>209</v>
      </c>
      <c r="J18" s="6"/>
      <c r="K18" s="6"/>
      <c r="L18" s="6"/>
      <c r="M18" s="5"/>
      <c r="O18" s="7" t="s">
        <v>665</v>
      </c>
      <c r="P18" s="6"/>
      <c r="Q18" s="5"/>
    </row>
    <row r="19" spans="2:17" x14ac:dyDescent="0.3">
      <c r="I19" s="47"/>
      <c r="J19" s="47"/>
      <c r="K19" s="47"/>
      <c r="L19" s="47"/>
      <c r="O19" s="47"/>
      <c r="P19" s="47"/>
      <c r="Q19" s="47"/>
    </row>
    <row r="20" spans="2:17" x14ac:dyDescent="0.3">
      <c r="B20" t="s">
        <v>203</v>
      </c>
      <c r="C20" s="15" t="s">
        <v>202</v>
      </c>
      <c r="D20" s="15" t="s">
        <v>642</v>
      </c>
      <c r="E20" s="15" t="s">
        <v>664</v>
      </c>
      <c r="F20" s="15" t="s">
        <v>307</v>
      </c>
      <c r="G20" s="15" t="s">
        <v>620</v>
      </c>
      <c r="I20" t="s">
        <v>459</v>
      </c>
      <c r="J20" s="15" t="s">
        <v>291</v>
      </c>
      <c r="K20" s="15" t="s">
        <v>664</v>
      </c>
      <c r="L20" s="15" t="s">
        <v>307</v>
      </c>
      <c r="M20" s="15" t="s">
        <v>620</v>
      </c>
      <c r="O20" s="15" t="s">
        <v>136</v>
      </c>
      <c r="P20" s="15" t="s">
        <v>135</v>
      </c>
      <c r="Q20" s="15"/>
    </row>
    <row r="21" spans="2:17" x14ac:dyDescent="0.3">
      <c r="B21" t="s">
        <v>600</v>
      </c>
      <c r="C21" s="15" t="s">
        <v>663</v>
      </c>
      <c r="D21" s="15">
        <v>0.56000000000000005</v>
      </c>
      <c r="E21" s="48">
        <v>0.05</v>
      </c>
      <c r="F21" s="48">
        <v>0.05</v>
      </c>
      <c r="G21" s="48">
        <v>0.05</v>
      </c>
      <c r="I21" t="s">
        <v>662</v>
      </c>
      <c r="J21" s="15">
        <v>0.97</v>
      </c>
      <c r="K21" s="48">
        <v>0.25</v>
      </c>
      <c r="L21" s="48">
        <v>0.1</v>
      </c>
      <c r="M21" s="48">
        <v>0.2</v>
      </c>
      <c r="O21" s="15" t="s">
        <v>132</v>
      </c>
      <c r="P21" s="15" t="s">
        <v>131</v>
      </c>
      <c r="Q21" s="15" t="s">
        <v>130</v>
      </c>
    </row>
    <row r="22" spans="2:17" x14ac:dyDescent="0.3">
      <c r="B22" t="s">
        <v>179</v>
      </c>
      <c r="C22" s="69" t="s">
        <v>659</v>
      </c>
      <c r="D22" s="15">
        <v>0.84</v>
      </c>
      <c r="E22" s="48">
        <v>0.25</v>
      </c>
      <c r="F22" s="48">
        <v>0.2</v>
      </c>
      <c r="G22" s="48">
        <v>0.2</v>
      </c>
      <c r="I22" t="s">
        <v>661</v>
      </c>
      <c r="J22" s="15">
        <v>1.02</v>
      </c>
      <c r="K22" s="48">
        <v>0.35</v>
      </c>
      <c r="L22" s="48">
        <v>0.2</v>
      </c>
      <c r="M22" s="48">
        <v>0.4</v>
      </c>
      <c r="O22" s="15">
        <v>0</v>
      </c>
      <c r="P22" s="59">
        <v>0</v>
      </c>
      <c r="Q22" s="65">
        <v>0.15</v>
      </c>
    </row>
    <row r="23" spans="2:17" x14ac:dyDescent="0.3">
      <c r="B23" t="s">
        <v>179</v>
      </c>
      <c r="C23" s="69" t="s">
        <v>658</v>
      </c>
      <c r="D23" s="15">
        <v>1.08</v>
      </c>
      <c r="E23" s="48">
        <v>0.25</v>
      </c>
      <c r="F23" s="48">
        <v>0.2</v>
      </c>
      <c r="G23" s="48">
        <v>0.25</v>
      </c>
      <c r="I23" t="s">
        <v>660</v>
      </c>
      <c r="J23" s="15">
        <v>1.04</v>
      </c>
      <c r="K23" s="48">
        <v>0.4</v>
      </c>
      <c r="L23" s="48">
        <v>0.7</v>
      </c>
      <c r="M23" s="48">
        <v>0.4</v>
      </c>
      <c r="O23" s="15" t="s">
        <v>126</v>
      </c>
      <c r="P23" s="59">
        <v>75</v>
      </c>
      <c r="Q23" s="65">
        <v>0.05</v>
      </c>
    </row>
    <row r="24" spans="2:17" x14ac:dyDescent="0.3">
      <c r="B24" t="s">
        <v>179</v>
      </c>
      <c r="C24" s="15" t="s">
        <v>591</v>
      </c>
      <c r="D24" s="15">
        <v>1.27</v>
      </c>
      <c r="E24" s="48">
        <v>0.05</v>
      </c>
      <c r="F24" s="48">
        <v>0.05</v>
      </c>
      <c r="G24" s="48">
        <v>0.05</v>
      </c>
      <c r="O24" s="15" t="s">
        <v>124</v>
      </c>
      <c r="P24" s="59">
        <v>170</v>
      </c>
      <c r="Q24" s="65">
        <v>0.16</v>
      </c>
    </row>
    <row r="25" spans="2:17" x14ac:dyDescent="0.3">
      <c r="B25" t="s">
        <v>189</v>
      </c>
      <c r="C25" s="69" t="s">
        <v>659</v>
      </c>
      <c r="D25" s="15">
        <v>0.77</v>
      </c>
      <c r="E25" s="48">
        <v>0.2</v>
      </c>
      <c r="F25" s="48">
        <v>0.2</v>
      </c>
      <c r="G25" s="48">
        <v>0.2</v>
      </c>
      <c r="O25" s="15" t="s">
        <v>123</v>
      </c>
      <c r="P25" s="59">
        <v>360</v>
      </c>
      <c r="Q25" s="65">
        <v>0.2</v>
      </c>
    </row>
    <row r="26" spans="2:17" x14ac:dyDescent="0.3">
      <c r="B26" t="s">
        <v>189</v>
      </c>
      <c r="C26" s="69" t="s">
        <v>658</v>
      </c>
      <c r="D26" s="15">
        <v>0.97</v>
      </c>
      <c r="E26" s="48">
        <v>0.15</v>
      </c>
      <c r="F26" s="48">
        <v>0.25</v>
      </c>
      <c r="G26" s="48">
        <v>0.2</v>
      </c>
      <c r="O26" s="15" t="s">
        <v>122</v>
      </c>
      <c r="P26" s="59">
        <v>720</v>
      </c>
      <c r="Q26" s="65">
        <v>0.24</v>
      </c>
    </row>
    <row r="27" spans="2:17" x14ac:dyDescent="0.3">
      <c r="B27" t="s">
        <v>189</v>
      </c>
      <c r="C27" s="15" t="s">
        <v>591</v>
      </c>
      <c r="D27" s="15">
        <v>1.1299999999999999</v>
      </c>
      <c r="E27" s="48">
        <v>0.05</v>
      </c>
      <c r="F27" s="48">
        <v>0.05</v>
      </c>
      <c r="G27" s="48">
        <v>0.05</v>
      </c>
      <c r="O27" s="15" t="s">
        <v>657</v>
      </c>
      <c r="P27" s="59">
        <v>1400</v>
      </c>
      <c r="Q27" s="65">
        <v>0.12</v>
      </c>
    </row>
    <row r="28" spans="2:17" x14ac:dyDescent="0.3">
      <c r="O28" s="15" t="s">
        <v>656</v>
      </c>
      <c r="P28" s="59">
        <v>3000</v>
      </c>
      <c r="Q28" s="65">
        <v>0.06</v>
      </c>
    </row>
    <row r="29" spans="2:17" x14ac:dyDescent="0.3">
      <c r="O29" s="15" t="s">
        <v>655</v>
      </c>
      <c r="P29" s="59">
        <v>5800</v>
      </c>
      <c r="Q29" s="65">
        <v>0.02</v>
      </c>
    </row>
    <row r="30" spans="2:17" x14ac:dyDescent="0.3">
      <c r="O30" s="13"/>
    </row>
    <row r="31" spans="2:17" x14ac:dyDescent="0.3">
      <c r="B31" t="s">
        <v>654</v>
      </c>
      <c r="O31" s="13"/>
    </row>
    <row r="32" spans="2:17" x14ac:dyDescent="0.3">
      <c r="B32" t="s">
        <v>653</v>
      </c>
    </row>
    <row r="34" spans="1:2" x14ac:dyDescent="0.3">
      <c r="A34" t="s">
        <v>6</v>
      </c>
      <c r="B34" t="s">
        <v>754</v>
      </c>
    </row>
    <row r="36" spans="1:2" x14ac:dyDescent="0.3">
      <c r="B36" t="s">
        <v>652</v>
      </c>
    </row>
    <row r="37" spans="1:2" x14ac:dyDescent="0.3">
      <c r="B37" t="s">
        <v>651</v>
      </c>
    </row>
    <row r="39" spans="1:2" x14ac:dyDescent="0.3">
      <c r="A39" t="s">
        <v>4</v>
      </c>
      <c r="B39" t="s">
        <v>710</v>
      </c>
    </row>
  </sheetData>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81130-ABE7-4C92-8A5A-6D9D50D23D77}">
  <sheetPr>
    <tabColor theme="9" tint="0.59999389629810485"/>
  </sheetPr>
  <dimension ref="A1:Q117"/>
  <sheetViews>
    <sheetView zoomScaleNormal="100" workbookViewId="0"/>
  </sheetViews>
  <sheetFormatPr defaultRowHeight="14.4" x14ac:dyDescent="0.3"/>
  <cols>
    <col min="2" max="2" width="30" customWidth="1"/>
    <col min="3" max="3" width="15" bestFit="1" customWidth="1"/>
    <col min="4" max="4" width="18.33203125" bestFit="1" customWidth="1"/>
    <col min="5" max="5" width="16.44140625" bestFit="1" customWidth="1"/>
    <col min="6" max="6" width="18.33203125" bestFit="1" customWidth="1"/>
    <col min="7" max="7" width="17" bestFit="1" customWidth="1"/>
    <col min="8" max="8" width="15.6640625" bestFit="1" customWidth="1"/>
    <col min="9" max="9" width="16.33203125" bestFit="1" customWidth="1"/>
    <col min="10" max="10" width="12.6640625" customWidth="1"/>
    <col min="11" max="12" width="18" customWidth="1"/>
    <col min="13" max="14" width="12.6640625" customWidth="1"/>
    <col min="15" max="15" width="18.5546875" bestFit="1" customWidth="1"/>
    <col min="16" max="17" width="13.88671875" bestFit="1" customWidth="1"/>
    <col min="18" max="19" width="18" customWidth="1"/>
    <col min="20" max="20" width="12.6640625" customWidth="1"/>
    <col min="21" max="21" width="18" customWidth="1"/>
    <col min="22" max="23" width="12.6640625" customWidth="1"/>
    <col min="25" max="30" width="12.6640625" customWidth="1"/>
    <col min="32" max="33" width="12.6640625" customWidth="1"/>
  </cols>
  <sheetData>
    <row r="1" spans="1:12" x14ac:dyDescent="0.3">
      <c r="A1" s="89" t="s">
        <v>721</v>
      </c>
    </row>
    <row r="3" spans="1:12" x14ac:dyDescent="0.3">
      <c r="A3" s="11" t="s">
        <v>52</v>
      </c>
    </row>
    <row r="4" spans="1:12" x14ac:dyDescent="0.3">
      <c r="A4" t="s">
        <v>309</v>
      </c>
    </row>
    <row r="5" spans="1:12" x14ac:dyDescent="0.3">
      <c r="A5" s="11"/>
    </row>
    <row r="7" spans="1:12" x14ac:dyDescent="0.3">
      <c r="B7" s="10" t="s">
        <v>50</v>
      </c>
      <c r="C7" s="9"/>
      <c r="D7" s="8"/>
      <c r="F7" s="10" t="s">
        <v>49</v>
      </c>
      <c r="G7" s="8"/>
      <c r="I7" s="10" t="s">
        <v>48</v>
      </c>
      <c r="J7" s="9"/>
      <c r="K7" s="9"/>
      <c r="L7" s="8"/>
    </row>
    <row r="8" spans="1:12" x14ac:dyDescent="0.3">
      <c r="B8" s="7" t="s">
        <v>674</v>
      </c>
      <c r="C8" s="6"/>
      <c r="D8" s="5"/>
      <c r="F8" s="7" t="s">
        <v>299</v>
      </c>
      <c r="G8" s="5"/>
      <c r="I8" s="7" t="s">
        <v>673</v>
      </c>
      <c r="J8" s="6"/>
      <c r="K8" s="6"/>
      <c r="L8" s="5"/>
    </row>
    <row r="9" spans="1:12" x14ac:dyDescent="0.3">
      <c r="B9" s="47"/>
      <c r="C9" s="47"/>
      <c r="D9" s="47"/>
      <c r="E9" s="47"/>
      <c r="F9" s="47"/>
      <c r="G9" s="47"/>
      <c r="H9" s="47"/>
      <c r="I9" s="47"/>
      <c r="J9" s="47"/>
    </row>
    <row r="10" spans="1:12" x14ac:dyDescent="0.3">
      <c r="F10" t="s">
        <v>292</v>
      </c>
    </row>
    <row r="11" spans="1:12" x14ac:dyDescent="0.3">
      <c r="C11" s="15" t="s">
        <v>664</v>
      </c>
      <c r="D11" s="15" t="s">
        <v>307</v>
      </c>
      <c r="F11" t="s">
        <v>290</v>
      </c>
      <c r="G11" s="13" t="s">
        <v>201</v>
      </c>
      <c r="J11" s="15" t="s">
        <v>664</v>
      </c>
      <c r="K11" s="15" t="s">
        <v>307</v>
      </c>
      <c r="L11" s="15" t="s">
        <v>620</v>
      </c>
    </row>
    <row r="12" spans="1:12" x14ac:dyDescent="0.3">
      <c r="B12" t="s">
        <v>672</v>
      </c>
      <c r="C12" s="59">
        <v>350</v>
      </c>
      <c r="D12" s="59">
        <v>296</v>
      </c>
      <c r="F12" t="s">
        <v>671</v>
      </c>
      <c r="G12" s="13">
        <v>1.25</v>
      </c>
      <c r="I12" t="s">
        <v>670</v>
      </c>
      <c r="J12" s="78">
        <v>0.06</v>
      </c>
      <c r="K12" s="78">
        <v>0.03</v>
      </c>
      <c r="L12" s="78">
        <v>0.05</v>
      </c>
    </row>
    <row r="13" spans="1:12" x14ac:dyDescent="0.3">
      <c r="B13" t="s">
        <v>376</v>
      </c>
      <c r="C13" s="59">
        <v>265</v>
      </c>
      <c r="D13" s="59">
        <v>245</v>
      </c>
      <c r="F13" t="s">
        <v>669</v>
      </c>
      <c r="G13" s="13">
        <v>0.95</v>
      </c>
    </row>
    <row r="14" spans="1:12" x14ac:dyDescent="0.3">
      <c r="B14" t="s">
        <v>351</v>
      </c>
      <c r="C14" s="59">
        <v>125</v>
      </c>
      <c r="D14" s="59">
        <v>130</v>
      </c>
      <c r="F14" t="s">
        <v>668</v>
      </c>
      <c r="G14" s="13">
        <v>0.85</v>
      </c>
    </row>
    <row r="15" spans="1:12" x14ac:dyDescent="0.3">
      <c r="F15" t="s">
        <v>667</v>
      </c>
      <c r="G15" s="13">
        <v>0.75</v>
      </c>
    </row>
    <row r="17" spans="2:17" x14ac:dyDescent="0.3">
      <c r="B17" s="10" t="s">
        <v>93</v>
      </c>
      <c r="C17" s="9"/>
      <c r="D17" s="9"/>
      <c r="E17" s="9"/>
      <c r="F17" s="9"/>
      <c r="G17" s="8"/>
      <c r="I17" s="10" t="s">
        <v>211</v>
      </c>
      <c r="J17" s="9"/>
      <c r="K17" s="9"/>
      <c r="L17" s="9"/>
      <c r="M17" s="8"/>
      <c r="O17" s="10" t="s">
        <v>302</v>
      </c>
      <c r="P17" s="9"/>
      <c r="Q17" s="8"/>
    </row>
    <row r="18" spans="2:17" x14ac:dyDescent="0.3">
      <c r="B18" s="7" t="s">
        <v>666</v>
      </c>
      <c r="C18" s="6"/>
      <c r="D18" s="6"/>
      <c r="E18" s="6"/>
      <c r="F18" s="6"/>
      <c r="G18" s="5"/>
      <c r="I18" s="7" t="s">
        <v>209</v>
      </c>
      <c r="J18" s="6"/>
      <c r="K18" s="6"/>
      <c r="L18" s="6"/>
      <c r="M18" s="5"/>
      <c r="O18" s="7" t="s">
        <v>665</v>
      </c>
      <c r="P18" s="6"/>
      <c r="Q18" s="5"/>
    </row>
    <row r="19" spans="2:17" x14ac:dyDescent="0.3">
      <c r="I19" s="47"/>
      <c r="J19" s="47"/>
      <c r="K19" s="47"/>
      <c r="L19" s="47"/>
      <c r="O19" s="47"/>
      <c r="P19" s="47"/>
      <c r="Q19" s="47"/>
    </row>
    <row r="20" spans="2:17" x14ac:dyDescent="0.3">
      <c r="B20" t="s">
        <v>203</v>
      </c>
      <c r="C20" s="15" t="s">
        <v>202</v>
      </c>
      <c r="D20" s="15" t="s">
        <v>642</v>
      </c>
      <c r="E20" s="15" t="s">
        <v>664</v>
      </c>
      <c r="F20" s="15" t="s">
        <v>307</v>
      </c>
      <c r="G20" s="15" t="s">
        <v>620</v>
      </c>
      <c r="I20" t="s">
        <v>459</v>
      </c>
      <c r="J20" s="15" t="s">
        <v>291</v>
      </c>
      <c r="K20" s="15" t="s">
        <v>664</v>
      </c>
      <c r="L20" s="15" t="s">
        <v>307</v>
      </c>
      <c r="M20" s="15" t="s">
        <v>620</v>
      </c>
      <c r="O20" s="15" t="s">
        <v>136</v>
      </c>
      <c r="P20" s="15" t="s">
        <v>135</v>
      </c>
      <c r="Q20" s="15"/>
    </row>
    <row r="21" spans="2:17" x14ac:dyDescent="0.3">
      <c r="B21" t="s">
        <v>600</v>
      </c>
      <c r="C21" s="15" t="s">
        <v>663</v>
      </c>
      <c r="D21" s="15">
        <v>0.56000000000000005</v>
      </c>
      <c r="E21" s="48">
        <v>0.05</v>
      </c>
      <c r="F21" s="48">
        <v>0.05</v>
      </c>
      <c r="G21" s="48">
        <v>0.05</v>
      </c>
      <c r="I21" t="s">
        <v>662</v>
      </c>
      <c r="J21" s="15">
        <v>0.97</v>
      </c>
      <c r="K21" s="48">
        <v>0.25</v>
      </c>
      <c r="L21" s="48">
        <v>0.1</v>
      </c>
      <c r="M21" s="48">
        <v>0.2</v>
      </c>
      <c r="O21" s="15" t="s">
        <v>132</v>
      </c>
      <c r="P21" s="15" t="s">
        <v>131</v>
      </c>
      <c r="Q21" s="15" t="s">
        <v>130</v>
      </c>
    </row>
    <row r="22" spans="2:17" x14ac:dyDescent="0.3">
      <c r="B22" t="s">
        <v>179</v>
      </c>
      <c r="C22" s="69" t="s">
        <v>659</v>
      </c>
      <c r="D22" s="15">
        <v>0.84</v>
      </c>
      <c r="E22" s="48">
        <v>0.25</v>
      </c>
      <c r="F22" s="48">
        <v>0.2</v>
      </c>
      <c r="G22" s="48">
        <v>0.2</v>
      </c>
      <c r="I22" t="s">
        <v>661</v>
      </c>
      <c r="J22" s="15">
        <v>1.02</v>
      </c>
      <c r="K22" s="48">
        <v>0.35</v>
      </c>
      <c r="L22" s="48">
        <v>0.2</v>
      </c>
      <c r="M22" s="48">
        <v>0.4</v>
      </c>
      <c r="O22" s="15">
        <v>0</v>
      </c>
      <c r="P22" s="59">
        <v>0</v>
      </c>
      <c r="Q22" s="15">
        <v>0.15</v>
      </c>
    </row>
    <row r="23" spans="2:17" x14ac:dyDescent="0.3">
      <c r="B23" t="s">
        <v>179</v>
      </c>
      <c r="C23" s="69" t="s">
        <v>658</v>
      </c>
      <c r="D23" s="15">
        <v>1.08</v>
      </c>
      <c r="E23" s="48">
        <v>0.25</v>
      </c>
      <c r="F23" s="48">
        <v>0.2</v>
      </c>
      <c r="G23" s="48">
        <v>0.25</v>
      </c>
      <c r="I23" t="s">
        <v>660</v>
      </c>
      <c r="J23" s="15">
        <v>1.04</v>
      </c>
      <c r="K23" s="48">
        <v>0.4</v>
      </c>
      <c r="L23" s="48">
        <v>0.7</v>
      </c>
      <c r="M23" s="48">
        <v>0.4</v>
      </c>
      <c r="O23" s="15" t="s">
        <v>126</v>
      </c>
      <c r="P23" s="59">
        <v>75</v>
      </c>
      <c r="Q23" s="15">
        <v>0.05</v>
      </c>
    </row>
    <row r="24" spans="2:17" x14ac:dyDescent="0.3">
      <c r="B24" t="s">
        <v>179</v>
      </c>
      <c r="C24" s="15" t="s">
        <v>591</v>
      </c>
      <c r="D24" s="15">
        <v>1.27</v>
      </c>
      <c r="E24" s="48">
        <v>0.05</v>
      </c>
      <c r="F24" s="48">
        <v>0.05</v>
      </c>
      <c r="G24" s="48">
        <v>0.05</v>
      </c>
      <c r="O24" s="15" t="s">
        <v>124</v>
      </c>
      <c r="P24" s="59">
        <v>170</v>
      </c>
      <c r="Q24" s="15">
        <v>0.16</v>
      </c>
    </row>
    <row r="25" spans="2:17" x14ac:dyDescent="0.3">
      <c r="B25" t="s">
        <v>189</v>
      </c>
      <c r="C25" s="69" t="s">
        <v>659</v>
      </c>
      <c r="D25" s="15">
        <v>0.77</v>
      </c>
      <c r="E25" s="48">
        <v>0.2</v>
      </c>
      <c r="F25" s="48">
        <v>0.2</v>
      </c>
      <c r="G25" s="48">
        <v>0.2</v>
      </c>
      <c r="O25" s="15" t="s">
        <v>123</v>
      </c>
      <c r="P25" s="59">
        <v>360</v>
      </c>
      <c r="Q25" s="15">
        <v>0.2</v>
      </c>
    </row>
    <row r="26" spans="2:17" x14ac:dyDescent="0.3">
      <c r="B26" t="s">
        <v>189</v>
      </c>
      <c r="C26" s="69" t="s">
        <v>658</v>
      </c>
      <c r="D26" s="15">
        <v>0.97</v>
      </c>
      <c r="E26" s="48">
        <v>0.15</v>
      </c>
      <c r="F26" s="48">
        <v>0.25</v>
      </c>
      <c r="G26" s="48">
        <v>0.2</v>
      </c>
      <c r="O26" s="15" t="s">
        <v>122</v>
      </c>
      <c r="P26" s="59">
        <v>720</v>
      </c>
      <c r="Q26" s="15">
        <v>0.24</v>
      </c>
    </row>
    <row r="27" spans="2:17" x14ac:dyDescent="0.3">
      <c r="B27" t="s">
        <v>189</v>
      </c>
      <c r="C27" s="15" t="s">
        <v>591</v>
      </c>
      <c r="D27" s="15">
        <v>1.1299999999999999</v>
      </c>
      <c r="E27" s="48">
        <v>0.05</v>
      </c>
      <c r="F27" s="48">
        <v>0.05</v>
      </c>
      <c r="G27" s="48">
        <v>0.05</v>
      </c>
      <c r="O27" s="15" t="s">
        <v>657</v>
      </c>
      <c r="P27" s="59">
        <v>1400</v>
      </c>
      <c r="Q27" s="15">
        <v>0.12</v>
      </c>
    </row>
    <row r="28" spans="2:17" x14ac:dyDescent="0.3">
      <c r="O28" s="15" t="s">
        <v>656</v>
      </c>
      <c r="P28" s="59">
        <v>3000</v>
      </c>
      <c r="Q28" s="15">
        <v>0.06</v>
      </c>
    </row>
    <row r="29" spans="2:17" x14ac:dyDescent="0.3">
      <c r="O29" s="15" t="s">
        <v>655</v>
      </c>
      <c r="P29" s="59">
        <v>5800</v>
      </c>
      <c r="Q29" s="15">
        <v>0.02</v>
      </c>
    </row>
    <row r="30" spans="2:17" x14ac:dyDescent="0.3">
      <c r="O30" s="13"/>
    </row>
    <row r="31" spans="2:17" x14ac:dyDescent="0.3">
      <c r="B31" t="s">
        <v>654</v>
      </c>
      <c r="O31" s="13"/>
    </row>
    <row r="32" spans="2:17" x14ac:dyDescent="0.3">
      <c r="B32" t="s">
        <v>653</v>
      </c>
    </row>
    <row r="34" spans="1:11" x14ac:dyDescent="0.3">
      <c r="A34" t="s">
        <v>6</v>
      </c>
      <c r="B34" t="s">
        <v>754</v>
      </c>
    </row>
    <row r="36" spans="1:11" x14ac:dyDescent="0.3">
      <c r="C36" t="s">
        <v>709</v>
      </c>
      <c r="G36" t="s">
        <v>708</v>
      </c>
      <c r="K36" s="24" t="s">
        <v>75</v>
      </c>
    </row>
    <row r="37" spans="1:11" x14ac:dyDescent="0.3">
      <c r="C37" s="15" t="s">
        <v>294</v>
      </c>
      <c r="D37" s="15" t="s">
        <v>293</v>
      </c>
      <c r="E37" s="15" t="s">
        <v>292</v>
      </c>
      <c r="G37" s="15" t="s">
        <v>294</v>
      </c>
      <c r="H37" s="15" t="s">
        <v>293</v>
      </c>
      <c r="I37" s="15" t="s">
        <v>292</v>
      </c>
    </row>
    <row r="38" spans="1:11" x14ac:dyDescent="0.3">
      <c r="B38" s="46" t="s">
        <v>707</v>
      </c>
      <c r="C38" s="59">
        <f>C12</f>
        <v>350</v>
      </c>
      <c r="D38" s="59">
        <f>C13</f>
        <v>265</v>
      </c>
      <c r="E38" s="59">
        <f>C14</f>
        <v>125</v>
      </c>
      <c r="F38" s="40"/>
      <c r="G38" s="59">
        <f>D12</f>
        <v>296</v>
      </c>
      <c r="H38" s="59">
        <f>D13</f>
        <v>245</v>
      </c>
      <c r="I38" s="59">
        <f>D14</f>
        <v>130</v>
      </c>
      <c r="K38" t="s">
        <v>706</v>
      </c>
    </row>
    <row r="39" spans="1:11" x14ac:dyDescent="0.3">
      <c r="B39" t="s">
        <v>705</v>
      </c>
      <c r="C39" s="15"/>
      <c r="D39" s="15"/>
      <c r="E39" s="15"/>
      <c r="G39" s="15"/>
      <c r="H39" s="15"/>
      <c r="I39" s="15"/>
    </row>
    <row r="40" spans="1:11" x14ac:dyDescent="0.3">
      <c r="B40" t="s">
        <v>233</v>
      </c>
      <c r="C40" s="70">
        <f>(1+0.04)^2</f>
        <v>1.0816000000000001</v>
      </c>
      <c r="D40" s="70">
        <f>(1+0.04)^2</f>
        <v>1.0816000000000001</v>
      </c>
      <c r="E40" s="70">
        <f>(1+0.04)^2</f>
        <v>1.0816000000000001</v>
      </c>
      <c r="G40" s="70">
        <f>(1+0.04)^3</f>
        <v>1.1248640000000001</v>
      </c>
      <c r="H40" s="70">
        <f>(1+0.04)^3</f>
        <v>1.1248640000000001</v>
      </c>
      <c r="I40" s="70">
        <f>(1+0.04)^3</f>
        <v>1.1248640000000001</v>
      </c>
      <c r="K40" t="s">
        <v>704</v>
      </c>
    </row>
    <row r="41" spans="1:11" x14ac:dyDescent="0.3">
      <c r="B41" t="s">
        <v>644</v>
      </c>
      <c r="C41" s="70">
        <f>SUMPRODUCT($G$21:$G$27,$D$21:$D$27)/SUMPRODUCT($E$21:$E$27,$D$21:$D$27)</f>
        <v>1.0070080862533695</v>
      </c>
      <c r="D41" s="70">
        <f>SUMPRODUCT($G$21:$G$27,$D$21:$D$27)/SUMPRODUCT($E$21:$E$27,$D$21:$D$27)</f>
        <v>1.0070080862533695</v>
      </c>
      <c r="E41" s="70">
        <f>SUMPRODUCT($G$21:$G$27,$D$21:$D$27)/SUMPRODUCT($E$21:$E$27,$D$21:$D$27)</f>
        <v>1.0070080862533695</v>
      </c>
      <c r="G41" s="70">
        <f>SUMPRODUCT($G$21:$G$27,$D$21:$D$27)/SUMPRODUCT($F$21:$F$27,$D$21:$D$27)</f>
        <v>1.0059235325794293</v>
      </c>
      <c r="H41" s="70">
        <f>SUMPRODUCT($G$21:$G$27,$D$21:$D$27)/SUMPRODUCT($F$21:$F$27,$D$21:$D$27)</f>
        <v>1.0059235325794293</v>
      </c>
      <c r="I41" s="70">
        <f>SUMPRODUCT($G$21:$G$27,$D$21:$D$27)/SUMPRODUCT($F$21:$F$27,$D$21:$D$27)</f>
        <v>1.0059235325794293</v>
      </c>
      <c r="K41" t="s">
        <v>703</v>
      </c>
    </row>
    <row r="42" spans="1:11" x14ac:dyDescent="0.3">
      <c r="B42" t="s">
        <v>640</v>
      </c>
      <c r="C42" s="70">
        <f>SUMPRODUCT($M$21:$M$23,$J$21:$J$23)/SUMPRODUCT($K$21:$K$23,$J$21:$J$23)</f>
        <v>1.0024618414574105</v>
      </c>
      <c r="D42" s="70">
        <f>SUMPRODUCT($M$21:$M$23,$J$21:$J$23)/SUMPRODUCT($K$21:$K$23,$J$21:$J$23)</f>
        <v>1.0024618414574105</v>
      </c>
      <c r="E42" s="70">
        <f>SUMPRODUCT($M$21:$M$23,$J$21:$J$23)/SUMPRODUCT($K$21:$K$23,$J$21:$J$23)</f>
        <v>1.0024618414574105</v>
      </c>
      <c r="G42" s="70">
        <f>SUMPRODUCT($M$21:$M$23,$J$21:$J$23)/SUMPRODUCT($L$21:$L$23,$J$21:$J$23)</f>
        <v>0.98931000971817329</v>
      </c>
      <c r="H42" s="70">
        <f>SUMPRODUCT($M$21:$M$23,$J$21:$J$23)/SUMPRODUCT($L$21:$L$23,$J$21:$J$23)</f>
        <v>0.98931000971817329</v>
      </c>
      <c r="I42" s="70">
        <f>SUMPRODUCT($M$21:$M$23,$J$21:$J$23)/SUMPRODUCT($L$21:$L$23,$J$21:$J$23)</f>
        <v>0.98931000971817329</v>
      </c>
      <c r="K42" t="s">
        <v>702</v>
      </c>
    </row>
    <row r="43" spans="1:11" x14ac:dyDescent="0.3">
      <c r="B43" t="s">
        <v>290</v>
      </c>
      <c r="C43" s="70">
        <v>1</v>
      </c>
      <c r="D43" s="70">
        <v>1</v>
      </c>
      <c r="E43" s="70">
        <v>1</v>
      </c>
      <c r="G43" s="70">
        <f>$G$13</f>
        <v>0.95</v>
      </c>
      <c r="H43" s="70">
        <f>$G$13</f>
        <v>0.95</v>
      </c>
      <c r="I43" s="70">
        <f>$G$13</f>
        <v>0.95</v>
      </c>
      <c r="K43" t="s">
        <v>755</v>
      </c>
    </row>
    <row r="44" spans="1:11" x14ac:dyDescent="0.3">
      <c r="B44" t="s">
        <v>701</v>
      </c>
      <c r="C44" s="70">
        <f>(1-$L$12)/(1-$J$12)</f>
        <v>1.0106382978723405</v>
      </c>
      <c r="D44" s="70">
        <f>(1-$L$12)/(1-$J$12)</f>
        <v>1.0106382978723405</v>
      </c>
      <c r="E44" s="70">
        <f>(1-$L$12)/(1-$J$12)</f>
        <v>1.0106382978723405</v>
      </c>
      <c r="G44" s="70">
        <f>(1-$L$12)/(1-$K$12)</f>
        <v>0.97938144329896903</v>
      </c>
      <c r="H44" s="70">
        <f>(1-$L$12)/(1-$K$12)</f>
        <v>0.97938144329896903</v>
      </c>
      <c r="I44" s="70">
        <f>(1-$L$12)/(1-$K$12)</f>
        <v>0.97938144329896903</v>
      </c>
      <c r="K44" t="s">
        <v>700</v>
      </c>
    </row>
    <row r="45" spans="1:11" x14ac:dyDescent="0.3">
      <c r="C45" s="70"/>
      <c r="D45" s="70"/>
      <c r="E45" s="70"/>
      <c r="G45" s="70"/>
      <c r="H45" s="70"/>
      <c r="I45" s="70"/>
    </row>
    <row r="46" spans="1:11" ht="28.8" x14ac:dyDescent="0.3">
      <c r="B46" s="46" t="s">
        <v>699</v>
      </c>
      <c r="C46" s="58">
        <f>C38*PRODUCT(C40:C44)</f>
        <v>386.21690819199267</v>
      </c>
      <c r="D46" s="58">
        <f>D38*PRODUCT(D40:D44)</f>
        <v>292.42137334536585</v>
      </c>
      <c r="E46" s="58">
        <f>E38*PRODUCT(E40:E44)</f>
        <v>137.93461006856882</v>
      </c>
      <c r="F46" s="39"/>
      <c r="G46" s="58">
        <f>G38*PRODUCT(G40:G44)</f>
        <v>308.29364794901591</v>
      </c>
      <c r="H46" s="58">
        <f>H38*PRODUCT(H40:H44)</f>
        <v>255.175485633476</v>
      </c>
      <c r="I46" s="58">
        <f>I38*PRODUCT(I40:I44)</f>
        <v>135.39923727490563</v>
      </c>
      <c r="K46" t="s">
        <v>698</v>
      </c>
    </row>
    <row r="47" spans="1:11" x14ac:dyDescent="0.3">
      <c r="C47" s="52"/>
      <c r="D47" s="52"/>
      <c r="E47" s="52"/>
      <c r="G47" s="52"/>
      <c r="H47" s="52"/>
      <c r="I47" s="52"/>
    </row>
    <row r="48" spans="1:11" x14ac:dyDescent="0.3">
      <c r="B48" t="s">
        <v>320</v>
      </c>
      <c r="C48" s="71">
        <v>0</v>
      </c>
      <c r="D48" s="71">
        <v>0.25</v>
      </c>
      <c r="E48" s="71">
        <v>0.5</v>
      </c>
      <c r="G48" s="71">
        <v>0</v>
      </c>
      <c r="H48" s="71">
        <v>0.25</v>
      </c>
      <c r="I48" s="71">
        <v>0.5</v>
      </c>
      <c r="K48" t="s">
        <v>697</v>
      </c>
    </row>
    <row r="49" spans="1:11" x14ac:dyDescent="0.3">
      <c r="B49" t="s">
        <v>696</v>
      </c>
      <c r="C49" s="58">
        <f>C46*C48</f>
        <v>0</v>
      </c>
      <c r="D49" s="58">
        <f>D46*D48</f>
        <v>73.105343336341463</v>
      </c>
      <c r="E49" s="58">
        <f>E46*E48</f>
        <v>68.967305034284408</v>
      </c>
      <c r="F49" s="39"/>
      <c r="G49" s="58">
        <f>G46*G48</f>
        <v>0</v>
      </c>
      <c r="H49" s="58">
        <f>H46*H48</f>
        <v>63.793871408369</v>
      </c>
      <c r="I49" s="58">
        <f>I46*I48</f>
        <v>67.699618637452815</v>
      </c>
      <c r="K49" t="s">
        <v>695</v>
      </c>
    </row>
    <row r="50" spans="1:11" x14ac:dyDescent="0.3">
      <c r="C50" s="52"/>
      <c r="D50" s="52"/>
      <c r="E50" s="52"/>
      <c r="G50" s="52"/>
      <c r="H50" s="52"/>
      <c r="I50" s="52"/>
    </row>
    <row r="51" spans="1:11" x14ac:dyDescent="0.3">
      <c r="B51" s="46" t="s">
        <v>694</v>
      </c>
      <c r="C51" s="58">
        <f>C46-C49</f>
        <v>386.21690819199267</v>
      </c>
      <c r="D51" s="58">
        <f>D46-D49</f>
        <v>219.31603000902439</v>
      </c>
      <c r="E51" s="58">
        <f>E46-E49</f>
        <v>68.967305034284408</v>
      </c>
      <c r="F51" s="39"/>
      <c r="G51" s="58">
        <f>G46-G49</f>
        <v>308.29364794901591</v>
      </c>
      <c r="H51" s="58">
        <f>H46-H49</f>
        <v>191.381614225107</v>
      </c>
      <c r="I51" s="58">
        <f>I46-I49</f>
        <v>67.699618637452815</v>
      </c>
      <c r="K51" t="s">
        <v>693</v>
      </c>
    </row>
    <row r="52" spans="1:11" x14ac:dyDescent="0.3">
      <c r="C52" s="52"/>
      <c r="D52" s="52"/>
      <c r="E52" s="52"/>
      <c r="G52" s="43"/>
      <c r="H52" s="43"/>
      <c r="I52" s="43"/>
    </row>
    <row r="53" spans="1:11" x14ac:dyDescent="0.3">
      <c r="B53" t="s">
        <v>692</v>
      </c>
      <c r="C53" s="15"/>
      <c r="D53" s="52"/>
      <c r="E53" s="52" t="s">
        <v>144</v>
      </c>
      <c r="G53" s="43"/>
      <c r="H53" s="43"/>
      <c r="I53" s="43"/>
    </row>
    <row r="54" spans="1:11" x14ac:dyDescent="0.3">
      <c r="B54" t="s">
        <v>407</v>
      </c>
      <c r="C54" s="58">
        <f>SUM(C51:E51)</f>
        <v>674.50024323530147</v>
      </c>
      <c r="D54" s="52"/>
      <c r="E54" s="71">
        <v>0.25</v>
      </c>
      <c r="G54" s="43"/>
      <c r="H54" s="43"/>
      <c r="I54" s="43"/>
    </row>
    <row r="55" spans="1:11" x14ac:dyDescent="0.3">
      <c r="B55" t="s">
        <v>138</v>
      </c>
      <c r="C55" s="58">
        <f>SUM(G51:I51)</f>
        <v>567.37488081157574</v>
      </c>
      <c r="D55" s="52"/>
      <c r="E55" s="71">
        <v>0.75</v>
      </c>
      <c r="G55" s="43"/>
      <c r="H55" s="43"/>
      <c r="I55" s="43"/>
    </row>
    <row r="56" spans="1:11" x14ac:dyDescent="0.3">
      <c r="B56" t="s">
        <v>557</v>
      </c>
      <c r="C56" s="58">
        <f>SUMPRODUCT(C54:C55,E54:E55)</f>
        <v>594.15622141750714</v>
      </c>
      <c r="D56" s="52"/>
      <c r="E56" s="52"/>
      <c r="G56" s="43"/>
      <c r="H56" s="43"/>
      <c r="I56" s="43"/>
      <c r="K56" t="s">
        <v>691</v>
      </c>
    </row>
    <row r="57" spans="1:11" ht="15" thickBot="1" x14ac:dyDescent="0.35">
      <c r="C57" s="58"/>
      <c r="D57" s="52"/>
      <c r="E57" s="52"/>
      <c r="G57" s="43"/>
      <c r="H57" s="43"/>
      <c r="I57" s="43"/>
    </row>
    <row r="58" spans="1:11" ht="15" thickBot="1" x14ac:dyDescent="0.35">
      <c r="B58" t="s">
        <v>690</v>
      </c>
      <c r="C58" s="79">
        <f>C56/12</f>
        <v>49.513018451458926</v>
      </c>
      <c r="D58" s="52"/>
      <c r="E58" s="52"/>
      <c r="G58" s="43"/>
      <c r="H58" s="43"/>
      <c r="I58" s="43"/>
      <c r="K58" t="s">
        <v>689</v>
      </c>
    </row>
    <row r="60" spans="1:11" x14ac:dyDescent="0.3">
      <c r="B60" t="s">
        <v>652</v>
      </c>
    </row>
    <row r="61" spans="1:11" x14ac:dyDescent="0.3">
      <c r="B61" t="s">
        <v>651</v>
      </c>
    </row>
    <row r="63" spans="1:11" x14ac:dyDescent="0.3">
      <c r="A63" t="s">
        <v>4</v>
      </c>
      <c r="B63" t="s">
        <v>710</v>
      </c>
    </row>
    <row r="65" spans="2:10" x14ac:dyDescent="0.3">
      <c r="B65" s="80"/>
      <c r="C65" s="80"/>
      <c r="D65" s="80"/>
      <c r="E65" s="15" t="s">
        <v>687</v>
      </c>
      <c r="H65" s="45"/>
      <c r="J65" s="24" t="s">
        <v>75</v>
      </c>
    </row>
    <row r="66" spans="2:10" x14ac:dyDescent="0.3">
      <c r="B66" s="15" t="s">
        <v>136</v>
      </c>
      <c r="C66" s="15" t="s">
        <v>135</v>
      </c>
      <c r="D66" s="15"/>
      <c r="E66" s="15" t="s">
        <v>135</v>
      </c>
    </row>
    <row r="67" spans="2:10" x14ac:dyDescent="0.3">
      <c r="B67" s="15" t="s">
        <v>132</v>
      </c>
      <c r="C67" s="15" t="s">
        <v>131</v>
      </c>
      <c r="D67" s="15" t="s">
        <v>130</v>
      </c>
      <c r="E67" s="15" t="s">
        <v>131</v>
      </c>
      <c r="J67" t="s">
        <v>688</v>
      </c>
    </row>
    <row r="68" spans="2:10" x14ac:dyDescent="0.3">
      <c r="B68" s="15">
        <f t="shared" ref="B68:D75" si="0">O22</f>
        <v>0</v>
      </c>
      <c r="C68" s="59">
        <f t="shared" si="0"/>
        <v>0</v>
      </c>
      <c r="D68" s="65">
        <f t="shared" si="0"/>
        <v>0.15</v>
      </c>
      <c r="E68" s="59">
        <f t="shared" ref="E68:E75" si="1">MIN(C68,2500)</f>
        <v>0</v>
      </c>
    </row>
    <row r="69" spans="2:10" x14ac:dyDescent="0.3">
      <c r="B69" s="15" t="str">
        <f t="shared" si="0"/>
        <v>$0.01 - $100.00</v>
      </c>
      <c r="C69" s="59">
        <f t="shared" si="0"/>
        <v>75</v>
      </c>
      <c r="D69" s="65">
        <f t="shared" si="0"/>
        <v>0.05</v>
      </c>
      <c r="E69" s="59">
        <f t="shared" si="1"/>
        <v>75</v>
      </c>
    </row>
    <row r="70" spans="2:10" x14ac:dyDescent="0.3">
      <c r="B70" s="15" t="str">
        <f t="shared" si="0"/>
        <v>$100.01 - $250.00</v>
      </c>
      <c r="C70" s="59">
        <f t="shared" si="0"/>
        <v>170</v>
      </c>
      <c r="D70" s="65">
        <f t="shared" si="0"/>
        <v>0.16</v>
      </c>
      <c r="E70" s="59">
        <f t="shared" si="1"/>
        <v>170</v>
      </c>
    </row>
    <row r="71" spans="2:10" x14ac:dyDescent="0.3">
      <c r="B71" s="15" t="str">
        <f t="shared" si="0"/>
        <v>$250.01 - $500.00</v>
      </c>
      <c r="C71" s="59">
        <f t="shared" si="0"/>
        <v>360</v>
      </c>
      <c r="D71" s="65">
        <f t="shared" si="0"/>
        <v>0.2</v>
      </c>
      <c r="E71" s="59">
        <f t="shared" si="1"/>
        <v>360</v>
      </c>
    </row>
    <row r="72" spans="2:10" x14ac:dyDescent="0.3">
      <c r="B72" s="15" t="str">
        <f t="shared" si="0"/>
        <v>$500.01 - $1,000.00</v>
      </c>
      <c r="C72" s="59">
        <f t="shared" si="0"/>
        <v>720</v>
      </c>
      <c r="D72" s="65">
        <f t="shared" si="0"/>
        <v>0.24</v>
      </c>
      <c r="E72" s="59">
        <f t="shared" si="1"/>
        <v>720</v>
      </c>
    </row>
    <row r="73" spans="2:10" x14ac:dyDescent="0.3">
      <c r="B73" s="15" t="str">
        <f t="shared" si="0"/>
        <v>$1,000.01 - $2,500.00</v>
      </c>
      <c r="C73" s="59">
        <f t="shared" si="0"/>
        <v>1400</v>
      </c>
      <c r="D73" s="65">
        <f t="shared" si="0"/>
        <v>0.12</v>
      </c>
      <c r="E73" s="59">
        <f t="shared" si="1"/>
        <v>1400</v>
      </c>
    </row>
    <row r="74" spans="2:10" x14ac:dyDescent="0.3">
      <c r="B74" s="15" t="str">
        <f t="shared" si="0"/>
        <v>$2,500.01 - $5,000.00</v>
      </c>
      <c r="C74" s="59">
        <f t="shared" si="0"/>
        <v>3000</v>
      </c>
      <c r="D74" s="65">
        <f t="shared" si="0"/>
        <v>0.06</v>
      </c>
      <c r="E74" s="59">
        <f t="shared" si="1"/>
        <v>2500</v>
      </c>
    </row>
    <row r="75" spans="2:10" x14ac:dyDescent="0.3">
      <c r="B75" s="15" t="str">
        <f t="shared" si="0"/>
        <v>$5,000 +</v>
      </c>
      <c r="C75" s="59">
        <f t="shared" si="0"/>
        <v>5800</v>
      </c>
      <c r="D75" s="65">
        <f t="shared" si="0"/>
        <v>0.02</v>
      </c>
      <c r="E75" s="59">
        <f t="shared" si="1"/>
        <v>2500</v>
      </c>
    </row>
    <row r="76" spans="2:10" x14ac:dyDescent="0.3">
      <c r="B76" s="13"/>
    </row>
    <row r="77" spans="2:10" x14ac:dyDescent="0.3">
      <c r="B77" s="15"/>
      <c r="C77" s="15"/>
      <c r="D77" s="15" t="s">
        <v>687</v>
      </c>
    </row>
    <row r="78" spans="2:10" x14ac:dyDescent="0.3">
      <c r="B78" s="15" t="str">
        <f t="shared" ref="B78:B87" si="2">B66</f>
        <v>Claim</v>
      </c>
      <c r="C78" s="15" t="s">
        <v>172</v>
      </c>
      <c r="D78" s="15" t="s">
        <v>172</v>
      </c>
      <c r="E78" s="74"/>
      <c r="H78" s="74"/>
    </row>
    <row r="79" spans="2:10" x14ac:dyDescent="0.3">
      <c r="B79" s="15" t="str">
        <f t="shared" si="2"/>
        <v>Range</v>
      </c>
      <c r="C79" s="15" t="s">
        <v>168</v>
      </c>
      <c r="D79" s="15" t="s">
        <v>168</v>
      </c>
      <c r="E79" s="74"/>
      <c r="H79" s="74"/>
    </row>
    <row r="80" spans="2:10" x14ac:dyDescent="0.3">
      <c r="B80" s="15">
        <f t="shared" si="2"/>
        <v>0</v>
      </c>
      <c r="C80" s="81">
        <f t="shared" ref="C80:D87" si="3">C68*D68</f>
        <v>0</v>
      </c>
      <c r="D80" s="81">
        <f t="shared" si="3"/>
        <v>0</v>
      </c>
      <c r="E80" s="74"/>
      <c r="H80" s="74"/>
      <c r="J80" t="s">
        <v>686</v>
      </c>
    </row>
    <row r="81" spans="2:10" x14ac:dyDescent="0.3">
      <c r="B81" s="15" t="str">
        <f t="shared" si="2"/>
        <v>$0.01 - $100.00</v>
      </c>
      <c r="C81" s="58">
        <f t="shared" si="3"/>
        <v>3.75</v>
      </c>
      <c r="D81" s="58">
        <f t="shared" si="3"/>
        <v>3.75</v>
      </c>
      <c r="E81" s="74"/>
      <c r="H81" s="74"/>
    </row>
    <row r="82" spans="2:10" x14ac:dyDescent="0.3">
      <c r="B82" s="15" t="str">
        <f t="shared" si="2"/>
        <v>$100.01 - $250.00</v>
      </c>
      <c r="C82" s="58">
        <f t="shared" si="3"/>
        <v>27.2</v>
      </c>
      <c r="D82" s="58">
        <f t="shared" si="3"/>
        <v>27.2</v>
      </c>
      <c r="E82" s="74"/>
      <c r="H82" s="74"/>
    </row>
    <row r="83" spans="2:10" x14ac:dyDescent="0.3">
      <c r="B83" s="15" t="str">
        <f t="shared" si="2"/>
        <v>$250.01 - $500.00</v>
      </c>
      <c r="C83" s="58">
        <f t="shared" si="3"/>
        <v>72</v>
      </c>
      <c r="D83" s="58">
        <f t="shared" si="3"/>
        <v>72</v>
      </c>
      <c r="E83" s="74"/>
      <c r="H83" s="74"/>
    </row>
    <row r="84" spans="2:10" x14ac:dyDescent="0.3">
      <c r="B84" s="15" t="str">
        <f t="shared" si="2"/>
        <v>$500.01 - $1,000.00</v>
      </c>
      <c r="C84" s="58">
        <f t="shared" si="3"/>
        <v>172.79999999999998</v>
      </c>
      <c r="D84" s="58">
        <f t="shared" si="3"/>
        <v>172.79999999999998</v>
      </c>
      <c r="E84" s="74"/>
      <c r="H84" s="74"/>
    </row>
    <row r="85" spans="2:10" x14ac:dyDescent="0.3">
      <c r="B85" s="15" t="str">
        <f t="shared" si="2"/>
        <v>$1,000.01 - $2,500.00</v>
      </c>
      <c r="C85" s="58">
        <f t="shared" si="3"/>
        <v>168</v>
      </c>
      <c r="D85" s="58">
        <f t="shared" si="3"/>
        <v>168</v>
      </c>
      <c r="E85" s="74"/>
      <c r="H85" s="74"/>
    </row>
    <row r="86" spans="2:10" x14ac:dyDescent="0.3">
      <c r="B86" s="15" t="str">
        <f t="shared" si="2"/>
        <v>$2,500.01 - $5,000.00</v>
      </c>
      <c r="C86" s="58">
        <f t="shared" si="3"/>
        <v>180</v>
      </c>
      <c r="D86" s="58">
        <f t="shared" si="3"/>
        <v>150</v>
      </c>
      <c r="H86" s="23"/>
    </row>
    <row r="87" spans="2:10" x14ac:dyDescent="0.3">
      <c r="B87" s="15" t="str">
        <f t="shared" si="2"/>
        <v>$5,000 +</v>
      </c>
      <c r="C87" s="58">
        <f t="shared" si="3"/>
        <v>116</v>
      </c>
      <c r="D87" s="58">
        <f t="shared" si="3"/>
        <v>50</v>
      </c>
      <c r="H87" s="23"/>
    </row>
    <row r="88" spans="2:10" x14ac:dyDescent="0.3">
      <c r="B88" s="15"/>
      <c r="C88" s="58"/>
      <c r="D88" s="58"/>
    </row>
    <row r="89" spans="2:10" x14ac:dyDescent="0.3">
      <c r="B89" s="15" t="s">
        <v>53</v>
      </c>
      <c r="C89" s="58">
        <f>SUM(C80:C87)</f>
        <v>739.75</v>
      </c>
      <c r="D89" s="58">
        <f>SUM(D80:D87)</f>
        <v>643.75</v>
      </c>
    </row>
    <row r="90" spans="2:10" x14ac:dyDescent="0.3">
      <c r="B90" s="15"/>
      <c r="C90" s="58"/>
      <c r="D90" s="58"/>
    </row>
    <row r="91" spans="2:10" x14ac:dyDescent="0.3">
      <c r="B91" s="15" t="s">
        <v>678</v>
      </c>
      <c r="C91" s="58">
        <f>C89-D89</f>
        <v>96</v>
      </c>
      <c r="D91" s="58"/>
      <c r="J91" t="s">
        <v>685</v>
      </c>
    </row>
    <row r="92" spans="2:10" x14ac:dyDescent="0.3">
      <c r="B92" s="15"/>
      <c r="C92" s="15"/>
      <c r="D92" s="15"/>
      <c r="E92" s="15"/>
      <c r="F92" s="15"/>
      <c r="G92" s="15"/>
      <c r="H92" s="15" t="s">
        <v>174</v>
      </c>
    </row>
    <row r="93" spans="2:10" x14ac:dyDescent="0.3">
      <c r="B93" s="15"/>
      <c r="C93" s="15"/>
      <c r="D93" s="15"/>
      <c r="E93" s="15"/>
      <c r="F93" s="15"/>
      <c r="G93" s="15"/>
      <c r="H93" s="15" t="s">
        <v>173</v>
      </c>
    </row>
    <row r="94" spans="2:10" x14ac:dyDescent="0.3">
      <c r="B94" s="15" t="str">
        <f t="shared" ref="B94:C103" si="4">B66</f>
        <v>Claim</v>
      </c>
      <c r="C94" s="15" t="str">
        <f t="shared" si="4"/>
        <v>Average</v>
      </c>
      <c r="D94" s="15"/>
      <c r="E94" s="15" t="s">
        <v>172</v>
      </c>
      <c r="F94" s="15" t="s">
        <v>171</v>
      </c>
      <c r="G94" s="15" t="s">
        <v>170</v>
      </c>
      <c r="H94" s="15" t="s">
        <v>169</v>
      </c>
    </row>
    <row r="95" spans="2:10" x14ac:dyDescent="0.3">
      <c r="B95" s="15" t="str">
        <f t="shared" si="4"/>
        <v>Range</v>
      </c>
      <c r="C95" s="15" t="str">
        <f t="shared" si="4"/>
        <v>Annual Claims</v>
      </c>
      <c r="D95" s="15" t="str">
        <f t="shared" ref="D95:D103" si="5">D67</f>
        <v>Frequency</v>
      </c>
      <c r="E95" s="15" t="s">
        <v>168</v>
      </c>
      <c r="F95" s="15"/>
      <c r="G95" s="15" t="s">
        <v>130</v>
      </c>
      <c r="H95" s="15" t="s">
        <v>167</v>
      </c>
    </row>
    <row r="96" spans="2:10" x14ac:dyDescent="0.3">
      <c r="B96" s="15">
        <f t="shared" si="4"/>
        <v>0</v>
      </c>
      <c r="C96" s="59">
        <f t="shared" si="4"/>
        <v>0</v>
      </c>
      <c r="D96" s="65">
        <f t="shared" si="5"/>
        <v>0.15</v>
      </c>
      <c r="E96" s="58">
        <f t="shared" ref="E96:E103" si="6">C68*D68</f>
        <v>0</v>
      </c>
      <c r="F96" s="59">
        <v>0</v>
      </c>
      <c r="G96" s="65">
        <v>1</v>
      </c>
      <c r="H96" s="58">
        <f>SUM(E$96:$E96)+F96*G97</f>
        <v>0</v>
      </c>
      <c r="J96" t="s">
        <v>684</v>
      </c>
    </row>
    <row r="97" spans="2:10" x14ac:dyDescent="0.3">
      <c r="B97" s="15" t="str">
        <f t="shared" si="4"/>
        <v>$0.01 - $100.00</v>
      </c>
      <c r="C97" s="59">
        <f t="shared" si="4"/>
        <v>75</v>
      </c>
      <c r="D97" s="65">
        <f t="shared" si="5"/>
        <v>0.05</v>
      </c>
      <c r="E97" s="58">
        <f t="shared" si="6"/>
        <v>3.75</v>
      </c>
      <c r="F97" s="59">
        <v>100</v>
      </c>
      <c r="G97" s="65">
        <f t="shared" ref="G97:G103" si="7">G96-D68</f>
        <v>0.85</v>
      </c>
      <c r="H97" s="58">
        <f>SUM(E$96:$E97)+F97*G98</f>
        <v>83.75</v>
      </c>
    </row>
    <row r="98" spans="2:10" x14ac:dyDescent="0.3">
      <c r="B98" s="15" t="str">
        <f t="shared" si="4"/>
        <v>$100.01 - $250.00</v>
      </c>
      <c r="C98" s="59">
        <f t="shared" si="4"/>
        <v>170</v>
      </c>
      <c r="D98" s="65">
        <f t="shared" si="5"/>
        <v>0.16</v>
      </c>
      <c r="E98" s="58">
        <f t="shared" si="6"/>
        <v>27.2</v>
      </c>
      <c r="F98" s="59">
        <v>250</v>
      </c>
      <c r="G98" s="65">
        <f t="shared" si="7"/>
        <v>0.79999999999999993</v>
      </c>
      <c r="H98" s="58">
        <f>SUM(E$96:$E98)+F98*G99</f>
        <v>190.94999999999996</v>
      </c>
    </row>
    <row r="99" spans="2:10" x14ac:dyDescent="0.3">
      <c r="B99" s="15" t="str">
        <f t="shared" si="4"/>
        <v>$250.01 - $500.00</v>
      </c>
      <c r="C99" s="59">
        <f t="shared" si="4"/>
        <v>360</v>
      </c>
      <c r="D99" s="65">
        <f t="shared" si="5"/>
        <v>0.2</v>
      </c>
      <c r="E99" s="58">
        <f t="shared" si="6"/>
        <v>72</v>
      </c>
      <c r="F99" s="59">
        <v>500</v>
      </c>
      <c r="G99" s="65">
        <f t="shared" si="7"/>
        <v>0.6399999999999999</v>
      </c>
      <c r="H99" s="58">
        <f>SUM(E$96:$E99)+F99*G100</f>
        <v>322.94999999999993</v>
      </c>
    </row>
    <row r="100" spans="2:10" x14ac:dyDescent="0.3">
      <c r="B100" s="15" t="str">
        <f t="shared" si="4"/>
        <v>$500.01 - $1,000.00</v>
      </c>
      <c r="C100" s="59">
        <f t="shared" si="4"/>
        <v>720</v>
      </c>
      <c r="D100" s="65">
        <f t="shared" si="5"/>
        <v>0.24</v>
      </c>
      <c r="E100" s="58">
        <f t="shared" si="6"/>
        <v>172.79999999999998</v>
      </c>
      <c r="F100" s="59">
        <v>1000</v>
      </c>
      <c r="G100" s="65">
        <f t="shared" si="7"/>
        <v>0.43999999999999989</v>
      </c>
      <c r="H100" s="58">
        <f>SUM(E$96:$E100)+F100*G101</f>
        <v>475.74999999999989</v>
      </c>
    </row>
    <row r="101" spans="2:10" x14ac:dyDescent="0.3">
      <c r="B101" s="15" t="str">
        <f t="shared" si="4"/>
        <v>$1,000.01 - $2,500.00</v>
      </c>
      <c r="C101" s="59">
        <f t="shared" si="4"/>
        <v>1400</v>
      </c>
      <c r="D101" s="65">
        <f t="shared" si="5"/>
        <v>0.12</v>
      </c>
      <c r="E101" s="58">
        <f t="shared" si="6"/>
        <v>168</v>
      </c>
      <c r="F101" s="59">
        <v>2500</v>
      </c>
      <c r="G101" s="65">
        <f t="shared" si="7"/>
        <v>0.1999999999999999</v>
      </c>
      <c r="H101" s="58">
        <f>SUM(E$96:$E101)+F101*G102</f>
        <v>643.74999999999977</v>
      </c>
    </row>
    <row r="102" spans="2:10" x14ac:dyDescent="0.3">
      <c r="B102" s="15" t="str">
        <f t="shared" si="4"/>
        <v>$2,500.01 - $5,000.00</v>
      </c>
      <c r="C102" s="59">
        <f t="shared" si="4"/>
        <v>3000</v>
      </c>
      <c r="D102" s="65">
        <f t="shared" si="5"/>
        <v>0.06</v>
      </c>
      <c r="E102" s="58">
        <f t="shared" si="6"/>
        <v>180</v>
      </c>
      <c r="F102" s="59">
        <v>5000</v>
      </c>
      <c r="G102" s="65">
        <f t="shared" si="7"/>
        <v>7.9999999999999905E-2</v>
      </c>
      <c r="H102" s="58">
        <f>SUM(E$96:$E102)+F102*G103</f>
        <v>723.74999999999955</v>
      </c>
    </row>
    <row r="103" spans="2:10" x14ac:dyDescent="0.3">
      <c r="B103" s="15" t="str">
        <f t="shared" si="4"/>
        <v>$5,000 +</v>
      </c>
      <c r="C103" s="59">
        <f t="shared" si="4"/>
        <v>5800</v>
      </c>
      <c r="D103" s="65">
        <f t="shared" si="5"/>
        <v>0.02</v>
      </c>
      <c r="E103" s="58">
        <f t="shared" si="6"/>
        <v>116</v>
      </c>
      <c r="F103" s="15"/>
      <c r="G103" s="65">
        <f t="shared" si="7"/>
        <v>1.9999999999999907E-2</v>
      </c>
      <c r="H103" s="82"/>
    </row>
    <row r="105" spans="2:10" x14ac:dyDescent="0.3">
      <c r="B105" t="s">
        <v>683</v>
      </c>
      <c r="J105" t="s">
        <v>682</v>
      </c>
    </row>
    <row r="106" spans="2:10" x14ac:dyDescent="0.3">
      <c r="B106" t="s">
        <v>162</v>
      </c>
      <c r="C106" s="40">
        <f>F97</f>
        <v>100</v>
      </c>
      <c r="J106" t="s">
        <v>681</v>
      </c>
    </row>
    <row r="107" spans="2:10" x14ac:dyDescent="0.3">
      <c r="B107" t="s">
        <v>160</v>
      </c>
      <c r="C107" s="39">
        <f>H97</f>
        <v>83.75</v>
      </c>
    </row>
    <row r="108" spans="2:10" x14ac:dyDescent="0.3">
      <c r="B108" t="s">
        <v>680</v>
      </c>
    </row>
    <row r="109" spans="2:10" x14ac:dyDescent="0.3">
      <c r="B109" t="s">
        <v>162</v>
      </c>
      <c r="C109" s="40">
        <f>F98</f>
        <v>250</v>
      </c>
    </row>
    <row r="110" spans="2:10" x14ac:dyDescent="0.3">
      <c r="B110" t="s">
        <v>160</v>
      </c>
      <c r="C110" s="39">
        <f>H98</f>
        <v>190.94999999999996</v>
      </c>
    </row>
    <row r="111" spans="2:10" x14ac:dyDescent="0.3">
      <c r="C111" s="39"/>
    </row>
    <row r="112" spans="2:10" x14ac:dyDescent="0.3">
      <c r="B112" t="s">
        <v>162</v>
      </c>
      <c r="C112" s="39">
        <v>117.14085820895521</v>
      </c>
      <c r="J112" t="s">
        <v>679</v>
      </c>
    </row>
    <row r="113" spans="2:10" x14ac:dyDescent="0.3">
      <c r="B113" t="s">
        <v>160</v>
      </c>
      <c r="C113" s="39">
        <f>C107+(C112-C106)/(C109-C106)*(C110-C107)</f>
        <v>95.999999999999986</v>
      </c>
      <c r="D113" s="23"/>
      <c r="J113" t="s">
        <v>756</v>
      </c>
    </row>
    <row r="114" spans="2:10" x14ac:dyDescent="0.3">
      <c r="B114" t="s">
        <v>678</v>
      </c>
      <c r="C114" s="39">
        <f>C91</f>
        <v>96</v>
      </c>
    </row>
    <row r="115" spans="2:10" x14ac:dyDescent="0.3">
      <c r="B115" t="s">
        <v>677</v>
      </c>
      <c r="C115" s="39">
        <f>C113-C114</f>
        <v>0</v>
      </c>
    </row>
    <row r="116" spans="2:10" ht="15" thickBot="1" x14ac:dyDescent="0.35">
      <c r="C116" s="39"/>
    </row>
    <row r="117" spans="2:10" ht="15" thickBot="1" x14ac:dyDescent="0.35">
      <c r="B117" t="s">
        <v>676</v>
      </c>
      <c r="C117" s="41">
        <f>ROUND(C112,-1)</f>
        <v>120</v>
      </c>
      <c r="J117" t="s">
        <v>675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7651E-99F1-40D9-87D3-A951005C583B}">
  <sheetPr>
    <tabColor theme="9" tint="0.59999389629810485"/>
  </sheetPr>
  <dimension ref="A1:P80"/>
  <sheetViews>
    <sheetView zoomScaleNormal="100" workbookViewId="0"/>
  </sheetViews>
  <sheetFormatPr defaultRowHeight="14.4" x14ac:dyDescent="0.3"/>
  <cols>
    <col min="1" max="8" width="12.6640625" customWidth="1"/>
    <col min="9" max="9" width="19.6640625" bestFit="1" customWidth="1"/>
    <col min="10" max="15" width="12.6640625" customWidth="1"/>
  </cols>
  <sheetData>
    <row r="1" spans="1:15" x14ac:dyDescent="0.3">
      <c r="A1" s="89" t="s">
        <v>721</v>
      </c>
    </row>
    <row r="3" spans="1:15" x14ac:dyDescent="0.3">
      <c r="A3" s="11" t="s">
        <v>52</v>
      </c>
    </row>
    <row r="4" spans="1:15" x14ac:dyDescent="0.3">
      <c r="A4" t="s">
        <v>51</v>
      </c>
    </row>
    <row r="7" spans="1:15" x14ac:dyDescent="0.3">
      <c r="B7" s="10" t="s">
        <v>50</v>
      </c>
      <c r="C7" s="9"/>
      <c r="D7" s="9"/>
      <c r="E7" s="8"/>
      <c r="G7" s="10" t="s">
        <v>49</v>
      </c>
      <c r="H7" s="9"/>
      <c r="I7" s="9"/>
      <c r="J7" s="8"/>
      <c r="L7" s="10" t="s">
        <v>48</v>
      </c>
      <c r="M7" s="9"/>
      <c r="N7" s="9"/>
      <c r="O7" s="8"/>
    </row>
    <row r="8" spans="1:15" x14ac:dyDescent="0.3">
      <c r="B8" s="7" t="s">
        <v>47</v>
      </c>
      <c r="C8" s="6"/>
      <c r="D8" s="6"/>
      <c r="E8" s="5"/>
      <c r="G8" s="7" t="s">
        <v>46</v>
      </c>
      <c r="H8" s="6"/>
      <c r="I8" s="6"/>
      <c r="J8" s="5"/>
      <c r="L8" s="7" t="s">
        <v>45</v>
      </c>
      <c r="M8" s="6"/>
      <c r="N8" s="6"/>
      <c r="O8" s="5"/>
    </row>
    <row r="10" spans="1:15" x14ac:dyDescent="0.3">
      <c r="D10" s="13" t="s">
        <v>44</v>
      </c>
      <c r="E10" s="13" t="s">
        <v>43</v>
      </c>
      <c r="H10" t="s">
        <v>42</v>
      </c>
      <c r="I10" t="s">
        <v>41</v>
      </c>
      <c r="L10" t="s">
        <v>41</v>
      </c>
      <c r="M10" t="s">
        <v>40</v>
      </c>
      <c r="N10" s="13" t="s">
        <v>39</v>
      </c>
      <c r="O10" s="13" t="s">
        <v>38</v>
      </c>
    </row>
    <row r="11" spans="1:15" x14ac:dyDescent="0.3">
      <c r="D11" s="13" t="s">
        <v>37</v>
      </c>
      <c r="E11" s="13" t="s">
        <v>36</v>
      </c>
      <c r="H11" t="s">
        <v>35</v>
      </c>
      <c r="I11" t="s">
        <v>34</v>
      </c>
      <c r="L11" t="s">
        <v>33</v>
      </c>
      <c r="M11" t="s">
        <v>32</v>
      </c>
      <c r="N11" s="13" t="s">
        <v>31</v>
      </c>
      <c r="O11" s="13" t="s">
        <v>30</v>
      </c>
    </row>
    <row r="12" spans="1:15" x14ac:dyDescent="0.3">
      <c r="B12" t="s">
        <v>29</v>
      </c>
      <c r="C12" t="s">
        <v>16</v>
      </c>
      <c r="D12" s="2">
        <v>0.85</v>
      </c>
      <c r="E12" s="1">
        <v>1</v>
      </c>
      <c r="G12" t="s">
        <v>26</v>
      </c>
      <c r="H12" s="4">
        <v>2</v>
      </c>
      <c r="I12" t="s">
        <v>28</v>
      </c>
      <c r="L12" t="s">
        <v>27</v>
      </c>
      <c r="M12" t="s">
        <v>26</v>
      </c>
      <c r="N12" s="3">
        <v>120</v>
      </c>
      <c r="O12" s="3">
        <v>4500</v>
      </c>
    </row>
    <row r="13" spans="1:15" x14ac:dyDescent="0.3">
      <c r="C13" t="s">
        <v>13</v>
      </c>
      <c r="D13" s="2">
        <v>0.2</v>
      </c>
      <c r="E13" s="1">
        <v>1</v>
      </c>
      <c r="G13" t="s">
        <v>23</v>
      </c>
      <c r="H13" s="4">
        <v>4</v>
      </c>
      <c r="I13" t="s">
        <v>25</v>
      </c>
      <c r="L13" t="s">
        <v>24</v>
      </c>
      <c r="M13" t="s">
        <v>23</v>
      </c>
      <c r="N13" s="3">
        <v>225</v>
      </c>
      <c r="O13" s="3">
        <v>2200</v>
      </c>
    </row>
    <row r="14" spans="1:15" x14ac:dyDescent="0.3">
      <c r="C14" t="s">
        <v>10</v>
      </c>
      <c r="D14" s="2">
        <v>0.15</v>
      </c>
      <c r="E14" s="1">
        <v>1</v>
      </c>
      <c r="G14" t="s">
        <v>14</v>
      </c>
      <c r="H14" s="4">
        <v>15</v>
      </c>
      <c r="I14" t="s">
        <v>22</v>
      </c>
      <c r="L14" t="s">
        <v>21</v>
      </c>
      <c r="M14" t="s">
        <v>14</v>
      </c>
      <c r="N14" s="3">
        <v>160</v>
      </c>
      <c r="O14" s="3">
        <v>800</v>
      </c>
    </row>
    <row r="15" spans="1:15" x14ac:dyDescent="0.3">
      <c r="G15" t="s">
        <v>18</v>
      </c>
      <c r="H15" s="2">
        <v>0.4</v>
      </c>
      <c r="I15" t="s">
        <v>20</v>
      </c>
      <c r="L15" t="s">
        <v>19</v>
      </c>
      <c r="M15" t="s">
        <v>18</v>
      </c>
      <c r="N15" s="3">
        <v>600</v>
      </c>
      <c r="O15" s="3">
        <v>500</v>
      </c>
    </row>
    <row r="16" spans="1:15" x14ac:dyDescent="0.3">
      <c r="B16" t="s">
        <v>17</v>
      </c>
      <c r="C16" t="s">
        <v>16</v>
      </c>
      <c r="D16" s="2">
        <v>0.88</v>
      </c>
      <c r="E16" s="1">
        <v>0.5</v>
      </c>
      <c r="G16" t="s">
        <v>11</v>
      </c>
      <c r="H16" s="2">
        <v>0.25</v>
      </c>
      <c r="I16" t="s">
        <v>10</v>
      </c>
      <c r="L16" t="s">
        <v>15</v>
      </c>
      <c r="M16" t="s">
        <v>14</v>
      </c>
      <c r="N16" s="3">
        <v>450</v>
      </c>
      <c r="O16" s="3">
        <v>300</v>
      </c>
    </row>
    <row r="17" spans="1:16" x14ac:dyDescent="0.3">
      <c r="C17" t="s">
        <v>13</v>
      </c>
      <c r="D17" s="2">
        <v>0.21</v>
      </c>
      <c r="E17" s="1">
        <v>0.5</v>
      </c>
      <c r="L17" t="s">
        <v>12</v>
      </c>
      <c r="M17" t="s">
        <v>11</v>
      </c>
      <c r="N17" s="3">
        <v>2000</v>
      </c>
      <c r="O17" s="3">
        <v>40</v>
      </c>
    </row>
    <row r="18" spans="1:16" x14ac:dyDescent="0.3">
      <c r="C18" t="s">
        <v>10</v>
      </c>
      <c r="D18" s="13" t="s">
        <v>9</v>
      </c>
      <c r="E18" s="13" t="s">
        <v>9</v>
      </c>
    </row>
    <row r="19" spans="1:16" x14ac:dyDescent="0.3">
      <c r="L19" t="s">
        <v>8</v>
      </c>
    </row>
    <row r="20" spans="1:16" x14ac:dyDescent="0.3">
      <c r="L20" s="2">
        <v>0.06</v>
      </c>
    </row>
    <row r="21" spans="1:16" x14ac:dyDescent="0.3">
      <c r="B21" t="s">
        <v>7</v>
      </c>
    </row>
    <row r="23" spans="1:16" x14ac:dyDescent="0.3">
      <c r="A23" t="s">
        <v>6</v>
      </c>
      <c r="B23" t="s">
        <v>5</v>
      </c>
    </row>
    <row r="25" spans="1:16" x14ac:dyDescent="0.3">
      <c r="D25" s="19" t="s">
        <v>26</v>
      </c>
      <c r="E25" s="18"/>
      <c r="F25" s="19" t="s">
        <v>23</v>
      </c>
      <c r="G25" s="18"/>
      <c r="H25" s="19" t="s">
        <v>14</v>
      </c>
      <c r="I25" s="18"/>
      <c r="J25" s="19" t="s">
        <v>18</v>
      </c>
      <c r="K25" s="18"/>
      <c r="L25" s="19" t="s">
        <v>11</v>
      </c>
      <c r="M25" s="18"/>
      <c r="P25" s="24"/>
    </row>
    <row r="26" spans="1:16" x14ac:dyDescent="0.3">
      <c r="D26" s="17" t="s">
        <v>29</v>
      </c>
      <c r="E26" s="16" t="s">
        <v>17</v>
      </c>
      <c r="F26" s="17" t="s">
        <v>29</v>
      </c>
      <c r="G26" s="16" t="s">
        <v>17</v>
      </c>
      <c r="H26" s="17" t="s">
        <v>29</v>
      </c>
      <c r="I26" s="16" t="s">
        <v>17</v>
      </c>
      <c r="J26" s="17" t="s">
        <v>29</v>
      </c>
      <c r="K26" s="16" t="s">
        <v>17</v>
      </c>
      <c r="L26" s="17" t="s">
        <v>29</v>
      </c>
      <c r="M26" s="16" t="s">
        <v>17</v>
      </c>
      <c r="P26" s="24" t="s">
        <v>75</v>
      </c>
    </row>
    <row r="27" spans="1:16" x14ac:dyDescent="0.3">
      <c r="C27" s="13" t="s">
        <v>66</v>
      </c>
      <c r="D27" s="15" t="s">
        <v>16</v>
      </c>
      <c r="E27" s="15" t="s">
        <v>16</v>
      </c>
      <c r="F27" s="15" t="s">
        <v>16</v>
      </c>
      <c r="G27" s="15" t="s">
        <v>16</v>
      </c>
      <c r="H27" s="15" t="s">
        <v>13</v>
      </c>
      <c r="I27" s="15" t="s">
        <v>13</v>
      </c>
      <c r="J27" s="15" t="s">
        <v>13</v>
      </c>
      <c r="K27" s="15" t="s">
        <v>13</v>
      </c>
      <c r="L27" s="15" t="s">
        <v>10</v>
      </c>
      <c r="M27" s="15" t="s">
        <v>9</v>
      </c>
      <c r="P27" t="s">
        <v>74</v>
      </c>
    </row>
    <row r="28" spans="1:16" x14ac:dyDescent="0.3">
      <c r="C28" s="13" t="s">
        <v>65</v>
      </c>
      <c r="D28" s="3">
        <f>O12*(1-L20)</f>
        <v>4230</v>
      </c>
      <c r="E28" s="3">
        <f>O12*L20</f>
        <v>270</v>
      </c>
      <c r="F28" s="3">
        <f>O13*(1-L20)</f>
        <v>2068</v>
      </c>
      <c r="G28" s="3">
        <f>O13*L20</f>
        <v>132</v>
      </c>
      <c r="H28" s="3">
        <f>(O14+O16)*(1-L20)</f>
        <v>1034</v>
      </c>
      <c r="I28" s="3">
        <f>(O14+O16)*L20</f>
        <v>66</v>
      </c>
      <c r="J28" s="3">
        <f>O15*(1-L20)</f>
        <v>470</v>
      </c>
      <c r="K28" s="3">
        <f>O15*L20</f>
        <v>30</v>
      </c>
      <c r="L28" s="3">
        <f>O17</f>
        <v>40</v>
      </c>
      <c r="M28" s="15" t="s">
        <v>9</v>
      </c>
      <c r="P28" t="s">
        <v>73</v>
      </c>
    </row>
    <row r="29" spans="1:16" x14ac:dyDescent="0.3">
      <c r="C29" s="13" t="s">
        <v>63</v>
      </c>
      <c r="D29" s="14">
        <f>N12</f>
        <v>120</v>
      </c>
      <c r="E29" s="14">
        <f>D29</f>
        <v>120</v>
      </c>
      <c r="F29" s="14">
        <f>N13</f>
        <v>225</v>
      </c>
      <c r="G29" s="14">
        <f>F29</f>
        <v>225</v>
      </c>
      <c r="H29" s="14">
        <f>(N14*O14+N16*O16)/(O14+O16)</f>
        <v>239.09090909090909</v>
      </c>
      <c r="I29" s="14">
        <f>H29</f>
        <v>239.09090909090909</v>
      </c>
      <c r="J29" s="14">
        <f>N15</f>
        <v>600</v>
      </c>
      <c r="K29" s="14">
        <f>J29</f>
        <v>600</v>
      </c>
      <c r="L29" s="14">
        <f>N17</f>
        <v>2000</v>
      </c>
      <c r="M29" s="15" t="s">
        <v>9</v>
      </c>
      <c r="P29" t="s">
        <v>72</v>
      </c>
    </row>
    <row r="30" spans="1:16" x14ac:dyDescent="0.3">
      <c r="C30" s="13" t="s">
        <v>62</v>
      </c>
      <c r="D30">
        <f>D29*(1-D12)</f>
        <v>18.000000000000004</v>
      </c>
      <c r="E30">
        <f>E29*(1-D16)</f>
        <v>14.399999999999999</v>
      </c>
      <c r="F30">
        <f>F29*(1-D12)</f>
        <v>33.750000000000007</v>
      </c>
      <c r="G30">
        <f>G29*(1-D16)</f>
        <v>27</v>
      </c>
      <c r="H30" s="23">
        <f>H29*(1-D13)</f>
        <v>191.27272727272728</v>
      </c>
      <c r="I30" s="23">
        <f>I29*(1-D17)</f>
        <v>188.8818181818182</v>
      </c>
      <c r="J30" s="23">
        <f>J29*(1-D13)</f>
        <v>480</v>
      </c>
      <c r="K30" s="23">
        <f>K29*(1-D17)</f>
        <v>474</v>
      </c>
      <c r="L30" s="23">
        <f>L29*(1-D14)</f>
        <v>1700</v>
      </c>
      <c r="M30" s="15" t="s">
        <v>9</v>
      </c>
      <c r="P30" t="s">
        <v>71</v>
      </c>
    </row>
    <row r="31" spans="1:16" x14ac:dyDescent="0.3">
      <c r="C31" s="13" t="s">
        <v>61</v>
      </c>
      <c r="D31" s="1">
        <f>E12</f>
        <v>1</v>
      </c>
      <c r="E31" s="1">
        <f>E16</f>
        <v>0.5</v>
      </c>
      <c r="F31" s="1">
        <f>E12</f>
        <v>1</v>
      </c>
      <c r="G31" s="1">
        <f>E16</f>
        <v>0.5</v>
      </c>
      <c r="H31" s="1">
        <f>E13</f>
        <v>1</v>
      </c>
      <c r="I31" s="1">
        <f>E17</f>
        <v>0.5</v>
      </c>
      <c r="J31" s="1">
        <f>E13</f>
        <v>1</v>
      </c>
      <c r="K31" s="1">
        <f>E17</f>
        <v>0.5</v>
      </c>
      <c r="L31" s="1">
        <f>E14</f>
        <v>1</v>
      </c>
      <c r="M31" s="15" t="s">
        <v>9</v>
      </c>
      <c r="P31" t="s">
        <v>70</v>
      </c>
    </row>
    <row r="32" spans="1:16" x14ac:dyDescent="0.3">
      <c r="C32" s="13" t="s">
        <v>57</v>
      </c>
      <c r="D32" s="1">
        <f t="shared" ref="D32:L32" si="0">(D30+D31)*D28/12000</f>
        <v>6.6975000000000016</v>
      </c>
      <c r="E32" s="1">
        <f t="shared" si="0"/>
        <v>0.33524999999999994</v>
      </c>
      <c r="F32" s="1">
        <f t="shared" si="0"/>
        <v>5.9885833333333345</v>
      </c>
      <c r="G32" s="1">
        <f t="shared" si="0"/>
        <v>0.30249999999999999</v>
      </c>
      <c r="H32" s="1">
        <f t="shared" si="0"/>
        <v>16.567499999999999</v>
      </c>
      <c r="I32" s="1">
        <f t="shared" si="0"/>
        <v>1.0416000000000001</v>
      </c>
      <c r="J32" s="1">
        <f t="shared" si="0"/>
        <v>18.839166666666667</v>
      </c>
      <c r="K32" s="1">
        <f t="shared" si="0"/>
        <v>1.18625</v>
      </c>
      <c r="L32" s="1">
        <f t="shared" si="0"/>
        <v>5.67</v>
      </c>
      <c r="M32" s="15" t="s">
        <v>9</v>
      </c>
      <c r="P32" t="s">
        <v>69</v>
      </c>
    </row>
    <row r="34" spans="1:16" ht="15" thickBot="1" x14ac:dyDescent="0.35">
      <c r="D34" t="s">
        <v>57</v>
      </c>
    </row>
    <row r="35" spans="1:16" x14ac:dyDescent="0.3">
      <c r="D35" s="13" t="s">
        <v>16</v>
      </c>
      <c r="E35" s="22">
        <f>SUM(D32:G32)</f>
        <v>13.323833333333337</v>
      </c>
    </row>
    <row r="36" spans="1:16" x14ac:dyDescent="0.3">
      <c r="D36" s="13" t="s">
        <v>13</v>
      </c>
      <c r="E36" s="21">
        <f>SUM(H32:K32)</f>
        <v>37.63451666666667</v>
      </c>
    </row>
    <row r="37" spans="1:16" ht="15" thickBot="1" x14ac:dyDescent="0.35">
      <c r="D37" s="13" t="s">
        <v>10</v>
      </c>
      <c r="E37" s="20">
        <f>L32</f>
        <v>5.67</v>
      </c>
    </row>
    <row r="39" spans="1:16" x14ac:dyDescent="0.3">
      <c r="A39" t="s">
        <v>4</v>
      </c>
      <c r="B39" t="s">
        <v>3</v>
      </c>
    </row>
    <row r="41" spans="1:16" x14ac:dyDescent="0.3">
      <c r="D41" s="19" t="s">
        <v>26</v>
      </c>
      <c r="E41" s="18"/>
      <c r="F41" s="19" t="s">
        <v>23</v>
      </c>
      <c r="G41" s="18"/>
      <c r="H41" s="19" t="s">
        <v>14</v>
      </c>
      <c r="I41" s="18"/>
      <c r="J41" s="19" t="s">
        <v>18</v>
      </c>
      <c r="K41" s="18"/>
      <c r="L41" s="19" t="s">
        <v>11</v>
      </c>
      <c r="M41" s="18"/>
    </row>
    <row r="42" spans="1:16" x14ac:dyDescent="0.3">
      <c r="D42" s="17" t="s">
        <v>29</v>
      </c>
      <c r="E42" s="16" t="s">
        <v>17</v>
      </c>
      <c r="F42" s="17" t="s">
        <v>29</v>
      </c>
      <c r="G42" s="16" t="s">
        <v>17</v>
      </c>
      <c r="H42" s="17" t="s">
        <v>29</v>
      </c>
      <c r="I42" s="16" t="s">
        <v>114</v>
      </c>
      <c r="J42" s="17" t="s">
        <v>29</v>
      </c>
      <c r="K42" s="16" t="s">
        <v>17</v>
      </c>
      <c r="L42" s="17" t="s">
        <v>29</v>
      </c>
      <c r="M42" s="16" t="s">
        <v>17</v>
      </c>
    </row>
    <row r="43" spans="1:16" x14ac:dyDescent="0.3">
      <c r="C43" s="13" t="s">
        <v>66</v>
      </c>
      <c r="D43" s="15" t="s">
        <v>16</v>
      </c>
      <c r="E43" s="15" t="s">
        <v>16</v>
      </c>
      <c r="F43" s="15" t="s">
        <v>16</v>
      </c>
      <c r="G43" s="15" t="s">
        <v>16</v>
      </c>
      <c r="H43" s="15" t="s">
        <v>13</v>
      </c>
      <c r="I43" s="15" t="s">
        <v>13</v>
      </c>
      <c r="J43" s="15" t="s">
        <v>13</v>
      </c>
      <c r="K43" s="15" t="s">
        <v>13</v>
      </c>
      <c r="L43" s="15" t="s">
        <v>10</v>
      </c>
      <c r="M43" s="15" t="s">
        <v>9</v>
      </c>
      <c r="P43" t="s">
        <v>60</v>
      </c>
    </row>
    <row r="44" spans="1:16" x14ac:dyDescent="0.3">
      <c r="C44" s="13" t="s">
        <v>65</v>
      </c>
      <c r="D44" s="3">
        <f t="shared" ref="D44:L44" si="1">D28</f>
        <v>4230</v>
      </c>
      <c r="E44" s="3">
        <f t="shared" si="1"/>
        <v>270</v>
      </c>
      <c r="F44" s="3">
        <f t="shared" si="1"/>
        <v>2068</v>
      </c>
      <c r="G44" s="3">
        <f t="shared" si="1"/>
        <v>132</v>
      </c>
      <c r="H44" s="3">
        <f t="shared" si="1"/>
        <v>1034</v>
      </c>
      <c r="I44" s="3">
        <f t="shared" si="1"/>
        <v>66</v>
      </c>
      <c r="J44" s="3">
        <f t="shared" si="1"/>
        <v>470</v>
      </c>
      <c r="K44" s="3">
        <f t="shared" si="1"/>
        <v>30</v>
      </c>
      <c r="L44" s="3">
        <f t="shared" si="1"/>
        <v>40</v>
      </c>
      <c r="M44" s="29" t="s">
        <v>9</v>
      </c>
      <c r="P44" t="s">
        <v>60</v>
      </c>
    </row>
    <row r="45" spans="1:16" x14ac:dyDescent="0.3">
      <c r="C45" s="13" t="s">
        <v>722</v>
      </c>
      <c r="D45" s="90">
        <f>D30+D31</f>
        <v>19.000000000000004</v>
      </c>
      <c r="E45" s="14">
        <f t="shared" ref="E45:L45" si="2">E30+E31</f>
        <v>14.899999999999999</v>
      </c>
      <c r="F45" s="14">
        <f t="shared" si="2"/>
        <v>34.750000000000007</v>
      </c>
      <c r="G45" s="14">
        <f t="shared" si="2"/>
        <v>27.5</v>
      </c>
      <c r="H45" s="14">
        <f t="shared" si="2"/>
        <v>192.27272727272728</v>
      </c>
      <c r="I45" s="14">
        <f t="shared" si="2"/>
        <v>189.3818181818182</v>
      </c>
      <c r="J45" s="14">
        <f t="shared" si="2"/>
        <v>481</v>
      </c>
      <c r="K45" s="14">
        <f t="shared" si="2"/>
        <v>474.5</v>
      </c>
      <c r="L45" s="14">
        <f t="shared" si="2"/>
        <v>1701</v>
      </c>
      <c r="M45" s="29" t="s">
        <v>9</v>
      </c>
      <c r="P45" t="s">
        <v>723</v>
      </c>
    </row>
    <row r="46" spans="1:16" x14ac:dyDescent="0.3">
      <c r="C46" s="13" t="s">
        <v>59</v>
      </c>
      <c r="D46" s="4">
        <f>H12</f>
        <v>2</v>
      </c>
      <c r="E46" s="4">
        <f>D46</f>
        <v>2</v>
      </c>
      <c r="F46" s="4">
        <f>H13</f>
        <v>4</v>
      </c>
      <c r="G46" s="4">
        <f>F46</f>
        <v>4</v>
      </c>
      <c r="H46" s="4">
        <f>H14</f>
        <v>15</v>
      </c>
      <c r="I46" s="4">
        <f>H46</f>
        <v>15</v>
      </c>
      <c r="J46" s="4">
        <f>H15*J45</f>
        <v>192.4</v>
      </c>
      <c r="K46" s="4">
        <f>H15*K45</f>
        <v>189.8</v>
      </c>
      <c r="L46" s="4">
        <f>H16*L45</f>
        <v>425.25</v>
      </c>
      <c r="M46" s="29" t="s">
        <v>9</v>
      </c>
      <c r="P46" t="s">
        <v>68</v>
      </c>
    </row>
    <row r="47" spans="1:16" x14ac:dyDescent="0.3">
      <c r="C47" s="13" t="s">
        <v>56</v>
      </c>
      <c r="D47" s="1">
        <f t="shared" ref="D47:L47" si="3">D46*D44/12000</f>
        <v>0.70499999999999996</v>
      </c>
      <c r="E47" s="1">
        <f t="shared" si="3"/>
        <v>4.4999999999999998E-2</v>
      </c>
      <c r="F47" s="1">
        <f t="shared" si="3"/>
        <v>0.68933333333333335</v>
      </c>
      <c r="G47" s="1">
        <f t="shared" si="3"/>
        <v>4.3999999999999997E-2</v>
      </c>
      <c r="H47" s="1">
        <f t="shared" si="3"/>
        <v>1.2925</v>
      </c>
      <c r="I47" s="1">
        <f t="shared" si="3"/>
        <v>8.2500000000000004E-2</v>
      </c>
      <c r="J47" s="1">
        <f t="shared" si="3"/>
        <v>7.5356666666666667</v>
      </c>
      <c r="K47" s="1">
        <f t="shared" si="3"/>
        <v>0.47449999999999998</v>
      </c>
      <c r="L47" s="1">
        <f t="shared" si="3"/>
        <v>1.4175</v>
      </c>
      <c r="M47" s="29" t="s">
        <v>9</v>
      </c>
      <c r="P47" t="s">
        <v>67</v>
      </c>
    </row>
    <row r="49" spans="1:16" ht="15" thickBot="1" x14ac:dyDescent="0.35">
      <c r="D49" t="s">
        <v>56</v>
      </c>
    </row>
    <row r="50" spans="1:16" x14ac:dyDescent="0.3">
      <c r="D50" s="13" t="s">
        <v>16</v>
      </c>
      <c r="E50" s="22">
        <f>SUM(D47:G47)</f>
        <v>1.4833333333333334</v>
      </c>
    </row>
    <row r="51" spans="1:16" x14ac:dyDescent="0.3">
      <c r="D51" s="13" t="s">
        <v>13</v>
      </c>
      <c r="E51" s="21">
        <f>SUM(H47:K47)</f>
        <v>9.3851666666666684</v>
      </c>
    </row>
    <row r="52" spans="1:16" ht="15" thickBot="1" x14ac:dyDescent="0.35">
      <c r="D52" s="13" t="s">
        <v>10</v>
      </c>
      <c r="E52" s="20">
        <f>L47</f>
        <v>1.4175</v>
      </c>
    </row>
    <row r="54" spans="1:16" x14ac:dyDescent="0.3">
      <c r="B54" t="s">
        <v>2</v>
      </c>
    </row>
    <row r="56" spans="1:16" x14ac:dyDescent="0.3">
      <c r="A56" t="s">
        <v>1</v>
      </c>
      <c r="B56" t="s">
        <v>0</v>
      </c>
    </row>
    <row r="58" spans="1:16" x14ac:dyDescent="0.3">
      <c r="D58" s="19" t="s">
        <v>26</v>
      </c>
      <c r="E58" s="18"/>
      <c r="F58" s="19" t="s">
        <v>23</v>
      </c>
      <c r="G58" s="18"/>
      <c r="H58" s="19" t="s">
        <v>14</v>
      </c>
      <c r="I58" s="18"/>
      <c r="J58" s="19" t="s">
        <v>18</v>
      </c>
      <c r="K58" s="18"/>
      <c r="L58" s="19" t="s">
        <v>11</v>
      </c>
      <c r="M58" s="18"/>
    </row>
    <row r="59" spans="1:16" x14ac:dyDescent="0.3">
      <c r="D59" s="17" t="s">
        <v>29</v>
      </c>
      <c r="E59" s="16" t="s">
        <v>17</v>
      </c>
      <c r="F59" s="17" t="s">
        <v>29</v>
      </c>
      <c r="G59" s="16" t="s">
        <v>17</v>
      </c>
      <c r="H59" s="17" t="s">
        <v>29</v>
      </c>
      <c r="I59" s="16" t="s">
        <v>17</v>
      </c>
      <c r="J59" s="17" t="s">
        <v>29</v>
      </c>
      <c r="K59" s="16" t="s">
        <v>17</v>
      </c>
      <c r="L59" s="17" t="s">
        <v>29</v>
      </c>
      <c r="M59" s="16" t="s">
        <v>17</v>
      </c>
    </row>
    <row r="60" spans="1:16" x14ac:dyDescent="0.3">
      <c r="C60" s="13" t="s">
        <v>66</v>
      </c>
      <c r="D60" s="15" t="s">
        <v>16</v>
      </c>
      <c r="E60" s="15" t="s">
        <v>16</v>
      </c>
      <c r="F60" s="15" t="s">
        <v>16</v>
      </c>
      <c r="G60" s="15" t="s">
        <v>16</v>
      </c>
      <c r="H60" s="15" t="s">
        <v>13</v>
      </c>
      <c r="I60" s="15" t="s">
        <v>13</v>
      </c>
      <c r="J60" s="15" t="s">
        <v>13</v>
      </c>
      <c r="K60" s="15" t="s">
        <v>13</v>
      </c>
      <c r="L60" s="15" t="s">
        <v>10</v>
      </c>
      <c r="M60" s="15" t="s">
        <v>9</v>
      </c>
      <c r="P60" t="s">
        <v>60</v>
      </c>
    </row>
    <row r="61" spans="1:16" x14ac:dyDescent="0.3">
      <c r="C61" s="13" t="s">
        <v>65</v>
      </c>
      <c r="D61" s="3">
        <f>D28+0.25*J28</f>
        <v>4347.5</v>
      </c>
      <c r="E61" s="3">
        <f>E28+0.25*K28</f>
        <v>277.5</v>
      </c>
      <c r="F61" s="3">
        <f t="shared" ref="F61:I64" si="4">F28</f>
        <v>2068</v>
      </c>
      <c r="G61" s="3">
        <f t="shared" si="4"/>
        <v>132</v>
      </c>
      <c r="H61" s="3">
        <f t="shared" si="4"/>
        <v>1034</v>
      </c>
      <c r="I61" s="3">
        <f t="shared" si="4"/>
        <v>66</v>
      </c>
      <c r="J61" s="3">
        <f>J28*(1-0.25)</f>
        <v>352.5</v>
      </c>
      <c r="K61" s="3">
        <f>K28*(1-0.25)</f>
        <v>22.5</v>
      </c>
      <c r="L61" s="3">
        <f>L28</f>
        <v>40</v>
      </c>
      <c r="M61" s="15" t="s">
        <v>9</v>
      </c>
      <c r="P61" t="s">
        <v>64</v>
      </c>
    </row>
    <row r="62" spans="1:16" x14ac:dyDescent="0.3">
      <c r="C62" s="13" t="s">
        <v>63</v>
      </c>
      <c r="D62" s="14">
        <f t="shared" ref="D62:E64" si="5">D29</f>
        <v>120</v>
      </c>
      <c r="E62" s="14">
        <f t="shared" si="5"/>
        <v>120</v>
      </c>
      <c r="F62" s="14">
        <f t="shared" si="4"/>
        <v>225</v>
      </c>
      <c r="G62" s="14">
        <f t="shared" si="4"/>
        <v>225</v>
      </c>
      <c r="H62" s="14">
        <f t="shared" si="4"/>
        <v>239.09090909090909</v>
      </c>
      <c r="I62" s="14">
        <f t="shared" si="4"/>
        <v>239.09090909090909</v>
      </c>
      <c r="J62" s="14">
        <f t="shared" ref="J62:K64" si="6">J29</f>
        <v>600</v>
      </c>
      <c r="K62" s="14">
        <f t="shared" si="6"/>
        <v>600</v>
      </c>
      <c r="L62" s="14">
        <f>L29</f>
        <v>2000</v>
      </c>
      <c r="M62" s="15" t="s">
        <v>9</v>
      </c>
      <c r="P62" t="s">
        <v>60</v>
      </c>
    </row>
    <row r="63" spans="1:16" x14ac:dyDescent="0.3">
      <c r="C63" s="13" t="s">
        <v>62</v>
      </c>
      <c r="D63" s="14">
        <f t="shared" si="5"/>
        <v>18.000000000000004</v>
      </c>
      <c r="E63" s="14">
        <f t="shared" si="5"/>
        <v>14.399999999999999</v>
      </c>
      <c r="F63" s="14">
        <f t="shared" si="4"/>
        <v>33.750000000000007</v>
      </c>
      <c r="G63" s="14">
        <f t="shared" si="4"/>
        <v>27</v>
      </c>
      <c r="H63" s="14">
        <f t="shared" si="4"/>
        <v>191.27272727272728</v>
      </c>
      <c r="I63" s="14">
        <f t="shared" si="4"/>
        <v>188.8818181818182</v>
      </c>
      <c r="J63" s="14">
        <f t="shared" si="6"/>
        <v>480</v>
      </c>
      <c r="K63" s="14">
        <f t="shared" si="6"/>
        <v>474</v>
      </c>
      <c r="L63" s="14">
        <f>L30</f>
        <v>1700</v>
      </c>
      <c r="M63" s="15" t="s">
        <v>9</v>
      </c>
      <c r="P63" t="s">
        <v>60</v>
      </c>
    </row>
    <row r="64" spans="1:16" x14ac:dyDescent="0.3">
      <c r="C64" s="13" t="s">
        <v>61</v>
      </c>
      <c r="D64" s="1">
        <f t="shared" si="5"/>
        <v>1</v>
      </c>
      <c r="E64" s="1">
        <f t="shared" si="5"/>
        <v>0.5</v>
      </c>
      <c r="F64" s="1">
        <f t="shared" si="4"/>
        <v>1</v>
      </c>
      <c r="G64" s="1">
        <f t="shared" si="4"/>
        <v>0.5</v>
      </c>
      <c r="H64" s="1">
        <f t="shared" si="4"/>
        <v>1</v>
      </c>
      <c r="I64" s="1">
        <f t="shared" si="4"/>
        <v>0.5</v>
      </c>
      <c r="J64" s="1">
        <f t="shared" si="6"/>
        <v>1</v>
      </c>
      <c r="K64" s="1">
        <f t="shared" si="6"/>
        <v>0.5</v>
      </c>
      <c r="L64" s="1">
        <f>L31</f>
        <v>1</v>
      </c>
      <c r="M64" s="15" t="s">
        <v>9</v>
      </c>
      <c r="P64" t="s">
        <v>60</v>
      </c>
    </row>
    <row r="65" spans="3:16" x14ac:dyDescent="0.3">
      <c r="C65" s="13" t="s">
        <v>57</v>
      </c>
      <c r="D65" s="1">
        <f t="shared" ref="D65:L65" si="7">(D63+D64)*D61/12000</f>
        <v>6.8835416666666678</v>
      </c>
      <c r="E65" s="1">
        <f t="shared" si="7"/>
        <v>0.34456249999999999</v>
      </c>
      <c r="F65" s="1">
        <f t="shared" si="7"/>
        <v>5.9885833333333345</v>
      </c>
      <c r="G65" s="1">
        <f t="shared" si="7"/>
        <v>0.30249999999999999</v>
      </c>
      <c r="H65" s="1">
        <f t="shared" si="7"/>
        <v>16.567499999999999</v>
      </c>
      <c r="I65" s="1">
        <f t="shared" si="7"/>
        <v>1.0416000000000001</v>
      </c>
      <c r="J65" s="1">
        <f t="shared" si="7"/>
        <v>14.129375</v>
      </c>
      <c r="K65" s="1">
        <f t="shared" si="7"/>
        <v>0.88968749999999996</v>
      </c>
      <c r="L65" s="1">
        <f t="shared" si="7"/>
        <v>5.67</v>
      </c>
      <c r="M65" s="15" t="s">
        <v>9</v>
      </c>
      <c r="P65" t="s">
        <v>724</v>
      </c>
    </row>
    <row r="66" spans="3:16" x14ac:dyDescent="0.3">
      <c r="M66" s="15"/>
    </row>
    <row r="67" spans="3:16" x14ac:dyDescent="0.3">
      <c r="C67" s="13" t="s">
        <v>59</v>
      </c>
      <c r="D67" s="4">
        <f t="shared" ref="D67:L67" si="8">D46</f>
        <v>2</v>
      </c>
      <c r="E67" s="4">
        <f t="shared" si="8"/>
        <v>2</v>
      </c>
      <c r="F67" s="4">
        <f t="shared" si="8"/>
        <v>4</v>
      </c>
      <c r="G67" s="4">
        <f t="shared" si="8"/>
        <v>4</v>
      </c>
      <c r="H67" s="4">
        <f t="shared" si="8"/>
        <v>15</v>
      </c>
      <c r="I67" s="4">
        <f t="shared" si="8"/>
        <v>15</v>
      </c>
      <c r="J67" s="4">
        <f t="shared" si="8"/>
        <v>192.4</v>
      </c>
      <c r="K67" s="4">
        <f t="shared" si="8"/>
        <v>189.8</v>
      </c>
      <c r="L67" s="4">
        <f t="shared" si="8"/>
        <v>425.25</v>
      </c>
      <c r="M67" s="15" t="s">
        <v>9</v>
      </c>
      <c r="P67" t="s">
        <v>58</v>
      </c>
    </row>
    <row r="68" spans="3:16" x14ac:dyDescent="0.3">
      <c r="C68" s="13" t="s">
        <v>56</v>
      </c>
      <c r="D68" s="1">
        <f t="shared" ref="D68:L68" si="9">D67*D61/12000</f>
        <v>0.72458333333333336</v>
      </c>
      <c r="E68" s="1">
        <f t="shared" si="9"/>
        <v>4.6249999999999999E-2</v>
      </c>
      <c r="F68" s="1">
        <f t="shared" si="9"/>
        <v>0.68933333333333335</v>
      </c>
      <c r="G68" s="1">
        <f t="shared" si="9"/>
        <v>4.3999999999999997E-2</v>
      </c>
      <c r="H68" s="1">
        <f t="shared" si="9"/>
        <v>1.2925</v>
      </c>
      <c r="I68" s="1">
        <f t="shared" si="9"/>
        <v>8.2500000000000004E-2</v>
      </c>
      <c r="J68" s="1">
        <f t="shared" si="9"/>
        <v>5.6517499999999998</v>
      </c>
      <c r="K68" s="1">
        <f t="shared" si="9"/>
        <v>0.355875</v>
      </c>
      <c r="L68" s="1">
        <f t="shared" si="9"/>
        <v>1.4175</v>
      </c>
      <c r="M68" s="15" t="s">
        <v>9</v>
      </c>
      <c r="P68" t="s">
        <v>58</v>
      </c>
    </row>
    <row r="70" spans="3:16" x14ac:dyDescent="0.3">
      <c r="D70" t="s">
        <v>57</v>
      </c>
      <c r="H70" t="s">
        <v>56</v>
      </c>
    </row>
    <row r="71" spans="3:16" x14ac:dyDescent="0.3">
      <c r="D71" s="13" t="s">
        <v>16</v>
      </c>
      <c r="E71" s="1">
        <f>SUM(D65:G65)</f>
        <v>13.519187500000003</v>
      </c>
      <c r="H71" s="13" t="s">
        <v>16</v>
      </c>
      <c r="I71" s="1">
        <f>SUM(D68:G68)</f>
        <v>1.5041666666666669</v>
      </c>
    </row>
    <row r="72" spans="3:16" x14ac:dyDescent="0.3">
      <c r="D72" s="13" t="s">
        <v>13</v>
      </c>
      <c r="E72" s="1">
        <f>SUM(H65:K65)</f>
        <v>32.628162499999995</v>
      </c>
      <c r="H72" s="13" t="s">
        <v>13</v>
      </c>
      <c r="I72" s="1">
        <f>SUM(H68:K68)</f>
        <v>7.382625</v>
      </c>
    </row>
    <row r="73" spans="3:16" x14ac:dyDescent="0.3">
      <c r="D73" s="13" t="s">
        <v>10</v>
      </c>
      <c r="E73" s="1">
        <f>L65</f>
        <v>5.67</v>
      </c>
      <c r="H73" s="13" t="s">
        <v>10</v>
      </c>
      <c r="I73" s="1">
        <f>L68</f>
        <v>1.4175</v>
      </c>
    </row>
    <row r="74" spans="3:16" x14ac:dyDescent="0.3">
      <c r="D74" s="13" t="s">
        <v>53</v>
      </c>
      <c r="E74" s="12">
        <f>SUM(E71:E73)</f>
        <v>51.817349999999998</v>
      </c>
      <c r="H74" s="13"/>
      <c r="I74" s="12">
        <f>SUM(I71:I73)</f>
        <v>10.304291666666668</v>
      </c>
    </row>
    <row r="76" spans="3:16" x14ac:dyDescent="0.3">
      <c r="D76" t="s">
        <v>55</v>
      </c>
      <c r="H76" t="s">
        <v>54</v>
      </c>
    </row>
    <row r="77" spans="3:16" x14ac:dyDescent="0.3">
      <c r="D77" s="13" t="s">
        <v>16</v>
      </c>
      <c r="E77" s="1">
        <f>E71-E35</f>
        <v>0.19535416666666627</v>
      </c>
      <c r="H77" s="13" t="s">
        <v>16</v>
      </c>
      <c r="I77" s="1">
        <f>I71-E50</f>
        <v>2.0833333333333481E-2</v>
      </c>
    </row>
    <row r="78" spans="3:16" x14ac:dyDescent="0.3">
      <c r="D78" s="13" t="s">
        <v>13</v>
      </c>
      <c r="E78" s="1">
        <f>E72-E36</f>
        <v>-5.0063541666666751</v>
      </c>
      <c r="H78" s="13" t="s">
        <v>13</v>
      </c>
      <c r="I78" s="1">
        <f>I72-E51</f>
        <v>-2.0025416666666684</v>
      </c>
    </row>
    <row r="79" spans="3:16" x14ac:dyDescent="0.3">
      <c r="D79" s="13" t="s">
        <v>10</v>
      </c>
      <c r="E79" s="1">
        <f>E73-E37</f>
        <v>0</v>
      </c>
      <c r="H79" s="13" t="s">
        <v>10</v>
      </c>
      <c r="I79" s="1">
        <f>I73-E52</f>
        <v>0</v>
      </c>
    </row>
    <row r="80" spans="3:16" x14ac:dyDescent="0.3">
      <c r="D80" s="13" t="s">
        <v>53</v>
      </c>
      <c r="E80" s="1">
        <f>SUM(E77:E79)</f>
        <v>-4.8110000000000088</v>
      </c>
      <c r="H80" s="13" t="s">
        <v>53</v>
      </c>
      <c r="I80" s="1">
        <f>SUM(I77:I79)</f>
        <v>-1.981708333333335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A51D3-0075-4A07-B7B8-BB7CFA5FDF7A}">
  <sheetPr>
    <tabColor theme="5" tint="0.39997558519241921"/>
  </sheetPr>
  <dimension ref="A1:P32"/>
  <sheetViews>
    <sheetView zoomScaleNormal="100" workbookViewId="0"/>
  </sheetViews>
  <sheetFormatPr defaultRowHeight="14.4" x14ac:dyDescent="0.3"/>
  <cols>
    <col min="1" max="16" width="12.6640625" customWidth="1"/>
  </cols>
  <sheetData>
    <row r="1" spans="1:16" x14ac:dyDescent="0.3">
      <c r="A1" s="89" t="s">
        <v>721</v>
      </c>
    </row>
    <row r="3" spans="1:16" x14ac:dyDescent="0.3">
      <c r="A3" s="11" t="s">
        <v>52</v>
      </c>
    </row>
    <row r="4" spans="1:16" x14ac:dyDescent="0.3">
      <c r="A4" t="s">
        <v>94</v>
      </c>
    </row>
    <row r="7" spans="1:16" x14ac:dyDescent="0.3">
      <c r="B7" s="10" t="s">
        <v>50</v>
      </c>
      <c r="C7" s="9"/>
      <c r="D7" s="8"/>
      <c r="F7" s="10" t="s">
        <v>49</v>
      </c>
      <c r="G7" s="8"/>
      <c r="I7" s="10" t="s">
        <v>48</v>
      </c>
      <c r="J7" s="9"/>
      <c r="K7" s="9"/>
      <c r="L7" s="9"/>
      <c r="M7" s="8"/>
      <c r="O7" s="10" t="s">
        <v>93</v>
      </c>
      <c r="P7" s="8"/>
    </row>
    <row r="8" spans="1:16" x14ac:dyDescent="0.3">
      <c r="B8" s="7" t="s">
        <v>92</v>
      </c>
      <c r="C8" s="6"/>
      <c r="D8" s="5"/>
      <c r="F8" s="7" t="s">
        <v>91</v>
      </c>
      <c r="G8" s="5"/>
      <c r="I8" s="7" t="s">
        <v>90</v>
      </c>
      <c r="J8" s="6"/>
      <c r="K8" s="6"/>
      <c r="L8" s="6"/>
      <c r="M8" s="5"/>
      <c r="O8" s="7" t="s">
        <v>89</v>
      </c>
      <c r="P8" s="5"/>
    </row>
    <row r="9" spans="1:16" x14ac:dyDescent="0.3">
      <c r="C9" t="s">
        <v>44</v>
      </c>
      <c r="D9" t="s">
        <v>43</v>
      </c>
      <c r="G9" t="s">
        <v>42</v>
      </c>
      <c r="I9" t="s">
        <v>41</v>
      </c>
      <c r="J9" t="s">
        <v>41</v>
      </c>
      <c r="K9" t="s">
        <v>88</v>
      </c>
      <c r="L9" t="s">
        <v>87</v>
      </c>
      <c r="M9" t="s">
        <v>38</v>
      </c>
    </row>
    <row r="10" spans="1:16" x14ac:dyDescent="0.3">
      <c r="C10" t="s">
        <v>37</v>
      </c>
      <c r="D10" t="s">
        <v>36</v>
      </c>
      <c r="G10" t="s">
        <v>35</v>
      </c>
      <c r="I10" t="s">
        <v>33</v>
      </c>
      <c r="J10" t="s">
        <v>34</v>
      </c>
      <c r="K10" t="s">
        <v>86</v>
      </c>
      <c r="L10" t="s">
        <v>86</v>
      </c>
      <c r="M10" t="s">
        <v>30</v>
      </c>
      <c r="O10" t="s">
        <v>85</v>
      </c>
      <c r="P10" t="s">
        <v>84</v>
      </c>
    </row>
    <row r="11" spans="1:16" x14ac:dyDescent="0.3">
      <c r="B11" t="s">
        <v>16</v>
      </c>
      <c r="C11" s="2">
        <v>0.75</v>
      </c>
      <c r="D11" s="1">
        <v>3</v>
      </c>
      <c r="F11" t="s">
        <v>16</v>
      </c>
      <c r="G11" s="1">
        <v>5</v>
      </c>
      <c r="I11" t="s">
        <v>27</v>
      </c>
      <c r="J11" t="s">
        <v>16</v>
      </c>
      <c r="K11" s="3">
        <v>0</v>
      </c>
      <c r="L11" s="3">
        <v>100</v>
      </c>
      <c r="M11" s="3">
        <v>4000</v>
      </c>
      <c r="O11" s="25">
        <v>1</v>
      </c>
      <c r="P11" s="2">
        <v>0</v>
      </c>
    </row>
    <row r="12" spans="1:16" x14ac:dyDescent="0.3">
      <c r="B12" t="s">
        <v>13</v>
      </c>
      <c r="C12" s="2">
        <v>0.15</v>
      </c>
      <c r="D12" s="1">
        <v>3</v>
      </c>
      <c r="F12" t="s">
        <v>13</v>
      </c>
      <c r="G12" s="2">
        <v>0.25</v>
      </c>
      <c r="I12" t="s">
        <v>24</v>
      </c>
      <c r="J12" t="s">
        <v>16</v>
      </c>
      <c r="K12" s="3">
        <v>0</v>
      </c>
      <c r="L12" s="3">
        <v>200</v>
      </c>
      <c r="M12" s="3">
        <v>2000</v>
      </c>
      <c r="O12" s="25" t="s">
        <v>83</v>
      </c>
      <c r="P12" s="2">
        <v>-0.2</v>
      </c>
    </row>
    <row r="13" spans="1:16" x14ac:dyDescent="0.3">
      <c r="I13" t="s">
        <v>21</v>
      </c>
      <c r="J13" t="s">
        <v>16</v>
      </c>
      <c r="K13" s="3">
        <v>0</v>
      </c>
      <c r="L13" s="3">
        <v>150</v>
      </c>
      <c r="M13" s="3">
        <v>2400</v>
      </c>
      <c r="O13" s="25" t="s">
        <v>82</v>
      </c>
      <c r="P13" s="2">
        <v>-0.4</v>
      </c>
    </row>
    <row r="14" spans="1:16" x14ac:dyDescent="0.3">
      <c r="I14" t="s">
        <v>19</v>
      </c>
      <c r="J14" t="s">
        <v>13</v>
      </c>
      <c r="K14" s="3">
        <v>50</v>
      </c>
      <c r="L14" s="3">
        <v>500</v>
      </c>
      <c r="M14" s="3">
        <v>500</v>
      </c>
      <c r="O14" s="25" t="s">
        <v>81</v>
      </c>
      <c r="P14" s="2">
        <v>-0.6</v>
      </c>
    </row>
    <row r="15" spans="1:16" x14ac:dyDescent="0.3">
      <c r="C15" s="2"/>
      <c r="D15" s="2"/>
      <c r="I15" t="s">
        <v>15</v>
      </c>
      <c r="J15" t="s">
        <v>13</v>
      </c>
      <c r="K15" s="3">
        <v>200</v>
      </c>
      <c r="L15" s="3">
        <v>400</v>
      </c>
      <c r="M15" s="3">
        <v>300</v>
      </c>
      <c r="O15" s="25" t="s">
        <v>80</v>
      </c>
      <c r="P15" s="2">
        <v>-1</v>
      </c>
    </row>
    <row r="16" spans="1:16" x14ac:dyDescent="0.3">
      <c r="I16" t="s">
        <v>12</v>
      </c>
      <c r="J16" t="s">
        <v>13</v>
      </c>
      <c r="K16" s="3">
        <v>250</v>
      </c>
      <c r="L16" s="3">
        <v>600</v>
      </c>
      <c r="M16" s="3">
        <v>200</v>
      </c>
    </row>
    <row r="19" spans="1:2" x14ac:dyDescent="0.3">
      <c r="B19" t="s">
        <v>79</v>
      </c>
    </row>
    <row r="20" spans="1:2" x14ac:dyDescent="0.3">
      <c r="B20" t="s">
        <v>725</v>
      </c>
    </row>
    <row r="22" spans="1:2" x14ac:dyDescent="0.3">
      <c r="A22" t="s">
        <v>6</v>
      </c>
      <c r="B22" t="s">
        <v>726</v>
      </c>
    </row>
    <row r="24" spans="1:2" x14ac:dyDescent="0.3">
      <c r="B24" t="s">
        <v>78</v>
      </c>
    </row>
    <row r="25" spans="1:2" x14ac:dyDescent="0.3">
      <c r="B25" t="s">
        <v>77</v>
      </c>
    </row>
    <row r="27" spans="1:2" x14ac:dyDescent="0.3">
      <c r="A27" t="s">
        <v>4</v>
      </c>
      <c r="B27" t="s">
        <v>727</v>
      </c>
    </row>
    <row r="29" spans="1:2" x14ac:dyDescent="0.3">
      <c r="B29" t="s">
        <v>76</v>
      </c>
    </row>
    <row r="30" spans="1:2" x14ac:dyDescent="0.3">
      <c r="B30" t="s">
        <v>728</v>
      </c>
    </row>
    <row r="32" spans="1:2" x14ac:dyDescent="0.3">
      <c r="A32" t="s">
        <v>1</v>
      </c>
      <c r="B32" t="s">
        <v>727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F5253-5AA5-4B82-8AF6-FF5F5AE60246}">
  <sheetPr>
    <tabColor theme="9" tint="0.59999389629810485"/>
  </sheetPr>
  <dimension ref="A1:Q69"/>
  <sheetViews>
    <sheetView zoomScaleNormal="100" workbookViewId="0"/>
  </sheetViews>
  <sheetFormatPr defaultRowHeight="14.4" x14ac:dyDescent="0.3"/>
  <cols>
    <col min="1" max="17" width="12.6640625" customWidth="1"/>
  </cols>
  <sheetData>
    <row r="1" spans="1:16" x14ac:dyDescent="0.3">
      <c r="A1" s="89" t="s">
        <v>721</v>
      </c>
    </row>
    <row r="3" spans="1:16" x14ac:dyDescent="0.3">
      <c r="A3" s="11" t="s">
        <v>113</v>
      </c>
    </row>
    <row r="4" spans="1:16" x14ac:dyDescent="0.3">
      <c r="A4" t="s">
        <v>94</v>
      </c>
    </row>
    <row r="7" spans="1:16" x14ac:dyDescent="0.3">
      <c r="B7" s="10" t="s">
        <v>50</v>
      </c>
      <c r="C7" s="9"/>
      <c r="D7" s="8"/>
      <c r="F7" s="10" t="s">
        <v>49</v>
      </c>
      <c r="G7" s="8"/>
      <c r="I7" s="10" t="s">
        <v>48</v>
      </c>
      <c r="J7" s="9"/>
      <c r="K7" s="9"/>
      <c r="L7" s="9"/>
      <c r="M7" s="8"/>
      <c r="O7" s="10" t="s">
        <v>93</v>
      </c>
      <c r="P7" s="8"/>
    </row>
    <row r="8" spans="1:16" x14ac:dyDescent="0.3">
      <c r="B8" s="7" t="s">
        <v>92</v>
      </c>
      <c r="C8" s="6"/>
      <c r="D8" s="5"/>
      <c r="F8" s="7" t="s">
        <v>91</v>
      </c>
      <c r="G8" s="5"/>
      <c r="I8" s="7" t="s">
        <v>90</v>
      </c>
      <c r="J8" s="6"/>
      <c r="K8" s="6"/>
      <c r="L8" s="6"/>
      <c r="M8" s="5"/>
      <c r="O8" s="7" t="s">
        <v>89</v>
      </c>
      <c r="P8" s="5"/>
    </row>
    <row r="9" spans="1:16" x14ac:dyDescent="0.3">
      <c r="C9" s="13" t="s">
        <v>44</v>
      </c>
      <c r="D9" s="13" t="s">
        <v>43</v>
      </c>
      <c r="G9" s="13" t="s">
        <v>42</v>
      </c>
      <c r="I9" t="s">
        <v>41</v>
      </c>
      <c r="J9" t="s">
        <v>41</v>
      </c>
      <c r="K9" s="13" t="s">
        <v>88</v>
      </c>
      <c r="L9" s="13" t="s">
        <v>87</v>
      </c>
      <c r="M9" s="13" t="s">
        <v>38</v>
      </c>
    </row>
    <row r="10" spans="1:16" x14ac:dyDescent="0.3">
      <c r="C10" s="91" t="s">
        <v>37</v>
      </c>
      <c r="D10" s="91" t="s">
        <v>36</v>
      </c>
      <c r="E10" s="11"/>
      <c r="F10" s="11"/>
      <c r="G10" s="91" t="s">
        <v>35</v>
      </c>
      <c r="H10" s="11"/>
      <c r="I10" s="11" t="s">
        <v>33</v>
      </c>
      <c r="J10" s="11" t="s">
        <v>34</v>
      </c>
      <c r="K10" s="91" t="s">
        <v>86</v>
      </c>
      <c r="L10" s="91" t="s">
        <v>86</v>
      </c>
      <c r="M10" s="91" t="s">
        <v>30</v>
      </c>
      <c r="N10" s="11"/>
      <c r="O10" s="91" t="s">
        <v>85</v>
      </c>
      <c r="P10" s="91" t="s">
        <v>84</v>
      </c>
    </row>
    <row r="11" spans="1:16" x14ac:dyDescent="0.3">
      <c r="B11" t="s">
        <v>16</v>
      </c>
      <c r="C11" s="2">
        <v>0.75</v>
      </c>
      <c r="D11" s="1">
        <v>3</v>
      </c>
      <c r="F11" t="s">
        <v>16</v>
      </c>
      <c r="G11" s="1">
        <v>5</v>
      </c>
      <c r="I11" t="s">
        <v>27</v>
      </c>
      <c r="J11" t="s">
        <v>16</v>
      </c>
      <c r="K11" s="40">
        <v>0</v>
      </c>
      <c r="L11" s="40">
        <v>100</v>
      </c>
      <c r="M11" s="3">
        <v>4000</v>
      </c>
      <c r="O11" s="25">
        <v>1</v>
      </c>
      <c r="P11" s="2">
        <v>0</v>
      </c>
    </row>
    <row r="12" spans="1:16" x14ac:dyDescent="0.3">
      <c r="B12" t="s">
        <v>13</v>
      </c>
      <c r="C12" s="2">
        <v>0.15</v>
      </c>
      <c r="D12" s="1">
        <v>3</v>
      </c>
      <c r="F12" t="s">
        <v>13</v>
      </c>
      <c r="G12" s="2">
        <v>0.25</v>
      </c>
      <c r="I12" t="s">
        <v>24</v>
      </c>
      <c r="J12" t="s">
        <v>16</v>
      </c>
      <c r="K12" s="40">
        <v>0</v>
      </c>
      <c r="L12" s="40">
        <v>200</v>
      </c>
      <c r="M12" s="3">
        <v>2000</v>
      </c>
      <c r="O12" s="25" t="s">
        <v>83</v>
      </c>
      <c r="P12" s="2">
        <v>-0.2</v>
      </c>
    </row>
    <row r="13" spans="1:16" x14ac:dyDescent="0.3">
      <c r="I13" t="s">
        <v>21</v>
      </c>
      <c r="J13" t="s">
        <v>16</v>
      </c>
      <c r="K13" s="40">
        <v>0</v>
      </c>
      <c r="L13" s="40">
        <v>150</v>
      </c>
      <c r="M13" s="3">
        <v>2400</v>
      </c>
      <c r="O13" s="25" t="s">
        <v>82</v>
      </c>
      <c r="P13" s="2">
        <v>-0.4</v>
      </c>
    </row>
    <row r="14" spans="1:16" x14ac:dyDescent="0.3">
      <c r="I14" t="s">
        <v>19</v>
      </c>
      <c r="J14" t="s">
        <v>13</v>
      </c>
      <c r="K14" s="40">
        <v>50</v>
      </c>
      <c r="L14" s="40">
        <v>500</v>
      </c>
      <c r="M14" s="3">
        <v>500</v>
      </c>
      <c r="O14" s="25" t="s">
        <v>81</v>
      </c>
      <c r="P14" s="2">
        <v>-0.6</v>
      </c>
    </row>
    <row r="15" spans="1:16" x14ac:dyDescent="0.3">
      <c r="C15" s="2"/>
      <c r="D15" s="2"/>
      <c r="I15" t="s">
        <v>15</v>
      </c>
      <c r="J15" t="s">
        <v>13</v>
      </c>
      <c r="K15" s="40">
        <v>200</v>
      </c>
      <c r="L15" s="40">
        <v>400</v>
      </c>
      <c r="M15" s="3">
        <v>300</v>
      </c>
      <c r="O15" s="25" t="s">
        <v>80</v>
      </c>
      <c r="P15" s="2">
        <v>-1</v>
      </c>
    </row>
    <row r="16" spans="1:16" x14ac:dyDescent="0.3">
      <c r="I16" t="s">
        <v>12</v>
      </c>
      <c r="J16" t="s">
        <v>13</v>
      </c>
      <c r="K16" s="40">
        <v>250</v>
      </c>
      <c r="L16" s="40">
        <v>600</v>
      </c>
      <c r="M16" s="3">
        <v>200</v>
      </c>
    </row>
    <row r="19" spans="1:17" x14ac:dyDescent="0.3">
      <c r="B19" t="s">
        <v>79</v>
      </c>
    </row>
    <row r="20" spans="1:17" x14ac:dyDescent="0.3">
      <c r="B20" t="s">
        <v>725</v>
      </c>
    </row>
    <row r="22" spans="1:17" x14ac:dyDescent="0.3">
      <c r="A22" t="s">
        <v>6</v>
      </c>
      <c r="B22" t="s">
        <v>726</v>
      </c>
    </row>
    <row r="24" spans="1:17" x14ac:dyDescent="0.3">
      <c r="C24" s="92" t="s">
        <v>104</v>
      </c>
      <c r="D24" s="92" t="s">
        <v>27</v>
      </c>
      <c r="E24" s="92" t="s">
        <v>24</v>
      </c>
      <c r="F24" s="92" t="s">
        <v>21</v>
      </c>
      <c r="G24" s="92" t="s">
        <v>19</v>
      </c>
      <c r="H24" s="92" t="s">
        <v>15</v>
      </c>
      <c r="I24" s="92" t="s">
        <v>12</v>
      </c>
      <c r="J24" s="24"/>
      <c r="K24" s="24"/>
      <c r="L24" s="92" t="s">
        <v>53</v>
      </c>
      <c r="M24" s="92" t="s">
        <v>53</v>
      </c>
    </row>
    <row r="25" spans="1:17" x14ac:dyDescent="0.3">
      <c r="C25" s="93" t="s">
        <v>66</v>
      </c>
      <c r="D25" s="93" t="s">
        <v>16</v>
      </c>
      <c r="E25" s="93" t="s">
        <v>16</v>
      </c>
      <c r="F25" s="93" t="s">
        <v>16</v>
      </c>
      <c r="G25" s="93" t="s">
        <v>13</v>
      </c>
      <c r="H25" s="93" t="s">
        <v>13</v>
      </c>
      <c r="I25" s="93" t="s">
        <v>13</v>
      </c>
      <c r="J25" s="94"/>
      <c r="K25" s="94"/>
      <c r="L25" s="93" t="s">
        <v>16</v>
      </c>
      <c r="M25" s="93" t="s">
        <v>13</v>
      </c>
      <c r="N25" s="93" t="s">
        <v>53</v>
      </c>
      <c r="Q25" s="24" t="s">
        <v>75</v>
      </c>
    </row>
    <row r="26" spans="1:17" x14ac:dyDescent="0.3">
      <c r="C26" s="13" t="s">
        <v>101</v>
      </c>
      <c r="D26" s="39" cm="1">
        <f t="array" ref="D26:I26">TRANSPOSE(K11:K16)</f>
        <v>0</v>
      </c>
      <c r="E26" s="39">
        <v>0</v>
      </c>
      <c r="F26" s="39">
        <v>0</v>
      </c>
      <c r="G26" s="39">
        <v>50</v>
      </c>
      <c r="H26" s="39">
        <v>200</v>
      </c>
      <c r="I26" s="39">
        <v>250</v>
      </c>
      <c r="Q26" t="s">
        <v>112</v>
      </c>
    </row>
    <row r="27" spans="1:17" x14ac:dyDescent="0.3">
      <c r="C27" s="13" t="s">
        <v>99</v>
      </c>
      <c r="D27" s="39" cm="1">
        <f t="array" ref="D27:I27">TRANSPOSE(L11:L16)</f>
        <v>100</v>
      </c>
      <c r="E27" s="39">
        <v>200</v>
      </c>
      <c r="F27" s="39">
        <v>150</v>
      </c>
      <c r="G27" s="39">
        <v>500</v>
      </c>
      <c r="H27" s="39">
        <v>400</v>
      </c>
      <c r="I27" s="39">
        <v>600</v>
      </c>
      <c r="Q27" t="s">
        <v>111</v>
      </c>
    </row>
    <row r="28" spans="1:17" x14ac:dyDescent="0.3">
      <c r="C28" s="13" t="s">
        <v>97</v>
      </c>
      <c r="D28" s="3" cm="1">
        <f t="array" ref="D28:I28">TRANSPOSE(M11:M16)</f>
        <v>4000</v>
      </c>
      <c r="E28" s="3">
        <v>2000</v>
      </c>
      <c r="F28" s="3">
        <v>2400</v>
      </c>
      <c r="G28" s="74">
        <v>500</v>
      </c>
      <c r="H28" s="74">
        <v>300</v>
      </c>
      <c r="I28" s="74">
        <v>200</v>
      </c>
      <c r="Q28" t="s">
        <v>110</v>
      </c>
    </row>
    <row r="29" spans="1:17" x14ac:dyDescent="0.3">
      <c r="C29" s="13" t="s">
        <v>62</v>
      </c>
      <c r="D29" s="39">
        <f>D27*(1-$C$11)</f>
        <v>25</v>
      </c>
      <c r="E29" s="39">
        <f>E27*(1-$C$11)</f>
        <v>50</v>
      </c>
      <c r="F29" s="39">
        <f>F27*(1-$C$11)</f>
        <v>37.5</v>
      </c>
      <c r="G29" s="39">
        <f>G27*(1-$C$12)</f>
        <v>425</v>
      </c>
      <c r="H29" s="39">
        <f>H27*(1-$C$12)</f>
        <v>340</v>
      </c>
      <c r="I29" s="39">
        <f>I27*(1-$C$12)</f>
        <v>510</v>
      </c>
      <c r="Q29" t="s">
        <v>71</v>
      </c>
    </row>
    <row r="30" spans="1:17" x14ac:dyDescent="0.3">
      <c r="C30" s="13" t="s">
        <v>61</v>
      </c>
      <c r="D30" s="39">
        <f>$D$11</f>
        <v>3</v>
      </c>
      <c r="E30" s="39">
        <f>$D$11</f>
        <v>3</v>
      </c>
      <c r="F30" s="39">
        <f>$D$11</f>
        <v>3</v>
      </c>
      <c r="G30" s="39">
        <f>$D$12</f>
        <v>3</v>
      </c>
      <c r="H30" s="39">
        <f>$D$12</f>
        <v>3</v>
      </c>
      <c r="I30" s="39">
        <f>$D$12</f>
        <v>3</v>
      </c>
      <c r="Q30" t="s">
        <v>70</v>
      </c>
    </row>
    <row r="31" spans="1:17" ht="15" thickBot="1" x14ac:dyDescent="0.35">
      <c r="C31" s="13" t="s">
        <v>729</v>
      </c>
      <c r="D31" s="39">
        <f t="shared" ref="D31:I31" si="0">D29+D30-D26</f>
        <v>28</v>
      </c>
      <c r="E31" s="39">
        <f t="shared" si="0"/>
        <v>53</v>
      </c>
      <c r="F31" s="39">
        <f t="shared" si="0"/>
        <v>40.5</v>
      </c>
      <c r="G31" s="39">
        <f t="shared" si="0"/>
        <v>378</v>
      </c>
      <c r="H31" s="39">
        <f t="shared" si="0"/>
        <v>143</v>
      </c>
      <c r="I31" s="39">
        <f t="shared" si="0"/>
        <v>263</v>
      </c>
      <c r="Q31" t="s">
        <v>731</v>
      </c>
    </row>
    <row r="32" spans="1:17" ht="15" thickBot="1" x14ac:dyDescent="0.35">
      <c r="C32" s="13" t="s">
        <v>730</v>
      </c>
      <c r="D32" s="39">
        <f t="shared" ref="D32:I32" si="1">D31*D28/12000</f>
        <v>9.3333333333333339</v>
      </c>
      <c r="E32" s="39">
        <f t="shared" si="1"/>
        <v>8.8333333333333339</v>
      </c>
      <c r="F32" s="39">
        <f t="shared" si="1"/>
        <v>8.1</v>
      </c>
      <c r="G32" s="39">
        <f t="shared" si="1"/>
        <v>15.75</v>
      </c>
      <c r="H32" s="39">
        <f t="shared" si="1"/>
        <v>3.5750000000000002</v>
      </c>
      <c r="I32" s="39">
        <f t="shared" si="1"/>
        <v>4.3833333333333337</v>
      </c>
      <c r="L32" s="27">
        <f>SUM(D32:F32)</f>
        <v>26.266666666666666</v>
      </c>
      <c r="M32" s="26">
        <f>SUM(G32:I32)</f>
        <v>23.708333333333332</v>
      </c>
      <c r="N32" s="95">
        <f>L32+M32</f>
        <v>49.974999999999994</v>
      </c>
      <c r="Q32" t="s">
        <v>109</v>
      </c>
    </row>
    <row r="33" spans="1:17" ht="15" thickBot="1" x14ac:dyDescent="0.35">
      <c r="C33" s="13" t="s">
        <v>59</v>
      </c>
      <c r="D33" s="39">
        <f>$G$11</f>
        <v>5</v>
      </c>
      <c r="E33" s="39">
        <f t="shared" ref="E33:F33" si="2">$G$11</f>
        <v>5</v>
      </c>
      <c r="F33" s="39">
        <f t="shared" si="2"/>
        <v>5</v>
      </c>
      <c r="G33" s="39">
        <f>G31*$G$12</f>
        <v>94.5</v>
      </c>
      <c r="H33" s="39">
        <f t="shared" ref="H33:I33" si="3">H31*$G$12</f>
        <v>35.75</v>
      </c>
      <c r="I33" s="39">
        <f t="shared" si="3"/>
        <v>65.75</v>
      </c>
      <c r="Q33" t="s">
        <v>732</v>
      </c>
    </row>
    <row r="34" spans="1:17" ht="15" thickBot="1" x14ac:dyDescent="0.35">
      <c r="C34" s="13" t="s">
        <v>56</v>
      </c>
      <c r="D34" s="39">
        <f t="shared" ref="D34:I34" si="4">D33*D28/12000</f>
        <v>1.6666666666666667</v>
      </c>
      <c r="E34" s="39">
        <f t="shared" si="4"/>
        <v>0.83333333333333337</v>
      </c>
      <c r="F34" s="39">
        <f t="shared" si="4"/>
        <v>1</v>
      </c>
      <c r="G34" s="39">
        <f t="shared" si="4"/>
        <v>3.9375</v>
      </c>
      <c r="H34" s="39">
        <f t="shared" si="4"/>
        <v>0.89375000000000004</v>
      </c>
      <c r="I34" s="39">
        <f t="shared" si="4"/>
        <v>1.0958333333333334</v>
      </c>
      <c r="L34" s="27">
        <f>SUM(D34:F34)</f>
        <v>3.5</v>
      </c>
      <c r="M34" s="26">
        <f>SUM(G34:I34)</f>
        <v>5.927083333333333</v>
      </c>
      <c r="N34" s="95">
        <f>L34+M34</f>
        <v>9.4270833333333321</v>
      </c>
      <c r="Q34" t="s">
        <v>67</v>
      </c>
    </row>
    <row r="37" spans="1:17" x14ac:dyDescent="0.3">
      <c r="B37" t="s">
        <v>78</v>
      </c>
    </row>
    <row r="38" spans="1:17" x14ac:dyDescent="0.3">
      <c r="B38" t="s">
        <v>77</v>
      </c>
    </row>
    <row r="40" spans="1:17" x14ac:dyDescent="0.3">
      <c r="A40" t="s">
        <v>4</v>
      </c>
      <c r="B40" t="s">
        <v>727</v>
      </c>
    </row>
    <row r="42" spans="1:17" x14ac:dyDescent="0.3">
      <c r="C42" s="92" t="s">
        <v>104</v>
      </c>
      <c r="D42" s="92" t="s">
        <v>27</v>
      </c>
      <c r="E42" s="92" t="s">
        <v>24</v>
      </c>
      <c r="F42" s="92" t="s">
        <v>21</v>
      </c>
      <c r="G42" s="92" t="s">
        <v>19</v>
      </c>
      <c r="H42" s="92" t="s">
        <v>15</v>
      </c>
      <c r="I42" s="92" t="s">
        <v>12</v>
      </c>
      <c r="J42" s="24"/>
      <c r="K42" s="24"/>
      <c r="L42" s="92" t="s">
        <v>53</v>
      </c>
      <c r="M42" s="92" t="s">
        <v>53</v>
      </c>
    </row>
    <row r="43" spans="1:17" x14ac:dyDescent="0.3">
      <c r="C43" s="93" t="s">
        <v>66</v>
      </c>
      <c r="D43" s="93" t="s">
        <v>16</v>
      </c>
      <c r="E43" s="93" t="s">
        <v>16</v>
      </c>
      <c r="F43" s="93" t="s">
        <v>16</v>
      </c>
      <c r="G43" s="93" t="s">
        <v>13</v>
      </c>
      <c r="H43" s="93" t="s">
        <v>13</v>
      </c>
      <c r="I43" s="93" t="s">
        <v>13</v>
      </c>
      <c r="J43" s="94"/>
      <c r="K43" s="94"/>
      <c r="L43" s="93" t="s">
        <v>16</v>
      </c>
      <c r="M43" s="93" t="s">
        <v>13</v>
      </c>
      <c r="N43" s="93" t="s">
        <v>53</v>
      </c>
    </row>
    <row r="44" spans="1:17" x14ac:dyDescent="0.3">
      <c r="C44" s="13" t="s">
        <v>101</v>
      </c>
      <c r="D44" s="39">
        <f t="shared" ref="D44:G45" si="5">D26</f>
        <v>0</v>
      </c>
      <c r="E44" s="39">
        <f t="shared" si="5"/>
        <v>0</v>
      </c>
      <c r="F44" s="39">
        <f t="shared" si="5"/>
        <v>0</v>
      </c>
      <c r="G44" s="39">
        <f t="shared" si="5"/>
        <v>50</v>
      </c>
      <c r="H44" s="39">
        <f>H26*(1-0.75)</f>
        <v>50</v>
      </c>
      <c r="I44" s="39">
        <f>I26</f>
        <v>250</v>
      </c>
      <c r="Q44" t="s">
        <v>108</v>
      </c>
    </row>
    <row r="45" spans="1:17" x14ac:dyDescent="0.3">
      <c r="C45" s="13" t="s">
        <v>99</v>
      </c>
      <c r="D45" s="39">
        <f t="shared" si="5"/>
        <v>100</v>
      </c>
      <c r="E45" s="39">
        <f t="shared" si="5"/>
        <v>200</v>
      </c>
      <c r="F45" s="39">
        <f t="shared" si="5"/>
        <v>150</v>
      </c>
      <c r="G45" s="39">
        <f t="shared" si="5"/>
        <v>500</v>
      </c>
      <c r="H45" s="39">
        <f>H27</f>
        <v>400</v>
      </c>
      <c r="I45" s="39">
        <f>I27</f>
        <v>600</v>
      </c>
      <c r="Q45" t="s">
        <v>107</v>
      </c>
    </row>
    <row r="46" spans="1:17" x14ac:dyDescent="0.3">
      <c r="C46" s="13" t="s">
        <v>97</v>
      </c>
      <c r="D46" s="3">
        <f>D28</f>
        <v>4000</v>
      </c>
      <c r="E46" s="3">
        <f>E28</f>
        <v>2000</v>
      </c>
      <c r="F46" s="3">
        <f>F28+H28*0.4</f>
        <v>2520</v>
      </c>
      <c r="G46" s="74">
        <f>G28</f>
        <v>500</v>
      </c>
      <c r="H46" s="74">
        <f>H28*(1-0.4)</f>
        <v>180</v>
      </c>
      <c r="I46" s="74">
        <f>I28</f>
        <v>200</v>
      </c>
      <c r="Q46" t="s">
        <v>106</v>
      </c>
    </row>
    <row r="47" spans="1:17" x14ac:dyDescent="0.3">
      <c r="C47" s="13" t="s">
        <v>62</v>
      </c>
      <c r="D47" s="39">
        <f>D45*(1-$C$11)</f>
        <v>25</v>
      </c>
      <c r="E47" s="39">
        <f>E45*(1-$C$11)</f>
        <v>50</v>
      </c>
      <c r="F47" s="39">
        <f>F45*(1-$C$11)</f>
        <v>37.5</v>
      </c>
      <c r="G47" s="39">
        <f>G45*(1-$C$12)</f>
        <v>425</v>
      </c>
      <c r="H47" s="39">
        <f>H45*(1-$C$12)</f>
        <v>340</v>
      </c>
      <c r="I47" s="39">
        <f>I45*(1-$C$12)</f>
        <v>510</v>
      </c>
      <c r="Q47" t="s">
        <v>105</v>
      </c>
    </row>
    <row r="48" spans="1:17" x14ac:dyDescent="0.3">
      <c r="C48" s="13" t="s">
        <v>61</v>
      </c>
      <c r="D48" s="39">
        <f>$D$11</f>
        <v>3</v>
      </c>
      <c r="E48" s="39">
        <f>$D$11</f>
        <v>3</v>
      </c>
      <c r="F48" s="39">
        <f>$D$11</f>
        <v>3</v>
      </c>
      <c r="G48" s="39">
        <f>$D$12</f>
        <v>3</v>
      </c>
      <c r="H48" s="39">
        <f>$D$12</f>
        <v>3</v>
      </c>
      <c r="I48" s="39">
        <f>$D$12</f>
        <v>3</v>
      </c>
    </row>
    <row r="49" spans="1:17" ht="15" thickBot="1" x14ac:dyDescent="0.35">
      <c r="C49" s="13" t="s">
        <v>729</v>
      </c>
      <c r="D49" s="39">
        <f t="shared" ref="D49:I49" si="6">D47+D48-D44</f>
        <v>28</v>
      </c>
      <c r="E49" s="39">
        <f t="shared" si="6"/>
        <v>53</v>
      </c>
      <c r="F49" s="39">
        <f t="shared" si="6"/>
        <v>40.5</v>
      </c>
      <c r="G49" s="39">
        <f t="shared" si="6"/>
        <v>378</v>
      </c>
      <c r="H49" s="39">
        <f t="shared" si="6"/>
        <v>293</v>
      </c>
      <c r="I49" s="39">
        <f t="shared" si="6"/>
        <v>263</v>
      </c>
    </row>
    <row r="50" spans="1:17" ht="15" thickBot="1" x14ac:dyDescent="0.35">
      <c r="C50" s="13" t="s">
        <v>730</v>
      </c>
      <c r="D50" s="39">
        <f t="shared" ref="D50:I50" si="7">D49*D46/12000</f>
        <v>9.3333333333333339</v>
      </c>
      <c r="E50" s="39">
        <f t="shared" si="7"/>
        <v>8.8333333333333339</v>
      </c>
      <c r="F50" s="39">
        <f t="shared" si="7"/>
        <v>8.5050000000000008</v>
      </c>
      <c r="G50" s="39">
        <f t="shared" si="7"/>
        <v>15.75</v>
      </c>
      <c r="H50" s="39">
        <f t="shared" si="7"/>
        <v>4.3949999999999996</v>
      </c>
      <c r="I50" s="39">
        <f t="shared" si="7"/>
        <v>4.3833333333333337</v>
      </c>
      <c r="L50" s="27">
        <f>SUM(D50:F50)</f>
        <v>26.671666666666667</v>
      </c>
      <c r="M50" s="26">
        <f>SUM(G50:I50)</f>
        <v>24.528333333333332</v>
      </c>
      <c r="N50" s="95">
        <f>L50+M50</f>
        <v>51.2</v>
      </c>
    </row>
    <row r="51" spans="1:17" ht="15" thickBot="1" x14ac:dyDescent="0.35">
      <c r="C51" s="13" t="s">
        <v>59</v>
      </c>
      <c r="D51" s="39">
        <f>$G$11</f>
        <v>5</v>
      </c>
      <c r="E51" s="39">
        <f t="shared" ref="E51:F51" si="8">$G$11</f>
        <v>5</v>
      </c>
      <c r="F51" s="39">
        <f t="shared" si="8"/>
        <v>5</v>
      </c>
      <c r="G51" s="39">
        <f>G49*$G$12</f>
        <v>94.5</v>
      </c>
      <c r="H51" s="39">
        <f t="shared" ref="H51:I51" si="9">H49*$G$12</f>
        <v>73.25</v>
      </c>
      <c r="I51" s="39">
        <f t="shared" si="9"/>
        <v>65.75</v>
      </c>
    </row>
    <row r="52" spans="1:17" ht="15" thickBot="1" x14ac:dyDescent="0.35">
      <c r="C52" s="13" t="s">
        <v>56</v>
      </c>
      <c r="D52" s="39">
        <f t="shared" ref="D52:I52" si="10">D51*D46/12000</f>
        <v>1.6666666666666667</v>
      </c>
      <c r="E52" s="39">
        <f t="shared" si="10"/>
        <v>0.83333333333333337</v>
      </c>
      <c r="F52" s="39">
        <f t="shared" si="10"/>
        <v>1.05</v>
      </c>
      <c r="G52" s="39">
        <f t="shared" si="10"/>
        <v>3.9375</v>
      </c>
      <c r="H52" s="39">
        <f t="shared" si="10"/>
        <v>1.0987499999999999</v>
      </c>
      <c r="I52" s="39">
        <f t="shared" si="10"/>
        <v>1.0958333333333334</v>
      </c>
      <c r="L52" s="27">
        <f>SUM(D52:F52)</f>
        <v>3.55</v>
      </c>
      <c r="M52" s="26">
        <f>SUM(G52:I52)</f>
        <v>6.1320833333333331</v>
      </c>
      <c r="N52" s="95">
        <f>L52+M52</f>
        <v>9.6820833333333329</v>
      </c>
    </row>
    <row r="54" spans="1:17" x14ac:dyDescent="0.3">
      <c r="B54" t="s">
        <v>76</v>
      </c>
    </row>
    <row r="55" spans="1:17" x14ac:dyDescent="0.3">
      <c r="B55" t="s">
        <v>728</v>
      </c>
    </row>
    <row r="57" spans="1:17" x14ac:dyDescent="0.3">
      <c r="A57" t="s">
        <v>1</v>
      </c>
      <c r="B57" t="s">
        <v>727</v>
      </c>
    </row>
    <row r="59" spans="1:17" x14ac:dyDescent="0.3">
      <c r="C59" s="92" t="s">
        <v>104</v>
      </c>
      <c r="D59" s="92" t="s">
        <v>27</v>
      </c>
      <c r="E59" s="92" t="s">
        <v>24</v>
      </c>
      <c r="F59" s="92" t="s">
        <v>21</v>
      </c>
      <c r="G59" s="92" t="s">
        <v>19</v>
      </c>
      <c r="H59" s="92" t="s">
        <v>15</v>
      </c>
      <c r="I59" s="92" t="s">
        <v>12</v>
      </c>
      <c r="J59" s="92" t="s">
        <v>103</v>
      </c>
      <c r="K59" s="24"/>
      <c r="L59" s="92" t="s">
        <v>53</v>
      </c>
      <c r="M59" s="92" t="s">
        <v>53</v>
      </c>
    </row>
    <row r="60" spans="1:17" x14ac:dyDescent="0.3">
      <c r="C60" s="93" t="s">
        <v>66</v>
      </c>
      <c r="D60" s="93" t="s">
        <v>16</v>
      </c>
      <c r="E60" s="93" t="s">
        <v>16</v>
      </c>
      <c r="F60" s="93" t="s">
        <v>16</v>
      </c>
      <c r="G60" s="93" t="s">
        <v>13</v>
      </c>
      <c r="H60" s="93" t="s">
        <v>13</v>
      </c>
      <c r="I60" s="93" t="s">
        <v>13</v>
      </c>
      <c r="J60" s="93" t="s">
        <v>13</v>
      </c>
      <c r="K60" s="94"/>
      <c r="L60" s="93" t="s">
        <v>16</v>
      </c>
      <c r="M60" s="93" t="s">
        <v>13</v>
      </c>
      <c r="N60" s="93" t="s">
        <v>53</v>
      </c>
      <c r="Q60" t="s">
        <v>102</v>
      </c>
    </row>
    <row r="61" spans="1:17" x14ac:dyDescent="0.3">
      <c r="C61" s="13" t="s">
        <v>101</v>
      </c>
      <c r="D61" s="39">
        <f t="shared" ref="D61:F63" si="11">D44</f>
        <v>0</v>
      </c>
      <c r="E61" s="39">
        <f t="shared" si="11"/>
        <v>0</v>
      </c>
      <c r="F61" s="39">
        <f t="shared" si="11"/>
        <v>0</v>
      </c>
      <c r="G61" s="39">
        <f>G44*(1+P13)</f>
        <v>30</v>
      </c>
      <c r="H61" s="39">
        <f t="shared" ref="H61:I63" si="12">H44</f>
        <v>50</v>
      </c>
      <c r="I61" s="39">
        <f t="shared" si="12"/>
        <v>250</v>
      </c>
      <c r="J61" s="39">
        <v>0</v>
      </c>
      <c r="Q61" t="s">
        <v>100</v>
      </c>
    </row>
    <row r="62" spans="1:17" x14ac:dyDescent="0.3">
      <c r="C62" s="13" t="s">
        <v>99</v>
      </c>
      <c r="D62" s="39">
        <f t="shared" si="11"/>
        <v>100</v>
      </c>
      <c r="E62" s="39">
        <f t="shared" si="11"/>
        <v>200</v>
      </c>
      <c r="F62" s="39">
        <f t="shared" si="11"/>
        <v>150</v>
      </c>
      <c r="G62" s="39">
        <f>G45</f>
        <v>500</v>
      </c>
      <c r="H62" s="39">
        <f t="shared" si="12"/>
        <v>400</v>
      </c>
      <c r="I62" s="39">
        <f t="shared" si="12"/>
        <v>600</v>
      </c>
      <c r="J62" s="39">
        <f>G62*(1-0.15)</f>
        <v>425</v>
      </c>
      <c r="Q62" t="s">
        <v>98</v>
      </c>
    </row>
    <row r="63" spans="1:17" x14ac:dyDescent="0.3">
      <c r="C63" s="13" t="s">
        <v>97</v>
      </c>
      <c r="D63" s="3">
        <f t="shared" si="11"/>
        <v>4000</v>
      </c>
      <c r="E63" s="3">
        <f t="shared" si="11"/>
        <v>2000</v>
      </c>
      <c r="F63" s="3">
        <f t="shared" si="11"/>
        <v>2520</v>
      </c>
      <c r="G63" s="3">
        <f>G46-J63</f>
        <v>350</v>
      </c>
      <c r="H63" s="3">
        <f t="shared" si="12"/>
        <v>180</v>
      </c>
      <c r="I63" s="3">
        <f t="shared" si="12"/>
        <v>200</v>
      </c>
      <c r="J63" s="3">
        <f>G46*0.3</f>
        <v>150</v>
      </c>
      <c r="Q63" t="s">
        <v>96</v>
      </c>
    </row>
    <row r="64" spans="1:17" x14ac:dyDescent="0.3">
      <c r="C64" s="13" t="s">
        <v>62</v>
      </c>
      <c r="D64" s="39">
        <f>D62*(1-$C$11)</f>
        <v>25</v>
      </c>
      <c r="E64" s="39">
        <f>E62*(1-$C$11)</f>
        <v>50</v>
      </c>
      <c r="F64" s="39">
        <f>F62*(1-$C$11)</f>
        <v>37.5</v>
      </c>
      <c r="G64" s="39">
        <f>G62*(1-$C$12)</f>
        <v>425</v>
      </c>
      <c r="H64" s="39">
        <f>H62*(1-$C$12)</f>
        <v>340</v>
      </c>
      <c r="I64" s="39">
        <f>I62*(1-$C$12)</f>
        <v>510</v>
      </c>
      <c r="J64" s="39">
        <f>J62*(1-$C$12)</f>
        <v>361.25</v>
      </c>
      <c r="Q64" t="s">
        <v>95</v>
      </c>
    </row>
    <row r="65" spans="3:14" x14ac:dyDescent="0.3">
      <c r="C65" s="13" t="s">
        <v>61</v>
      </c>
      <c r="D65" s="39">
        <f>$D$11</f>
        <v>3</v>
      </c>
      <c r="E65" s="39">
        <f>$D$11</f>
        <v>3</v>
      </c>
      <c r="F65" s="39">
        <f>$D$11</f>
        <v>3</v>
      </c>
      <c r="G65" s="39">
        <f>$D$12</f>
        <v>3</v>
      </c>
      <c r="H65" s="39">
        <f>$D$12</f>
        <v>3</v>
      </c>
      <c r="I65" s="39">
        <f>$D$12</f>
        <v>3</v>
      </c>
      <c r="J65" s="39">
        <f>$D$12</f>
        <v>3</v>
      </c>
    </row>
    <row r="66" spans="3:14" ht="15" thickBot="1" x14ac:dyDescent="0.35">
      <c r="C66" s="13" t="s">
        <v>729</v>
      </c>
      <c r="D66" s="39">
        <f t="shared" ref="D66:J66" si="13">D64+D65-D61</f>
        <v>28</v>
      </c>
      <c r="E66" s="39">
        <f t="shared" si="13"/>
        <v>53</v>
      </c>
      <c r="F66" s="39">
        <f t="shared" si="13"/>
        <v>40.5</v>
      </c>
      <c r="G66" s="39">
        <f t="shared" si="13"/>
        <v>398</v>
      </c>
      <c r="H66" s="39">
        <f t="shared" si="13"/>
        <v>293</v>
      </c>
      <c r="I66" s="39">
        <f t="shared" si="13"/>
        <v>263</v>
      </c>
      <c r="J66" s="39">
        <f t="shared" si="13"/>
        <v>364.25</v>
      </c>
    </row>
    <row r="67" spans="3:14" ht="15" thickBot="1" x14ac:dyDescent="0.35">
      <c r="C67" s="13" t="s">
        <v>730</v>
      </c>
      <c r="D67" s="39">
        <f t="shared" ref="D67:J67" si="14">D66*D63/12000</f>
        <v>9.3333333333333339</v>
      </c>
      <c r="E67" s="39">
        <f t="shared" si="14"/>
        <v>8.8333333333333339</v>
      </c>
      <c r="F67" s="39">
        <f t="shared" si="14"/>
        <v>8.5050000000000008</v>
      </c>
      <c r="G67" s="39">
        <f t="shared" si="14"/>
        <v>11.608333333333333</v>
      </c>
      <c r="H67" s="39">
        <f t="shared" si="14"/>
        <v>4.3949999999999996</v>
      </c>
      <c r="I67" s="39">
        <f t="shared" si="14"/>
        <v>4.3833333333333337</v>
      </c>
      <c r="J67" s="39">
        <f t="shared" si="14"/>
        <v>4.5531249999999996</v>
      </c>
      <c r="L67" s="27">
        <f>SUM(D67:F67)</f>
        <v>26.671666666666667</v>
      </c>
      <c r="M67" s="26">
        <f>SUM(G67:J67)</f>
        <v>24.939791666666665</v>
      </c>
      <c r="N67" s="95">
        <f>L67+M67</f>
        <v>51.611458333333331</v>
      </c>
    </row>
    <row r="68" spans="3:14" ht="15" thickBot="1" x14ac:dyDescent="0.35">
      <c r="C68" s="13" t="s">
        <v>59</v>
      </c>
      <c r="D68" s="39">
        <f>$G$11</f>
        <v>5</v>
      </c>
      <c r="E68" s="39">
        <f t="shared" ref="E68:F68" si="15">$G$11</f>
        <v>5</v>
      </c>
      <c r="F68" s="39">
        <f t="shared" si="15"/>
        <v>5</v>
      </c>
      <c r="G68" s="39">
        <f>G66*$G$12</f>
        <v>99.5</v>
      </c>
      <c r="H68" s="39">
        <f t="shared" ref="H68:J68" si="16">H66*$G$12</f>
        <v>73.25</v>
      </c>
      <c r="I68" s="39">
        <f t="shared" si="16"/>
        <v>65.75</v>
      </c>
      <c r="J68" s="39">
        <f t="shared" si="16"/>
        <v>91.0625</v>
      </c>
    </row>
    <row r="69" spans="3:14" ht="15" thickBot="1" x14ac:dyDescent="0.35">
      <c r="C69" s="13" t="s">
        <v>56</v>
      </c>
      <c r="D69" s="39">
        <f t="shared" ref="D69:J69" si="17">D68*D63/12000</f>
        <v>1.6666666666666667</v>
      </c>
      <c r="E69" s="39">
        <f t="shared" si="17"/>
        <v>0.83333333333333337</v>
      </c>
      <c r="F69" s="39">
        <f t="shared" si="17"/>
        <v>1.05</v>
      </c>
      <c r="G69" s="39">
        <f t="shared" si="17"/>
        <v>2.9020833333333331</v>
      </c>
      <c r="H69" s="39">
        <f t="shared" si="17"/>
        <v>1.0987499999999999</v>
      </c>
      <c r="I69" s="39">
        <f t="shared" si="17"/>
        <v>1.0958333333333334</v>
      </c>
      <c r="J69" s="39">
        <f t="shared" si="17"/>
        <v>1.1382812499999999</v>
      </c>
      <c r="L69" s="27">
        <f>SUM(D69:F69)</f>
        <v>3.55</v>
      </c>
      <c r="M69" s="26">
        <f>SUM(G69:J69)</f>
        <v>6.2349479166666661</v>
      </c>
      <c r="N69" s="95">
        <f>L69+M69</f>
        <v>9.7849479166666669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E8DA0-893D-4484-99D7-83D9C89EAB7F}">
  <sheetPr>
    <tabColor theme="5" tint="0.39997558519241921"/>
  </sheetPr>
  <dimension ref="A1:J28"/>
  <sheetViews>
    <sheetView zoomScaleNormal="100" workbookViewId="0"/>
  </sheetViews>
  <sheetFormatPr defaultRowHeight="14.4" x14ac:dyDescent="0.3"/>
  <cols>
    <col min="1" max="1" width="12.6640625" customWidth="1"/>
    <col min="2" max="2" width="22.33203125" customWidth="1"/>
    <col min="3" max="8" width="12.6640625" customWidth="1"/>
    <col min="9" max="10" width="14.5546875" customWidth="1"/>
    <col min="11" max="18" width="12.6640625" customWidth="1"/>
  </cols>
  <sheetData>
    <row r="1" spans="1:10" x14ac:dyDescent="0.3">
      <c r="A1" s="89" t="s">
        <v>721</v>
      </c>
    </row>
    <row r="3" spans="1:10" x14ac:dyDescent="0.3">
      <c r="A3" s="11" t="s">
        <v>52</v>
      </c>
    </row>
    <row r="4" spans="1:10" x14ac:dyDescent="0.3">
      <c r="A4" t="s">
        <v>140</v>
      </c>
    </row>
    <row r="5" spans="1:10" x14ac:dyDescent="0.3">
      <c r="A5" s="11"/>
    </row>
    <row r="7" spans="1:10" x14ac:dyDescent="0.3">
      <c r="B7" s="10" t="s">
        <v>50</v>
      </c>
      <c r="C7" s="9"/>
      <c r="D7" s="8"/>
      <c r="F7" s="10" t="s">
        <v>49</v>
      </c>
      <c r="G7" s="8"/>
      <c r="I7" s="10" t="s">
        <v>48</v>
      </c>
      <c r="J7" s="8"/>
    </row>
    <row r="8" spans="1:10" x14ac:dyDescent="0.3">
      <c r="B8" s="7" t="s">
        <v>139</v>
      </c>
      <c r="C8" s="6"/>
      <c r="D8" s="5"/>
      <c r="F8" s="7" t="s">
        <v>138</v>
      </c>
      <c r="G8" s="5"/>
      <c r="I8" s="7" t="s">
        <v>137</v>
      </c>
      <c r="J8" s="5"/>
    </row>
    <row r="10" spans="1:10" x14ac:dyDescent="0.3">
      <c r="B10" s="15" t="s">
        <v>136</v>
      </c>
      <c r="C10" s="13" t="s">
        <v>135</v>
      </c>
      <c r="D10" s="13"/>
      <c r="F10" s="13" t="s">
        <v>134</v>
      </c>
      <c r="G10" s="3">
        <v>3600</v>
      </c>
      <c r="I10" t="s">
        <v>133</v>
      </c>
      <c r="J10" s="30">
        <v>1.131</v>
      </c>
    </row>
    <row r="11" spans="1:10" x14ac:dyDescent="0.3">
      <c r="B11" s="15" t="s">
        <v>132</v>
      </c>
      <c r="C11" s="13" t="s">
        <v>131</v>
      </c>
      <c r="D11" s="13" t="s">
        <v>130</v>
      </c>
      <c r="F11" s="13" t="s">
        <v>129</v>
      </c>
      <c r="G11" s="3">
        <v>2500</v>
      </c>
      <c r="I11" t="s">
        <v>128</v>
      </c>
      <c r="J11" s="30">
        <v>1.1020000000000001</v>
      </c>
    </row>
    <row r="12" spans="1:10" x14ac:dyDescent="0.3">
      <c r="B12" s="13">
        <v>0</v>
      </c>
      <c r="C12">
        <v>0</v>
      </c>
      <c r="D12">
        <v>0.05</v>
      </c>
      <c r="I12" t="s">
        <v>127</v>
      </c>
      <c r="J12" s="30">
        <v>1.0580000000000001</v>
      </c>
    </row>
    <row r="13" spans="1:10" x14ac:dyDescent="0.3">
      <c r="B13" s="13" t="s">
        <v>126</v>
      </c>
      <c r="C13">
        <v>55</v>
      </c>
      <c r="D13">
        <v>2.5000000000000001E-2</v>
      </c>
      <c r="E13" s="23"/>
      <c r="I13" t="s">
        <v>125</v>
      </c>
      <c r="J13" s="30">
        <v>0.98799999999999999</v>
      </c>
    </row>
    <row r="14" spans="1:10" x14ac:dyDescent="0.3">
      <c r="B14" s="13" t="s">
        <v>124</v>
      </c>
      <c r="C14">
        <v>130</v>
      </c>
      <c r="D14">
        <v>0.05</v>
      </c>
      <c r="E14" s="23"/>
    </row>
    <row r="15" spans="1:10" x14ac:dyDescent="0.3">
      <c r="B15" s="13" t="s">
        <v>123</v>
      </c>
      <c r="C15">
        <v>380</v>
      </c>
      <c r="D15">
        <v>0.125</v>
      </c>
      <c r="E15" s="23"/>
    </row>
    <row r="16" spans="1:10" x14ac:dyDescent="0.3">
      <c r="B16" s="13" t="s">
        <v>122</v>
      </c>
      <c r="C16">
        <v>765</v>
      </c>
      <c r="D16">
        <v>0.1</v>
      </c>
      <c r="E16" s="23"/>
    </row>
    <row r="17" spans="1:5" x14ac:dyDescent="0.3">
      <c r="B17" s="13" t="s">
        <v>121</v>
      </c>
      <c r="C17">
        <v>1400</v>
      </c>
      <c r="D17">
        <v>0.125</v>
      </c>
      <c r="E17" s="23"/>
    </row>
    <row r="18" spans="1:5" x14ac:dyDescent="0.3">
      <c r="B18" s="13" t="s">
        <v>120</v>
      </c>
      <c r="C18">
        <v>2510</v>
      </c>
      <c r="D18">
        <v>0.125</v>
      </c>
      <c r="E18" s="23"/>
    </row>
    <row r="19" spans="1:5" x14ac:dyDescent="0.3">
      <c r="B19" s="13" t="s">
        <v>119</v>
      </c>
      <c r="C19">
        <v>4100</v>
      </c>
      <c r="D19">
        <v>0.15</v>
      </c>
      <c r="E19" s="23"/>
    </row>
    <row r="20" spans="1:5" x14ac:dyDescent="0.3">
      <c r="B20" s="13" t="s">
        <v>118</v>
      </c>
      <c r="C20">
        <v>6300</v>
      </c>
      <c r="D20">
        <v>0.17499999999999999</v>
      </c>
      <c r="E20" s="23"/>
    </row>
    <row r="21" spans="1:5" x14ac:dyDescent="0.3">
      <c r="B21" s="13" t="s">
        <v>117</v>
      </c>
      <c r="C21">
        <v>8700</v>
      </c>
      <c r="D21">
        <v>1.4999999999999999E-2</v>
      </c>
      <c r="E21" s="23"/>
    </row>
    <row r="22" spans="1:5" x14ac:dyDescent="0.3">
      <c r="B22" s="13" t="s">
        <v>116</v>
      </c>
      <c r="C22">
        <v>15000</v>
      </c>
      <c r="D22">
        <v>0.06</v>
      </c>
      <c r="E22" s="23"/>
    </row>
    <row r="23" spans="1:5" x14ac:dyDescent="0.3">
      <c r="E23" s="23"/>
    </row>
    <row r="24" spans="1:5" x14ac:dyDescent="0.3">
      <c r="B24" t="s">
        <v>734</v>
      </c>
      <c r="E24" s="23"/>
    </row>
    <row r="25" spans="1:5" x14ac:dyDescent="0.3">
      <c r="E25" s="23"/>
    </row>
    <row r="26" spans="1:5" x14ac:dyDescent="0.3">
      <c r="A26" t="s">
        <v>6</v>
      </c>
      <c r="B26" t="s">
        <v>735</v>
      </c>
    </row>
    <row r="28" spans="1:5" x14ac:dyDescent="0.3">
      <c r="A28" t="s">
        <v>4</v>
      </c>
      <c r="B28" t="s">
        <v>115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A0D71-BA1C-45EB-AE37-E883DE11B337}">
  <sheetPr>
    <tabColor theme="9" tint="0.59999389629810485"/>
  </sheetPr>
  <dimension ref="A1:L68"/>
  <sheetViews>
    <sheetView zoomScaleNormal="100" workbookViewId="0"/>
  </sheetViews>
  <sheetFormatPr defaultRowHeight="14.4" x14ac:dyDescent="0.3"/>
  <cols>
    <col min="1" max="1" width="12.6640625" customWidth="1"/>
    <col min="2" max="2" width="22.33203125" customWidth="1"/>
    <col min="3" max="5" width="12.6640625" customWidth="1"/>
    <col min="6" max="6" width="18.6640625" customWidth="1"/>
    <col min="7" max="7" width="12.6640625" customWidth="1"/>
    <col min="8" max="8" width="17.5546875" customWidth="1"/>
    <col min="9" max="10" width="16.33203125" customWidth="1"/>
    <col min="11" max="27" width="12.6640625" customWidth="1"/>
  </cols>
  <sheetData>
    <row r="1" spans="1:10" x14ac:dyDescent="0.3">
      <c r="A1" s="89" t="s">
        <v>721</v>
      </c>
    </row>
    <row r="3" spans="1:10" x14ac:dyDescent="0.3">
      <c r="A3" s="11" t="s">
        <v>52</v>
      </c>
    </row>
    <row r="4" spans="1:10" x14ac:dyDescent="0.3">
      <c r="A4" t="s">
        <v>140</v>
      </c>
    </row>
    <row r="5" spans="1:10" x14ac:dyDescent="0.3">
      <c r="A5" s="11"/>
    </row>
    <row r="7" spans="1:10" x14ac:dyDescent="0.3">
      <c r="B7" s="10" t="s">
        <v>50</v>
      </c>
      <c r="C7" s="9"/>
      <c r="D7" s="8"/>
      <c r="F7" s="10" t="s">
        <v>49</v>
      </c>
      <c r="G7" s="8"/>
      <c r="I7" s="10" t="s">
        <v>48</v>
      </c>
      <c r="J7" s="8"/>
    </row>
    <row r="8" spans="1:10" x14ac:dyDescent="0.3">
      <c r="B8" s="7" t="s">
        <v>139</v>
      </c>
      <c r="C8" s="6"/>
      <c r="D8" s="5"/>
      <c r="F8" s="7" t="s">
        <v>138</v>
      </c>
      <c r="G8" s="5"/>
      <c r="I8" s="7" t="s">
        <v>137</v>
      </c>
      <c r="J8" s="5"/>
    </row>
    <row r="10" spans="1:10" x14ac:dyDescent="0.3">
      <c r="B10" s="15" t="s">
        <v>136</v>
      </c>
      <c r="C10" s="13" t="s">
        <v>135</v>
      </c>
      <c r="D10" s="13"/>
      <c r="F10" s="13" t="s">
        <v>175</v>
      </c>
      <c r="G10" s="3">
        <v>3600</v>
      </c>
      <c r="I10" t="s">
        <v>133</v>
      </c>
      <c r="J10" s="30">
        <v>1.131</v>
      </c>
    </row>
    <row r="11" spans="1:10" x14ac:dyDescent="0.3">
      <c r="B11" s="15" t="s">
        <v>132</v>
      </c>
      <c r="C11" s="13" t="s">
        <v>131</v>
      </c>
      <c r="D11" s="13" t="s">
        <v>130</v>
      </c>
      <c r="F11" s="13" t="s">
        <v>129</v>
      </c>
      <c r="G11" s="3">
        <v>2500</v>
      </c>
      <c r="I11" t="s">
        <v>128</v>
      </c>
      <c r="J11" s="30">
        <v>1.1020000000000001</v>
      </c>
    </row>
    <row r="12" spans="1:10" x14ac:dyDescent="0.3">
      <c r="B12" s="13">
        <v>0</v>
      </c>
      <c r="C12">
        <v>0</v>
      </c>
      <c r="D12">
        <v>0.05</v>
      </c>
      <c r="I12" t="s">
        <v>127</v>
      </c>
      <c r="J12" s="30">
        <v>1.0580000000000001</v>
      </c>
    </row>
    <row r="13" spans="1:10" x14ac:dyDescent="0.3">
      <c r="B13" s="13" t="s">
        <v>126</v>
      </c>
      <c r="C13">
        <v>55</v>
      </c>
      <c r="D13">
        <v>2.5000000000000001E-2</v>
      </c>
      <c r="E13" s="23"/>
      <c r="I13" t="s">
        <v>125</v>
      </c>
      <c r="J13" s="30">
        <v>0.98799999999999999</v>
      </c>
    </row>
    <row r="14" spans="1:10" x14ac:dyDescent="0.3">
      <c r="B14" s="13" t="s">
        <v>124</v>
      </c>
      <c r="C14">
        <v>130</v>
      </c>
      <c r="D14">
        <v>0.05</v>
      </c>
      <c r="E14" s="23"/>
    </row>
    <row r="15" spans="1:10" x14ac:dyDescent="0.3">
      <c r="B15" s="13" t="s">
        <v>123</v>
      </c>
      <c r="C15">
        <v>380</v>
      </c>
      <c r="D15">
        <v>0.125</v>
      </c>
      <c r="E15" s="23"/>
    </row>
    <row r="16" spans="1:10" x14ac:dyDescent="0.3">
      <c r="B16" s="13" t="s">
        <v>122</v>
      </c>
      <c r="C16">
        <v>765</v>
      </c>
      <c r="D16">
        <v>0.1</v>
      </c>
      <c r="E16" s="23"/>
    </row>
    <row r="17" spans="1:12" x14ac:dyDescent="0.3">
      <c r="B17" s="13" t="s">
        <v>121</v>
      </c>
      <c r="C17">
        <v>1400</v>
      </c>
      <c r="D17">
        <v>0.125</v>
      </c>
      <c r="E17" s="23"/>
    </row>
    <row r="18" spans="1:12" x14ac:dyDescent="0.3">
      <c r="B18" s="13" t="s">
        <v>120</v>
      </c>
      <c r="C18">
        <v>2510</v>
      </c>
      <c r="D18">
        <v>0.125</v>
      </c>
      <c r="E18" s="23"/>
    </row>
    <row r="19" spans="1:12" x14ac:dyDescent="0.3">
      <c r="B19" s="13" t="s">
        <v>119</v>
      </c>
      <c r="C19">
        <v>4100</v>
      </c>
      <c r="D19">
        <v>0.15</v>
      </c>
      <c r="E19" s="23"/>
    </row>
    <row r="20" spans="1:12" x14ac:dyDescent="0.3">
      <c r="B20" s="13" t="s">
        <v>118</v>
      </c>
      <c r="C20">
        <v>6300</v>
      </c>
      <c r="D20">
        <v>0.17499999999999999</v>
      </c>
      <c r="E20" s="23"/>
    </row>
    <row r="21" spans="1:12" x14ac:dyDescent="0.3">
      <c r="B21" s="13" t="s">
        <v>117</v>
      </c>
      <c r="C21">
        <v>8700</v>
      </c>
      <c r="D21">
        <v>1.4999999999999999E-2</v>
      </c>
      <c r="E21" s="23"/>
    </row>
    <row r="22" spans="1:12" x14ac:dyDescent="0.3">
      <c r="B22" s="13" t="s">
        <v>116</v>
      </c>
      <c r="C22">
        <v>15000</v>
      </c>
      <c r="D22">
        <v>0.06</v>
      </c>
      <c r="E22" s="23"/>
    </row>
    <row r="23" spans="1:12" x14ac:dyDescent="0.3">
      <c r="E23" s="23"/>
    </row>
    <row r="24" spans="1:12" x14ac:dyDescent="0.3">
      <c r="B24" t="s">
        <v>734</v>
      </c>
      <c r="E24" s="23"/>
    </row>
    <row r="25" spans="1:12" x14ac:dyDescent="0.3">
      <c r="E25" s="23"/>
    </row>
    <row r="26" spans="1:12" x14ac:dyDescent="0.3">
      <c r="A26" t="s">
        <v>6</v>
      </c>
      <c r="B26" t="s">
        <v>733</v>
      </c>
    </row>
    <row r="28" spans="1:12" x14ac:dyDescent="0.3">
      <c r="I28" s="13"/>
      <c r="J28" s="13" t="s">
        <v>174</v>
      </c>
    </row>
    <row r="29" spans="1:12" x14ac:dyDescent="0.3">
      <c r="I29" s="13"/>
      <c r="J29" s="13" t="s">
        <v>173</v>
      </c>
    </row>
    <row r="30" spans="1:12" x14ac:dyDescent="0.3">
      <c r="B30" s="15" t="s">
        <v>136</v>
      </c>
      <c r="C30" s="13" t="s">
        <v>135</v>
      </c>
      <c r="D30" s="13"/>
      <c r="F30" t="s">
        <v>172</v>
      </c>
      <c r="H30" t="s">
        <v>171</v>
      </c>
      <c r="I30" s="13" t="s">
        <v>170</v>
      </c>
      <c r="J30" s="13" t="s">
        <v>169</v>
      </c>
    </row>
    <row r="31" spans="1:12" x14ac:dyDescent="0.3">
      <c r="B31" s="15" t="s">
        <v>132</v>
      </c>
      <c r="C31" s="13" t="s">
        <v>131</v>
      </c>
      <c r="D31" s="13" t="s">
        <v>130</v>
      </c>
      <c r="F31" t="s">
        <v>168</v>
      </c>
      <c r="I31" s="13" t="s">
        <v>130</v>
      </c>
      <c r="J31" s="13" t="s">
        <v>167</v>
      </c>
      <c r="L31" s="24" t="s">
        <v>75</v>
      </c>
    </row>
    <row r="32" spans="1:12" x14ac:dyDescent="0.3">
      <c r="B32" s="13">
        <v>0</v>
      </c>
      <c r="C32">
        <v>0</v>
      </c>
      <c r="D32">
        <v>0.05</v>
      </c>
      <c r="F32" s="28">
        <f t="shared" ref="F32:F42" si="0">D32*C32</f>
        <v>0</v>
      </c>
      <c r="H32">
        <v>0</v>
      </c>
      <c r="I32">
        <v>1</v>
      </c>
      <c r="J32" s="23">
        <f>SUM($F$32:F32)+H32*I33</f>
        <v>0</v>
      </c>
      <c r="L32" t="s">
        <v>166</v>
      </c>
    </row>
    <row r="33" spans="2:12" x14ac:dyDescent="0.3">
      <c r="B33" s="13" t="s">
        <v>126</v>
      </c>
      <c r="C33">
        <v>55</v>
      </c>
      <c r="D33">
        <v>2.5000000000000001E-2</v>
      </c>
      <c r="F33" s="28">
        <f t="shared" si="0"/>
        <v>1.375</v>
      </c>
      <c r="H33">
        <v>100</v>
      </c>
      <c r="I33">
        <f t="shared" ref="I33:I42" si="1">I32-D32</f>
        <v>0.95</v>
      </c>
      <c r="J33" s="23">
        <f>SUM($F$32:F33)+H33*I34</f>
        <v>93.875</v>
      </c>
      <c r="L33" t="s">
        <v>165</v>
      </c>
    </row>
    <row r="34" spans="2:12" x14ac:dyDescent="0.3">
      <c r="B34" s="13" t="s">
        <v>124</v>
      </c>
      <c r="C34">
        <v>130</v>
      </c>
      <c r="D34">
        <v>0.05</v>
      </c>
      <c r="F34" s="28">
        <f t="shared" si="0"/>
        <v>6.5</v>
      </c>
      <c r="H34">
        <v>250</v>
      </c>
      <c r="I34">
        <f t="shared" si="1"/>
        <v>0.92499999999999993</v>
      </c>
      <c r="J34" s="23">
        <f>SUM($F$32:F34)+H34*I35</f>
        <v>226.62499999999997</v>
      </c>
    </row>
    <row r="35" spans="2:12" x14ac:dyDescent="0.3">
      <c r="B35" s="13" t="s">
        <v>123</v>
      </c>
      <c r="C35">
        <v>380</v>
      </c>
      <c r="D35">
        <v>0.125</v>
      </c>
      <c r="F35" s="28">
        <f t="shared" si="0"/>
        <v>47.5</v>
      </c>
      <c r="H35">
        <v>500</v>
      </c>
      <c r="I35">
        <f t="shared" si="1"/>
        <v>0.87499999999999989</v>
      </c>
      <c r="J35" s="23">
        <f>SUM($F$32:F35)+H35*I36</f>
        <v>430.37499999999994</v>
      </c>
    </row>
    <row r="36" spans="2:12" x14ac:dyDescent="0.3">
      <c r="B36" s="13" t="s">
        <v>122</v>
      </c>
      <c r="C36">
        <v>765</v>
      </c>
      <c r="D36">
        <v>0.1</v>
      </c>
      <c r="F36" s="28">
        <f t="shared" si="0"/>
        <v>76.5</v>
      </c>
      <c r="H36">
        <v>1000</v>
      </c>
      <c r="I36">
        <f t="shared" si="1"/>
        <v>0.74999999999999989</v>
      </c>
      <c r="J36" s="23">
        <f>SUM($F$32:F36)+H36*I37</f>
        <v>781.87499999999989</v>
      </c>
    </row>
    <row r="37" spans="2:12" x14ac:dyDescent="0.3">
      <c r="B37" s="13" t="s">
        <v>121</v>
      </c>
      <c r="C37">
        <v>1400</v>
      </c>
      <c r="D37">
        <v>0.125</v>
      </c>
      <c r="F37" s="28">
        <f t="shared" si="0"/>
        <v>175</v>
      </c>
      <c r="H37">
        <v>2000</v>
      </c>
      <c r="I37">
        <f t="shared" si="1"/>
        <v>0.64999999999999991</v>
      </c>
      <c r="J37" s="23">
        <f>SUM($F$32:F37)+H37*I38</f>
        <v>1356.8749999999998</v>
      </c>
    </row>
    <row r="38" spans="2:12" x14ac:dyDescent="0.3">
      <c r="B38" s="13" t="s">
        <v>120</v>
      </c>
      <c r="C38">
        <v>2510</v>
      </c>
      <c r="D38">
        <v>0.125</v>
      </c>
      <c r="F38" s="28">
        <f t="shared" si="0"/>
        <v>313.75</v>
      </c>
      <c r="H38">
        <v>3000</v>
      </c>
      <c r="I38">
        <f t="shared" si="1"/>
        <v>0.52499999999999991</v>
      </c>
      <c r="J38" s="23">
        <f>SUM($F$32:F38)+H38*I39</f>
        <v>1820.6249999999998</v>
      </c>
    </row>
    <row r="39" spans="2:12" x14ac:dyDescent="0.3">
      <c r="B39" s="13" t="s">
        <v>119</v>
      </c>
      <c r="C39">
        <v>4100</v>
      </c>
      <c r="D39">
        <v>0.15</v>
      </c>
      <c r="F39" s="28">
        <f t="shared" si="0"/>
        <v>615</v>
      </c>
      <c r="H39">
        <v>5000</v>
      </c>
      <c r="I39">
        <f t="shared" si="1"/>
        <v>0.39999999999999991</v>
      </c>
      <c r="J39" s="23">
        <f>SUM($F$32:F39)+H39*I40</f>
        <v>2485.6249999999995</v>
      </c>
    </row>
    <row r="40" spans="2:12" x14ac:dyDescent="0.3">
      <c r="B40" s="13" t="s">
        <v>118</v>
      </c>
      <c r="C40">
        <v>6300</v>
      </c>
      <c r="D40">
        <v>0.17499999999999999</v>
      </c>
      <c r="F40" s="28">
        <f t="shared" si="0"/>
        <v>1102.5</v>
      </c>
      <c r="H40">
        <v>7500</v>
      </c>
      <c r="I40">
        <f t="shared" si="1"/>
        <v>0.24999999999999992</v>
      </c>
      <c r="J40" s="23">
        <f>SUM($F$32:F40)+H40*I41</f>
        <v>2900.6249999999995</v>
      </c>
    </row>
    <row r="41" spans="2:12" x14ac:dyDescent="0.3">
      <c r="B41" s="13" t="s">
        <v>117</v>
      </c>
      <c r="C41">
        <v>8700</v>
      </c>
      <c r="D41">
        <v>1.4999999999999999E-2</v>
      </c>
      <c r="F41" s="28">
        <f t="shared" si="0"/>
        <v>130.5</v>
      </c>
      <c r="H41">
        <v>10000</v>
      </c>
      <c r="I41">
        <f t="shared" si="1"/>
        <v>7.4999999999999928E-2</v>
      </c>
      <c r="J41" s="23">
        <f>SUM($F$32:F41)+H41*I42</f>
        <v>3068.6249999999991</v>
      </c>
    </row>
    <row r="42" spans="2:12" x14ac:dyDescent="0.3">
      <c r="B42" s="13" t="s">
        <v>116</v>
      </c>
      <c r="C42">
        <v>15000</v>
      </c>
      <c r="D42">
        <v>0.06</v>
      </c>
      <c r="F42" s="28">
        <f t="shared" si="0"/>
        <v>900</v>
      </c>
      <c r="I42">
        <f t="shared" si="1"/>
        <v>5.9999999999999928E-2</v>
      </c>
      <c r="J42" s="23">
        <f>SUM($F$32:F42)+H42*I43</f>
        <v>3368.625</v>
      </c>
    </row>
    <row r="44" spans="2:12" x14ac:dyDescent="0.3">
      <c r="D44" s="13" t="s">
        <v>164</v>
      </c>
      <c r="E44" s="31">
        <f>SUM(F32:F42)</f>
        <v>3368.625</v>
      </c>
      <c r="L44" t="s">
        <v>163</v>
      </c>
    </row>
    <row r="46" spans="2:12" x14ac:dyDescent="0.3">
      <c r="D46" s="13" t="s">
        <v>162</v>
      </c>
      <c r="E46">
        <v>825</v>
      </c>
      <c r="L46" t="s">
        <v>161</v>
      </c>
    </row>
    <row r="47" spans="2:12" x14ac:dyDescent="0.3">
      <c r="D47" s="13" t="s">
        <v>160</v>
      </c>
      <c r="E47" s="23">
        <f>J35+(E46-H35)/(H36-H35)*(J36-J35)</f>
        <v>658.84999999999991</v>
      </c>
      <c r="L47" t="s">
        <v>159</v>
      </c>
    </row>
    <row r="49" spans="1:12" x14ac:dyDescent="0.3">
      <c r="D49" s="13" t="s">
        <v>158</v>
      </c>
      <c r="E49" s="23">
        <f>E44-E47</f>
        <v>2709.7750000000001</v>
      </c>
      <c r="L49" t="s">
        <v>157</v>
      </c>
    </row>
    <row r="50" spans="1:12" ht="15" thickBot="1" x14ac:dyDescent="0.35">
      <c r="D50" s="13"/>
      <c r="E50" s="23"/>
      <c r="G50" s="30"/>
    </row>
    <row r="51" spans="1:12" ht="15" thickBot="1" x14ac:dyDescent="0.35">
      <c r="D51" s="13" t="s">
        <v>156</v>
      </c>
      <c r="E51" s="33">
        <f>E49/E44</f>
        <v>0.80441574826524176</v>
      </c>
      <c r="G51" s="30"/>
      <c r="L51" t="s">
        <v>155</v>
      </c>
    </row>
    <row r="53" spans="1:12" x14ac:dyDescent="0.3">
      <c r="A53" t="s">
        <v>4</v>
      </c>
      <c r="B53" t="s">
        <v>115</v>
      </c>
    </row>
    <row r="55" spans="1:12" x14ac:dyDescent="0.3">
      <c r="D55" s="13" t="s">
        <v>154</v>
      </c>
      <c r="E55" s="31">
        <f>E44</f>
        <v>3368.625</v>
      </c>
      <c r="L55" t="s">
        <v>153</v>
      </c>
    </row>
    <row r="56" spans="1:12" x14ac:dyDescent="0.3">
      <c r="D56" s="13"/>
    </row>
    <row r="57" spans="1:12" x14ac:dyDescent="0.3">
      <c r="D57" s="13" t="s">
        <v>152</v>
      </c>
      <c r="E57" s="31">
        <f>G10</f>
        <v>3600</v>
      </c>
      <c r="L57" t="s">
        <v>151</v>
      </c>
    </row>
    <row r="58" spans="1:12" x14ac:dyDescent="0.3">
      <c r="D58" s="13" t="s">
        <v>150</v>
      </c>
      <c r="E58" s="32">
        <f>G11/G10</f>
        <v>0.69444444444444442</v>
      </c>
      <c r="L58" t="s">
        <v>149</v>
      </c>
    </row>
    <row r="59" spans="1:12" x14ac:dyDescent="0.3">
      <c r="D59" s="13" t="s">
        <v>148</v>
      </c>
      <c r="E59" s="30">
        <f>J11/J12</f>
        <v>1.0415879017013232</v>
      </c>
      <c r="L59" t="s">
        <v>147</v>
      </c>
    </row>
    <row r="60" spans="1:12" x14ac:dyDescent="0.3">
      <c r="D60" s="13" t="s">
        <v>146</v>
      </c>
      <c r="E60" s="31">
        <f>E57*E59</f>
        <v>3749.7164461247635</v>
      </c>
      <c r="L60" t="s">
        <v>145</v>
      </c>
    </row>
    <row r="61" spans="1:12" x14ac:dyDescent="0.3">
      <c r="D61" s="13"/>
    </row>
    <row r="62" spans="1:12" x14ac:dyDescent="0.3">
      <c r="D62" s="13" t="s">
        <v>144</v>
      </c>
      <c r="E62" s="2">
        <v>0.65</v>
      </c>
      <c r="L62" t="s">
        <v>143</v>
      </c>
    </row>
    <row r="63" spans="1:12" ht="15" thickBot="1" x14ac:dyDescent="0.35">
      <c r="D63" s="13"/>
    </row>
    <row r="64" spans="1:12" ht="15" thickBot="1" x14ac:dyDescent="0.35">
      <c r="D64" s="13" t="s">
        <v>142</v>
      </c>
      <c r="E64" s="34">
        <f>E55*E62+E60*(1-E62)</f>
        <v>3502.0070061436672</v>
      </c>
      <c r="L64" t="s">
        <v>141</v>
      </c>
    </row>
    <row r="65" spans="2:8" x14ac:dyDescent="0.3">
      <c r="B65" s="13"/>
      <c r="H65" s="30"/>
    </row>
    <row r="66" spans="2:8" x14ac:dyDescent="0.3">
      <c r="H66" s="30"/>
    </row>
    <row r="67" spans="2:8" x14ac:dyDescent="0.3">
      <c r="H67" s="30"/>
    </row>
    <row r="68" spans="2:8" x14ac:dyDescent="0.3">
      <c r="H68" s="3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53FC-EB4E-4E34-B908-243C7FE3D54E}">
  <sheetPr>
    <tabColor theme="5" tint="0.39997558519241921"/>
  </sheetPr>
  <dimension ref="A1:Q42"/>
  <sheetViews>
    <sheetView zoomScaleNormal="100" workbookViewId="0"/>
  </sheetViews>
  <sheetFormatPr defaultRowHeight="14.4" x14ac:dyDescent="0.3"/>
  <cols>
    <col min="1" max="1" width="12.6640625" customWidth="1"/>
    <col min="2" max="2" width="22.5546875" customWidth="1"/>
    <col min="3" max="8" width="12.6640625" customWidth="1"/>
    <col min="9" max="9" width="22.6640625" bestFit="1" customWidth="1"/>
    <col min="10" max="10" width="12.6640625" customWidth="1"/>
    <col min="11" max="11" width="22.5546875" customWidth="1"/>
    <col min="12" max="13" width="12.6640625" customWidth="1"/>
    <col min="14" max="14" width="22.6640625" bestFit="1" customWidth="1"/>
    <col min="15" max="28" width="12.6640625" customWidth="1"/>
  </cols>
  <sheetData>
    <row r="1" spans="1:17" x14ac:dyDescent="0.3">
      <c r="A1" s="89" t="s">
        <v>721</v>
      </c>
    </row>
    <row r="3" spans="1:17" x14ac:dyDescent="0.3">
      <c r="A3" s="11" t="s">
        <v>52</v>
      </c>
    </row>
    <row r="4" spans="1:17" x14ac:dyDescent="0.3">
      <c r="A4" t="s">
        <v>140</v>
      </c>
    </row>
    <row r="5" spans="1:17" x14ac:dyDescent="0.3">
      <c r="A5" s="11"/>
    </row>
    <row r="7" spans="1:17" x14ac:dyDescent="0.3">
      <c r="B7" s="10" t="s">
        <v>50</v>
      </c>
      <c r="C7" s="9"/>
      <c r="D7" s="9"/>
      <c r="E7" s="9"/>
      <c r="F7" s="9"/>
      <c r="G7" s="8"/>
      <c r="I7" s="10" t="s">
        <v>49</v>
      </c>
      <c r="J7" s="9"/>
      <c r="K7" s="9"/>
      <c r="L7" s="8"/>
      <c r="N7" s="10" t="s">
        <v>48</v>
      </c>
      <c r="O7" s="9"/>
      <c r="P7" s="9"/>
      <c r="Q7" s="8"/>
    </row>
    <row r="8" spans="1:17" x14ac:dyDescent="0.3">
      <c r="B8" s="7" t="s">
        <v>245</v>
      </c>
      <c r="C8" s="6"/>
      <c r="D8" s="6"/>
      <c r="E8" s="6"/>
      <c r="F8" s="6"/>
      <c r="G8" s="5"/>
      <c r="I8" s="7" t="s">
        <v>244</v>
      </c>
      <c r="J8" s="6"/>
      <c r="K8" s="6"/>
      <c r="L8" s="5"/>
      <c r="N8" s="7" t="s">
        <v>243</v>
      </c>
      <c r="O8" s="6"/>
      <c r="P8" s="6"/>
      <c r="Q8" s="5"/>
    </row>
    <row r="10" spans="1:17" x14ac:dyDescent="0.3">
      <c r="C10" s="13"/>
      <c r="E10" s="13" t="s">
        <v>241</v>
      </c>
      <c r="F10" s="13" t="s">
        <v>240</v>
      </c>
      <c r="G10" s="13" t="s">
        <v>242</v>
      </c>
      <c r="J10" s="13"/>
      <c r="K10" s="13" t="s">
        <v>241</v>
      </c>
      <c r="L10" s="13" t="s">
        <v>240</v>
      </c>
      <c r="O10" s="13" t="s">
        <v>38</v>
      </c>
      <c r="P10" s="13" t="s">
        <v>239</v>
      </c>
      <c r="Q10" s="13" t="s">
        <v>238</v>
      </c>
    </row>
    <row r="11" spans="1:17" x14ac:dyDescent="0.3">
      <c r="C11" s="13" t="s">
        <v>65</v>
      </c>
      <c r="D11" t="s">
        <v>237</v>
      </c>
      <c r="E11" s="13" t="s">
        <v>235</v>
      </c>
      <c r="F11" s="13" t="s">
        <v>234</v>
      </c>
      <c r="G11" s="13" t="s">
        <v>236</v>
      </c>
      <c r="J11" s="13" t="s">
        <v>65</v>
      </c>
      <c r="K11" s="13" t="s">
        <v>235</v>
      </c>
      <c r="L11" s="13" t="s">
        <v>234</v>
      </c>
      <c r="O11" s="13" t="s">
        <v>233</v>
      </c>
      <c r="P11" s="13" t="s">
        <v>233</v>
      </c>
      <c r="Q11" s="13" t="s">
        <v>233</v>
      </c>
    </row>
    <row r="12" spans="1:17" x14ac:dyDescent="0.3">
      <c r="B12" s="24" t="s">
        <v>232</v>
      </c>
      <c r="I12" t="s">
        <v>231</v>
      </c>
      <c r="J12" s="3">
        <v>800</v>
      </c>
      <c r="K12" s="40">
        <v>2600</v>
      </c>
      <c r="L12" s="39">
        <f t="shared" ref="L12:L19" si="0">J12*K12/12000</f>
        <v>173.33333333333334</v>
      </c>
      <c r="M12" s="28"/>
      <c r="N12" t="s">
        <v>231</v>
      </c>
      <c r="O12" s="36">
        <v>-0.01</v>
      </c>
      <c r="P12" s="36">
        <v>2.5000000000000001E-2</v>
      </c>
      <c r="Q12" s="36">
        <v>0.01</v>
      </c>
    </row>
    <row r="13" spans="1:17" x14ac:dyDescent="0.3">
      <c r="B13" t="s">
        <v>230</v>
      </c>
      <c r="C13" s="3">
        <v>500</v>
      </c>
      <c r="D13" t="s">
        <v>219</v>
      </c>
      <c r="E13" s="40">
        <v>2500</v>
      </c>
      <c r="F13" s="39">
        <f t="shared" ref="F13:F21" si="1">C13*E13/12000</f>
        <v>104.16666666666667</v>
      </c>
      <c r="G13" s="40">
        <v>250</v>
      </c>
      <c r="I13" t="s">
        <v>229</v>
      </c>
      <c r="J13" s="3">
        <v>600</v>
      </c>
      <c r="K13" s="40">
        <v>720</v>
      </c>
      <c r="L13" s="39">
        <f t="shared" si="0"/>
        <v>36</v>
      </c>
      <c r="M13" s="28"/>
      <c r="N13" t="s">
        <v>229</v>
      </c>
      <c r="O13" s="36">
        <v>-1.4999999999999999E-2</v>
      </c>
      <c r="P13" s="36">
        <v>0.03</v>
      </c>
      <c r="Q13" s="36">
        <v>0.02</v>
      </c>
    </row>
    <row r="14" spans="1:17" x14ac:dyDescent="0.3">
      <c r="B14" t="s">
        <v>228</v>
      </c>
      <c r="C14" s="3">
        <v>125</v>
      </c>
      <c r="D14" t="s">
        <v>219</v>
      </c>
      <c r="E14" s="40">
        <v>4000</v>
      </c>
      <c r="F14" s="39">
        <f t="shared" si="1"/>
        <v>41.666666666666664</v>
      </c>
      <c r="G14" s="40">
        <v>250</v>
      </c>
      <c r="I14" t="s">
        <v>227</v>
      </c>
      <c r="J14" s="3">
        <v>1500</v>
      </c>
      <c r="K14" s="40">
        <v>190</v>
      </c>
      <c r="L14" s="39">
        <f t="shared" si="0"/>
        <v>23.75</v>
      </c>
      <c r="M14" s="28"/>
      <c r="N14" t="s">
        <v>227</v>
      </c>
      <c r="O14" s="36">
        <v>0.02</v>
      </c>
      <c r="P14" s="36">
        <v>0.02</v>
      </c>
      <c r="Q14" s="36">
        <v>5.0000000000000001E-3</v>
      </c>
    </row>
    <row r="15" spans="1:17" x14ac:dyDescent="0.3">
      <c r="B15" t="s">
        <v>226</v>
      </c>
      <c r="C15" s="3">
        <v>350</v>
      </c>
      <c r="D15" t="s">
        <v>219</v>
      </c>
      <c r="E15" s="40">
        <v>2000</v>
      </c>
      <c r="F15" s="39">
        <f t="shared" si="1"/>
        <v>58.333333333333336</v>
      </c>
      <c r="G15" s="40">
        <v>200</v>
      </c>
      <c r="I15" t="s">
        <v>225</v>
      </c>
      <c r="J15" s="3">
        <v>225</v>
      </c>
      <c r="K15" s="40">
        <v>600</v>
      </c>
      <c r="L15" s="39">
        <f t="shared" si="0"/>
        <v>11.25</v>
      </c>
      <c r="M15" s="28"/>
      <c r="N15" t="s">
        <v>225</v>
      </c>
      <c r="O15" s="36">
        <v>0.01</v>
      </c>
      <c r="P15" s="36">
        <v>1.7500000000000002E-2</v>
      </c>
      <c r="Q15" s="36">
        <v>0</v>
      </c>
    </row>
    <row r="16" spans="1:17" x14ac:dyDescent="0.3">
      <c r="B16" t="s">
        <v>224</v>
      </c>
      <c r="C16" s="3">
        <v>25</v>
      </c>
      <c r="D16" t="s">
        <v>219</v>
      </c>
      <c r="E16" s="40">
        <v>1200</v>
      </c>
      <c r="F16" s="39">
        <f t="shared" si="1"/>
        <v>2.5</v>
      </c>
      <c r="G16" s="40">
        <v>150</v>
      </c>
      <c r="I16" t="s">
        <v>223</v>
      </c>
      <c r="J16" s="3">
        <v>550</v>
      </c>
      <c r="K16" s="40">
        <v>140</v>
      </c>
      <c r="L16" s="39">
        <f t="shared" si="0"/>
        <v>6.416666666666667</v>
      </c>
      <c r="M16" s="28"/>
      <c r="N16" t="s">
        <v>223</v>
      </c>
      <c r="O16" s="36">
        <v>0.02</v>
      </c>
      <c r="P16" s="36">
        <v>2.5000000000000001E-2</v>
      </c>
      <c r="Q16" s="36">
        <v>1.4999999999999999E-2</v>
      </c>
    </row>
    <row r="17" spans="2:17" x14ac:dyDescent="0.3">
      <c r="B17" t="s">
        <v>222</v>
      </c>
      <c r="C17" s="3">
        <v>5</v>
      </c>
      <c r="D17" t="s">
        <v>219</v>
      </c>
      <c r="E17" s="40">
        <v>1500</v>
      </c>
      <c r="F17" s="39">
        <f t="shared" si="1"/>
        <v>0.625</v>
      </c>
      <c r="G17" s="40">
        <v>100</v>
      </c>
      <c r="I17" t="s">
        <v>221</v>
      </c>
      <c r="J17" s="3">
        <v>2500</v>
      </c>
      <c r="K17" s="40">
        <v>615</v>
      </c>
      <c r="L17" s="39">
        <f t="shared" si="0"/>
        <v>128.125</v>
      </c>
      <c r="M17" s="28"/>
      <c r="N17" t="s">
        <v>221</v>
      </c>
      <c r="O17" s="36">
        <v>1.4999999999999999E-2</v>
      </c>
      <c r="P17" s="36">
        <v>0.01</v>
      </c>
      <c r="Q17" s="36">
        <v>1.4999999999999999E-2</v>
      </c>
    </row>
    <row r="18" spans="2:17" x14ac:dyDescent="0.3">
      <c r="B18" s="24" t="s">
        <v>220</v>
      </c>
      <c r="C18" s="3">
        <v>750</v>
      </c>
      <c r="D18" t="s">
        <v>219</v>
      </c>
      <c r="E18" s="40">
        <v>750</v>
      </c>
      <c r="F18" s="39">
        <f t="shared" si="1"/>
        <v>46.875</v>
      </c>
      <c r="G18" s="40"/>
      <c r="I18" t="s">
        <v>218</v>
      </c>
      <c r="J18" s="3">
        <v>6700</v>
      </c>
      <c r="K18" s="40">
        <v>140</v>
      </c>
      <c r="L18" s="39">
        <f t="shared" si="0"/>
        <v>78.166666666666671</v>
      </c>
      <c r="M18" s="28"/>
      <c r="N18" t="s">
        <v>218</v>
      </c>
      <c r="O18" s="36">
        <v>0.01</v>
      </c>
      <c r="P18" s="36">
        <v>0.02</v>
      </c>
      <c r="Q18" s="36">
        <v>0.01</v>
      </c>
    </row>
    <row r="19" spans="2:17" x14ac:dyDescent="0.3">
      <c r="B19" s="24" t="s">
        <v>217</v>
      </c>
      <c r="C19" s="3">
        <v>1750</v>
      </c>
      <c r="D19" t="s">
        <v>191</v>
      </c>
      <c r="E19" s="40">
        <v>200</v>
      </c>
      <c r="F19" s="39">
        <f t="shared" si="1"/>
        <v>29.166666666666668</v>
      </c>
      <c r="G19" s="40"/>
      <c r="I19" t="s">
        <v>216</v>
      </c>
      <c r="J19" s="3">
        <v>5000</v>
      </c>
      <c r="K19" s="40">
        <v>410</v>
      </c>
      <c r="L19" s="39">
        <f t="shared" si="0"/>
        <v>170.83333333333334</v>
      </c>
      <c r="M19" s="28"/>
      <c r="N19" t="s">
        <v>216</v>
      </c>
      <c r="O19" s="36">
        <v>0.02</v>
      </c>
      <c r="P19" s="36">
        <v>0.03</v>
      </c>
      <c r="Q19" s="36">
        <v>2.5000000000000001E-2</v>
      </c>
    </row>
    <row r="20" spans="2:17" x14ac:dyDescent="0.3">
      <c r="B20" s="24" t="s">
        <v>215</v>
      </c>
      <c r="C20" s="3">
        <v>200</v>
      </c>
      <c r="D20" t="s">
        <v>198</v>
      </c>
      <c r="E20" s="40">
        <v>500</v>
      </c>
      <c r="F20" s="39">
        <f t="shared" si="1"/>
        <v>8.3333333333333339</v>
      </c>
      <c r="G20" s="40">
        <v>125</v>
      </c>
      <c r="K20" s="40"/>
      <c r="L20" s="39"/>
    </row>
    <row r="21" spans="2:17" x14ac:dyDescent="0.3">
      <c r="B21" s="24" t="s">
        <v>214</v>
      </c>
      <c r="C21" s="3">
        <v>600</v>
      </c>
      <c r="D21" t="s">
        <v>184</v>
      </c>
      <c r="E21" s="40">
        <v>150</v>
      </c>
      <c r="F21" s="39">
        <f t="shared" si="1"/>
        <v>7.5</v>
      </c>
      <c r="G21" s="40"/>
      <c r="I21" t="s">
        <v>53</v>
      </c>
      <c r="J21" s="3">
        <f>SUM(J12:J19)</f>
        <v>17875</v>
      </c>
      <c r="K21" s="40">
        <f>SUM(K12:K19)</f>
        <v>5415</v>
      </c>
      <c r="L21" s="39">
        <f>SUM(L12:L19)</f>
        <v>627.875</v>
      </c>
    </row>
    <row r="22" spans="2:17" x14ac:dyDescent="0.3">
      <c r="B22" s="24" t="s">
        <v>213</v>
      </c>
      <c r="C22" s="3"/>
      <c r="E22" s="40"/>
      <c r="F22" s="39"/>
      <c r="G22" s="40"/>
    </row>
    <row r="23" spans="2:17" x14ac:dyDescent="0.3">
      <c r="B23" t="s">
        <v>212</v>
      </c>
      <c r="C23" s="3">
        <v>300</v>
      </c>
      <c r="D23" t="s">
        <v>198</v>
      </c>
      <c r="E23" s="40">
        <v>650</v>
      </c>
      <c r="F23" s="39">
        <f t="shared" ref="F23:F28" si="2">C23*E23/12000</f>
        <v>16.25</v>
      </c>
      <c r="G23" s="40">
        <v>150</v>
      </c>
      <c r="I23" s="10" t="s">
        <v>93</v>
      </c>
      <c r="J23" s="9"/>
      <c r="K23" s="8"/>
      <c r="N23" s="10" t="s">
        <v>211</v>
      </c>
      <c r="O23" s="9"/>
      <c r="P23" s="9"/>
      <c r="Q23" s="8"/>
    </row>
    <row r="24" spans="2:17" x14ac:dyDescent="0.3">
      <c r="B24" t="s">
        <v>210</v>
      </c>
      <c r="C24" s="3">
        <v>500</v>
      </c>
      <c r="D24" t="s">
        <v>198</v>
      </c>
      <c r="E24" s="40">
        <v>500</v>
      </c>
      <c r="F24" s="39">
        <f t="shared" si="2"/>
        <v>20.833333333333332</v>
      </c>
      <c r="G24" s="40"/>
      <c r="I24" s="7" t="s">
        <v>209</v>
      </c>
      <c r="J24" s="6"/>
      <c r="K24" s="5"/>
      <c r="N24" s="7" t="s">
        <v>208</v>
      </c>
      <c r="O24" s="6"/>
      <c r="P24" s="6"/>
      <c r="Q24" s="5"/>
    </row>
    <row r="25" spans="2:17" x14ac:dyDescent="0.3">
      <c r="B25" t="s">
        <v>207</v>
      </c>
      <c r="C25" s="3">
        <v>2000</v>
      </c>
      <c r="D25" t="s">
        <v>198</v>
      </c>
      <c r="E25" s="40">
        <v>80</v>
      </c>
      <c r="F25" s="39">
        <f t="shared" si="2"/>
        <v>13.333333333333334</v>
      </c>
      <c r="G25" s="40"/>
    </row>
    <row r="26" spans="2:17" x14ac:dyDescent="0.3">
      <c r="B26" t="s">
        <v>206</v>
      </c>
      <c r="C26" s="3">
        <v>350</v>
      </c>
      <c r="D26" t="s">
        <v>198</v>
      </c>
      <c r="E26" s="40">
        <v>1750</v>
      </c>
      <c r="F26" s="39">
        <f t="shared" si="2"/>
        <v>51.041666666666664</v>
      </c>
      <c r="G26" s="40"/>
      <c r="K26" s="13" t="s">
        <v>205</v>
      </c>
      <c r="P26" s="13"/>
      <c r="Q26" s="13" t="s">
        <v>205</v>
      </c>
    </row>
    <row r="27" spans="2:17" x14ac:dyDescent="0.3">
      <c r="B27" t="s">
        <v>204</v>
      </c>
      <c r="C27" s="3">
        <v>500</v>
      </c>
      <c r="D27" t="s">
        <v>198</v>
      </c>
      <c r="E27" s="40">
        <v>250</v>
      </c>
      <c r="F27" s="39">
        <f t="shared" si="2"/>
        <v>10.416666666666666</v>
      </c>
      <c r="G27" s="40"/>
      <c r="J27" t="s">
        <v>201</v>
      </c>
      <c r="K27" s="13" t="s">
        <v>200</v>
      </c>
      <c r="N27" t="s">
        <v>203</v>
      </c>
      <c r="O27" s="15" t="s">
        <v>202</v>
      </c>
      <c r="P27" s="13" t="s">
        <v>201</v>
      </c>
      <c r="Q27" s="13" t="s">
        <v>200</v>
      </c>
    </row>
    <row r="28" spans="2:17" x14ac:dyDescent="0.3">
      <c r="B28" t="s">
        <v>199</v>
      </c>
      <c r="C28" s="3">
        <v>200</v>
      </c>
      <c r="D28" t="s">
        <v>198</v>
      </c>
      <c r="E28" s="40">
        <v>400</v>
      </c>
      <c r="F28" s="39">
        <f t="shared" si="2"/>
        <v>6.666666666666667</v>
      </c>
      <c r="G28" s="40"/>
      <c r="I28" t="s">
        <v>197</v>
      </c>
      <c r="J28" s="35">
        <v>0.98299999999999998</v>
      </c>
      <c r="K28" s="2">
        <v>0.31</v>
      </c>
      <c r="N28" t="s">
        <v>189</v>
      </c>
      <c r="O28" s="15" t="s">
        <v>186</v>
      </c>
      <c r="P28">
        <v>0.95</v>
      </c>
      <c r="Q28" s="2">
        <v>0.24</v>
      </c>
    </row>
    <row r="29" spans="2:17" x14ac:dyDescent="0.3">
      <c r="B29" s="24" t="s">
        <v>196</v>
      </c>
      <c r="C29" s="3"/>
      <c r="E29" s="40"/>
      <c r="F29" s="39"/>
      <c r="G29" s="40"/>
      <c r="I29" t="s">
        <v>195</v>
      </c>
      <c r="J29" s="35">
        <v>1.024</v>
      </c>
      <c r="K29" s="2">
        <v>7.0000000000000007E-2</v>
      </c>
      <c r="N29" t="s">
        <v>189</v>
      </c>
      <c r="O29" s="15" t="s">
        <v>183</v>
      </c>
      <c r="P29">
        <v>1.02</v>
      </c>
      <c r="Q29" s="2">
        <v>0.1</v>
      </c>
    </row>
    <row r="30" spans="2:17" x14ac:dyDescent="0.3">
      <c r="B30" t="s">
        <v>194</v>
      </c>
      <c r="C30" s="3">
        <v>3500</v>
      </c>
      <c r="D30" t="s">
        <v>191</v>
      </c>
      <c r="E30" s="40">
        <v>100</v>
      </c>
      <c r="F30" s="39">
        <f>C30*E30/12000</f>
        <v>29.166666666666668</v>
      </c>
      <c r="G30" s="40">
        <v>5</v>
      </c>
      <c r="I30" t="s">
        <v>193</v>
      </c>
      <c r="J30" s="35">
        <v>1.0169999999999999</v>
      </c>
      <c r="K30" s="2">
        <v>0.18</v>
      </c>
      <c r="N30" t="s">
        <v>189</v>
      </c>
      <c r="O30" s="15" t="s">
        <v>180</v>
      </c>
      <c r="P30">
        <v>1.34</v>
      </c>
      <c r="Q30" s="2">
        <v>0.09</v>
      </c>
    </row>
    <row r="31" spans="2:17" x14ac:dyDescent="0.3">
      <c r="B31" t="s">
        <v>192</v>
      </c>
      <c r="C31" s="3">
        <v>1500</v>
      </c>
      <c r="D31" t="s">
        <v>191</v>
      </c>
      <c r="E31" s="40">
        <v>200</v>
      </c>
      <c r="F31" s="39">
        <f>C31*E31/12000</f>
        <v>25</v>
      </c>
      <c r="G31" s="40">
        <v>10</v>
      </c>
      <c r="I31" t="s">
        <v>190</v>
      </c>
      <c r="J31" s="35">
        <v>0.95799999999999996</v>
      </c>
      <c r="K31" s="2">
        <v>0</v>
      </c>
      <c r="N31" t="s">
        <v>189</v>
      </c>
      <c r="O31" s="15" t="s">
        <v>178</v>
      </c>
      <c r="P31">
        <v>1.95</v>
      </c>
      <c r="Q31" s="2">
        <v>0.03</v>
      </c>
    </row>
    <row r="32" spans="2:17" x14ac:dyDescent="0.3">
      <c r="B32" t="s">
        <v>188</v>
      </c>
      <c r="C32" s="3">
        <v>1200</v>
      </c>
      <c r="D32" t="s">
        <v>184</v>
      </c>
      <c r="E32" s="40">
        <v>75</v>
      </c>
      <c r="F32" s="39">
        <f>C32*E32/12000</f>
        <v>7.5</v>
      </c>
      <c r="I32" t="s">
        <v>187</v>
      </c>
      <c r="J32" s="35">
        <v>1.032</v>
      </c>
      <c r="K32" s="2">
        <v>0.44</v>
      </c>
      <c r="N32" t="s">
        <v>179</v>
      </c>
      <c r="O32" s="15" t="s">
        <v>186</v>
      </c>
      <c r="P32">
        <v>0.87</v>
      </c>
      <c r="Q32" s="2">
        <v>0.22</v>
      </c>
    </row>
    <row r="33" spans="1:17" x14ac:dyDescent="0.3">
      <c r="B33" t="s">
        <v>185</v>
      </c>
      <c r="C33" s="3">
        <v>2000</v>
      </c>
      <c r="D33" t="s">
        <v>184</v>
      </c>
      <c r="E33" s="40">
        <v>60</v>
      </c>
      <c r="F33" s="39">
        <f>C33*E33/12000</f>
        <v>10</v>
      </c>
      <c r="N33" t="s">
        <v>179</v>
      </c>
      <c r="O33" s="15" t="s">
        <v>183</v>
      </c>
      <c r="P33">
        <v>0.98</v>
      </c>
      <c r="Q33" s="2">
        <v>0.15</v>
      </c>
    </row>
    <row r="34" spans="1:17" x14ac:dyDescent="0.3">
      <c r="B34" s="24" t="s">
        <v>182</v>
      </c>
      <c r="C34" s="3">
        <v>4500</v>
      </c>
      <c r="D34" t="s">
        <v>181</v>
      </c>
      <c r="E34" s="40">
        <v>450</v>
      </c>
      <c r="F34" s="39">
        <f>C34*E34/12000</f>
        <v>168.75</v>
      </c>
      <c r="G34" s="2">
        <v>0.15</v>
      </c>
      <c r="N34" t="s">
        <v>179</v>
      </c>
      <c r="O34" s="15" t="s">
        <v>180</v>
      </c>
      <c r="P34">
        <v>1.22</v>
      </c>
      <c r="Q34" s="2">
        <v>0.11</v>
      </c>
    </row>
    <row r="35" spans="1:17" x14ac:dyDescent="0.3">
      <c r="B35" s="24"/>
      <c r="F35" s="39"/>
      <c r="N35" t="s">
        <v>179</v>
      </c>
      <c r="O35" s="15" t="s">
        <v>178</v>
      </c>
      <c r="P35">
        <v>1.76</v>
      </c>
      <c r="Q35" s="2">
        <v>0.06</v>
      </c>
    </row>
    <row r="36" spans="1:17" x14ac:dyDescent="0.3">
      <c r="B36" s="24" t="s">
        <v>53</v>
      </c>
      <c r="F36" s="39">
        <f>SUM(F13:F34)</f>
        <v>658.125</v>
      </c>
    </row>
    <row r="37" spans="1:17" x14ac:dyDescent="0.3">
      <c r="B37" s="24"/>
    </row>
    <row r="38" spans="1:17" x14ac:dyDescent="0.3">
      <c r="A38" t="s">
        <v>6</v>
      </c>
      <c r="B38" t="s">
        <v>177</v>
      </c>
    </row>
    <row r="40" spans="1:17" x14ac:dyDescent="0.3">
      <c r="B40" t="s">
        <v>736</v>
      </c>
    </row>
    <row r="42" spans="1:17" x14ac:dyDescent="0.3">
      <c r="A42" t="s">
        <v>4</v>
      </c>
      <c r="B42" t="s">
        <v>176</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CEEAA-C51F-46A8-8063-1E32D9BE0623}">
  <sheetPr>
    <tabColor theme="9" tint="0.59999389629810485"/>
  </sheetPr>
  <dimension ref="A1:Q107"/>
  <sheetViews>
    <sheetView zoomScaleNormal="100" workbookViewId="0"/>
  </sheetViews>
  <sheetFormatPr defaultRowHeight="14.4" x14ac:dyDescent="0.3"/>
  <cols>
    <col min="1" max="1" width="12.6640625" customWidth="1"/>
    <col min="2" max="2" width="22.5546875" customWidth="1"/>
    <col min="3" max="7" width="12.6640625" customWidth="1"/>
    <col min="8" max="8" width="15.44140625" customWidth="1"/>
    <col min="9" max="9" width="22.6640625" bestFit="1" customWidth="1"/>
    <col min="10" max="10" width="12.6640625" customWidth="1"/>
    <col min="11" max="11" width="22.5546875" customWidth="1"/>
    <col min="12" max="13" width="12.6640625" customWidth="1"/>
    <col min="14" max="14" width="22.6640625" bestFit="1" customWidth="1"/>
    <col min="15" max="20" width="12.6640625" customWidth="1"/>
  </cols>
  <sheetData>
    <row r="1" spans="1:17" x14ac:dyDescent="0.3">
      <c r="A1" s="89" t="s">
        <v>721</v>
      </c>
    </row>
    <row r="3" spans="1:17" x14ac:dyDescent="0.3">
      <c r="A3" s="11" t="s">
        <v>52</v>
      </c>
    </row>
    <row r="4" spans="1:17" x14ac:dyDescent="0.3">
      <c r="A4" t="s">
        <v>140</v>
      </c>
    </row>
    <row r="5" spans="1:17" x14ac:dyDescent="0.3">
      <c r="A5" s="11"/>
    </row>
    <row r="7" spans="1:17" x14ac:dyDescent="0.3">
      <c r="B7" s="10" t="s">
        <v>50</v>
      </c>
      <c r="C7" s="9"/>
      <c r="D7" s="9"/>
      <c r="E7" s="9"/>
      <c r="F7" s="9"/>
      <c r="G7" s="8"/>
      <c r="I7" s="10" t="s">
        <v>49</v>
      </c>
      <c r="J7" s="9"/>
      <c r="K7" s="9"/>
      <c r="L7" s="8"/>
      <c r="N7" s="10" t="s">
        <v>48</v>
      </c>
      <c r="O7" s="9"/>
      <c r="P7" s="9"/>
      <c r="Q7" s="8"/>
    </row>
    <row r="8" spans="1:17" x14ac:dyDescent="0.3">
      <c r="B8" s="7" t="s">
        <v>245</v>
      </c>
      <c r="C8" s="6"/>
      <c r="D8" s="6"/>
      <c r="E8" s="6"/>
      <c r="F8" s="6"/>
      <c r="G8" s="5"/>
      <c r="I8" s="7" t="s">
        <v>244</v>
      </c>
      <c r="J8" s="6"/>
      <c r="K8" s="6"/>
      <c r="L8" s="5"/>
      <c r="N8" s="7" t="s">
        <v>243</v>
      </c>
      <c r="O8" s="6"/>
      <c r="P8" s="6"/>
      <c r="Q8" s="5"/>
    </row>
    <row r="10" spans="1:17" x14ac:dyDescent="0.3">
      <c r="E10" s="13" t="s">
        <v>241</v>
      </c>
      <c r="F10" s="13" t="s">
        <v>240</v>
      </c>
      <c r="G10" s="13" t="s">
        <v>242</v>
      </c>
      <c r="J10" s="13"/>
      <c r="K10" s="13" t="s">
        <v>241</v>
      </c>
      <c r="L10" s="13" t="s">
        <v>240</v>
      </c>
      <c r="O10" s="13" t="s">
        <v>38</v>
      </c>
      <c r="P10" s="13" t="s">
        <v>239</v>
      </c>
      <c r="Q10" s="13" t="s">
        <v>238</v>
      </c>
    </row>
    <row r="11" spans="1:17" x14ac:dyDescent="0.3">
      <c r="C11" t="s">
        <v>65</v>
      </c>
      <c r="D11" s="15" t="s">
        <v>237</v>
      </c>
      <c r="E11" s="13" t="s">
        <v>235</v>
      </c>
      <c r="F11" s="13" t="s">
        <v>234</v>
      </c>
      <c r="G11" s="13" t="s">
        <v>236</v>
      </c>
      <c r="J11" s="13" t="s">
        <v>65</v>
      </c>
      <c r="K11" s="13" t="s">
        <v>235</v>
      </c>
      <c r="L11" s="13" t="s">
        <v>234</v>
      </c>
      <c r="O11" s="13" t="s">
        <v>233</v>
      </c>
      <c r="P11" s="13" t="s">
        <v>233</v>
      </c>
      <c r="Q11" s="13" t="s">
        <v>233</v>
      </c>
    </row>
    <row r="12" spans="1:17" x14ac:dyDescent="0.3">
      <c r="B12" s="24" t="s">
        <v>232</v>
      </c>
      <c r="D12" s="15"/>
      <c r="I12" t="s">
        <v>231</v>
      </c>
      <c r="J12" s="3">
        <v>800</v>
      </c>
      <c r="K12" s="40">
        <v>2600</v>
      </c>
      <c r="L12" s="39">
        <f t="shared" ref="L12:L19" si="0">J12*K12/12000</f>
        <v>173.33333333333334</v>
      </c>
      <c r="M12" s="28"/>
      <c r="N12" t="s">
        <v>231</v>
      </c>
      <c r="O12" s="36">
        <v>-0.01</v>
      </c>
      <c r="P12" s="36">
        <v>2.5000000000000001E-2</v>
      </c>
      <c r="Q12" s="36">
        <v>0.01</v>
      </c>
    </row>
    <row r="13" spans="1:17" x14ac:dyDescent="0.3">
      <c r="B13" t="s">
        <v>230</v>
      </c>
      <c r="C13" s="3">
        <v>500</v>
      </c>
      <c r="D13" s="15" t="s">
        <v>219</v>
      </c>
      <c r="E13" s="40">
        <v>2500</v>
      </c>
      <c r="F13" s="39">
        <f t="shared" ref="F13:F21" si="1">C13*E13/12000</f>
        <v>104.16666666666667</v>
      </c>
      <c r="G13" s="40">
        <v>250</v>
      </c>
      <c r="I13" t="s">
        <v>229</v>
      </c>
      <c r="J13" s="3">
        <v>600</v>
      </c>
      <c r="K13" s="40">
        <v>720</v>
      </c>
      <c r="L13" s="39">
        <f t="shared" si="0"/>
        <v>36</v>
      </c>
      <c r="M13" s="28"/>
      <c r="N13" t="s">
        <v>229</v>
      </c>
      <c r="O13" s="36">
        <v>-1.4999999999999999E-2</v>
      </c>
      <c r="P13" s="36">
        <v>0.03</v>
      </c>
      <c r="Q13" s="36">
        <v>0.02</v>
      </c>
    </row>
    <row r="14" spans="1:17" x14ac:dyDescent="0.3">
      <c r="B14" t="s">
        <v>228</v>
      </c>
      <c r="C14" s="3">
        <v>125</v>
      </c>
      <c r="D14" s="15" t="s">
        <v>219</v>
      </c>
      <c r="E14" s="40">
        <v>4000</v>
      </c>
      <c r="F14" s="39">
        <f t="shared" si="1"/>
        <v>41.666666666666664</v>
      </c>
      <c r="G14" s="40">
        <v>250</v>
      </c>
      <c r="I14" t="s">
        <v>227</v>
      </c>
      <c r="J14" s="3">
        <v>1500</v>
      </c>
      <c r="K14" s="40">
        <v>190</v>
      </c>
      <c r="L14" s="39">
        <f t="shared" si="0"/>
        <v>23.75</v>
      </c>
      <c r="M14" s="28"/>
      <c r="N14" t="s">
        <v>227</v>
      </c>
      <c r="O14" s="36">
        <v>0.02</v>
      </c>
      <c r="P14" s="36">
        <v>0.02</v>
      </c>
      <c r="Q14" s="36">
        <v>5.0000000000000001E-3</v>
      </c>
    </row>
    <row r="15" spans="1:17" x14ac:dyDescent="0.3">
      <c r="B15" t="s">
        <v>226</v>
      </c>
      <c r="C15" s="3">
        <v>350</v>
      </c>
      <c r="D15" s="15" t="s">
        <v>219</v>
      </c>
      <c r="E15" s="40">
        <v>2000</v>
      </c>
      <c r="F15" s="39">
        <f t="shared" si="1"/>
        <v>58.333333333333336</v>
      </c>
      <c r="G15" s="40">
        <v>200</v>
      </c>
      <c r="I15" t="s">
        <v>225</v>
      </c>
      <c r="J15" s="3">
        <v>225</v>
      </c>
      <c r="K15" s="40">
        <v>600</v>
      </c>
      <c r="L15" s="39">
        <f t="shared" si="0"/>
        <v>11.25</v>
      </c>
      <c r="M15" s="28"/>
      <c r="N15" t="s">
        <v>225</v>
      </c>
      <c r="O15" s="36">
        <v>0.01</v>
      </c>
      <c r="P15" s="36">
        <v>1.7500000000000002E-2</v>
      </c>
      <c r="Q15" s="36">
        <v>0</v>
      </c>
    </row>
    <row r="16" spans="1:17" x14ac:dyDescent="0.3">
      <c r="B16" t="s">
        <v>224</v>
      </c>
      <c r="C16" s="3">
        <v>25</v>
      </c>
      <c r="D16" s="15" t="s">
        <v>219</v>
      </c>
      <c r="E16" s="40">
        <v>1200</v>
      </c>
      <c r="F16" s="39">
        <f t="shared" si="1"/>
        <v>2.5</v>
      </c>
      <c r="G16" s="40">
        <v>150</v>
      </c>
      <c r="I16" t="s">
        <v>223</v>
      </c>
      <c r="J16" s="3">
        <v>550</v>
      </c>
      <c r="K16" s="40">
        <v>140</v>
      </c>
      <c r="L16" s="39">
        <f t="shared" si="0"/>
        <v>6.416666666666667</v>
      </c>
      <c r="M16" s="28"/>
      <c r="N16" t="s">
        <v>223</v>
      </c>
      <c r="O16" s="36">
        <v>0.02</v>
      </c>
      <c r="P16" s="36">
        <v>2.5000000000000001E-2</v>
      </c>
      <c r="Q16" s="36">
        <v>1.4999999999999999E-2</v>
      </c>
    </row>
    <row r="17" spans="2:17" x14ac:dyDescent="0.3">
      <c r="B17" t="s">
        <v>222</v>
      </c>
      <c r="C17" s="3">
        <v>5</v>
      </c>
      <c r="D17" s="15" t="s">
        <v>219</v>
      </c>
      <c r="E17" s="40">
        <v>1500</v>
      </c>
      <c r="F17" s="39">
        <f t="shared" si="1"/>
        <v>0.625</v>
      </c>
      <c r="G17" s="40">
        <v>100</v>
      </c>
      <c r="I17" t="s">
        <v>221</v>
      </c>
      <c r="J17" s="3">
        <v>2500</v>
      </c>
      <c r="K17" s="40">
        <v>615</v>
      </c>
      <c r="L17" s="39">
        <f t="shared" si="0"/>
        <v>128.125</v>
      </c>
      <c r="M17" s="28"/>
      <c r="N17" t="s">
        <v>221</v>
      </c>
      <c r="O17" s="36">
        <v>1.4999999999999999E-2</v>
      </c>
      <c r="P17" s="36">
        <v>0.01</v>
      </c>
      <c r="Q17" s="36">
        <v>1.4999999999999999E-2</v>
      </c>
    </row>
    <row r="18" spans="2:17" x14ac:dyDescent="0.3">
      <c r="B18" s="24" t="s">
        <v>220</v>
      </c>
      <c r="C18" s="3">
        <v>750</v>
      </c>
      <c r="D18" s="15" t="s">
        <v>219</v>
      </c>
      <c r="E18" s="40">
        <v>750</v>
      </c>
      <c r="F18" s="39">
        <f t="shared" si="1"/>
        <v>46.875</v>
      </c>
      <c r="G18" s="40"/>
      <c r="I18" t="s">
        <v>218</v>
      </c>
      <c r="J18" s="3">
        <v>6700</v>
      </c>
      <c r="K18" s="40">
        <v>140</v>
      </c>
      <c r="L18" s="39">
        <f t="shared" si="0"/>
        <v>78.166666666666671</v>
      </c>
      <c r="M18" s="28"/>
      <c r="N18" t="s">
        <v>218</v>
      </c>
      <c r="O18" s="36">
        <v>0.01</v>
      </c>
      <c r="P18" s="36">
        <v>0.02</v>
      </c>
      <c r="Q18" s="36">
        <v>0.01</v>
      </c>
    </row>
    <row r="19" spans="2:17" x14ac:dyDescent="0.3">
      <c r="B19" s="24" t="s">
        <v>217</v>
      </c>
      <c r="C19" s="3">
        <v>1750</v>
      </c>
      <c r="D19" s="15" t="s">
        <v>191</v>
      </c>
      <c r="E19" s="40">
        <v>200</v>
      </c>
      <c r="F19" s="39">
        <f t="shared" si="1"/>
        <v>29.166666666666668</v>
      </c>
      <c r="G19" s="40"/>
      <c r="I19" t="s">
        <v>216</v>
      </c>
      <c r="J19" s="3">
        <v>5000</v>
      </c>
      <c r="K19" s="40">
        <v>410</v>
      </c>
      <c r="L19" s="39">
        <f t="shared" si="0"/>
        <v>170.83333333333334</v>
      </c>
      <c r="M19" s="28"/>
      <c r="N19" t="s">
        <v>216</v>
      </c>
      <c r="O19" s="36">
        <v>0.02</v>
      </c>
      <c r="P19" s="36">
        <v>0.03</v>
      </c>
      <c r="Q19" s="36">
        <v>2.5000000000000001E-2</v>
      </c>
    </row>
    <row r="20" spans="2:17" x14ac:dyDescent="0.3">
      <c r="B20" s="24" t="s">
        <v>215</v>
      </c>
      <c r="C20" s="3">
        <v>200</v>
      </c>
      <c r="D20" s="15" t="s">
        <v>198</v>
      </c>
      <c r="E20" s="40">
        <v>500</v>
      </c>
      <c r="F20" s="39">
        <f t="shared" si="1"/>
        <v>8.3333333333333339</v>
      </c>
      <c r="G20" s="40">
        <v>125</v>
      </c>
      <c r="K20" s="40"/>
      <c r="L20" s="39"/>
    </row>
    <row r="21" spans="2:17" x14ac:dyDescent="0.3">
      <c r="B21" s="24" t="s">
        <v>214</v>
      </c>
      <c r="C21" s="3">
        <v>600</v>
      </c>
      <c r="D21" s="15" t="s">
        <v>184</v>
      </c>
      <c r="E21" s="40">
        <v>150</v>
      </c>
      <c r="F21" s="39">
        <f t="shared" si="1"/>
        <v>7.5</v>
      </c>
      <c r="G21" s="40"/>
      <c r="I21" t="s">
        <v>53</v>
      </c>
      <c r="J21" s="3">
        <f>SUM(J12:J19)</f>
        <v>17875</v>
      </c>
      <c r="K21" s="40">
        <f>SUM(K12:K19)</f>
        <v>5415</v>
      </c>
      <c r="L21" s="39">
        <f>SUM(L12:L19)</f>
        <v>627.875</v>
      </c>
    </row>
    <row r="22" spans="2:17" x14ac:dyDescent="0.3">
      <c r="B22" s="24" t="s">
        <v>213</v>
      </c>
      <c r="C22" s="3"/>
      <c r="D22" s="15"/>
      <c r="E22" s="40"/>
      <c r="F22" s="39"/>
      <c r="G22" s="40"/>
    </row>
    <row r="23" spans="2:17" x14ac:dyDescent="0.3">
      <c r="B23" t="s">
        <v>212</v>
      </c>
      <c r="C23" s="3">
        <v>300</v>
      </c>
      <c r="D23" s="15" t="s">
        <v>198</v>
      </c>
      <c r="E23" s="40">
        <v>650</v>
      </c>
      <c r="F23" s="39">
        <f t="shared" ref="F23:F28" si="2">C23*E23/12000</f>
        <v>16.25</v>
      </c>
      <c r="G23" s="40">
        <v>150</v>
      </c>
      <c r="I23" s="10" t="s">
        <v>93</v>
      </c>
      <c r="J23" s="9"/>
      <c r="K23" s="8"/>
      <c r="N23" s="10" t="s">
        <v>211</v>
      </c>
      <c r="O23" s="9"/>
      <c r="P23" s="9"/>
      <c r="Q23" s="8"/>
    </row>
    <row r="24" spans="2:17" x14ac:dyDescent="0.3">
      <c r="B24" t="s">
        <v>210</v>
      </c>
      <c r="C24" s="3">
        <v>500</v>
      </c>
      <c r="D24" s="15" t="s">
        <v>198</v>
      </c>
      <c r="E24" s="40">
        <v>500</v>
      </c>
      <c r="F24" s="39">
        <f t="shared" si="2"/>
        <v>20.833333333333332</v>
      </c>
      <c r="G24" s="40"/>
      <c r="I24" s="7" t="s">
        <v>209</v>
      </c>
      <c r="J24" s="6"/>
      <c r="K24" s="5"/>
      <c r="N24" s="7" t="s">
        <v>208</v>
      </c>
      <c r="O24" s="6"/>
      <c r="P24" s="6"/>
      <c r="Q24" s="5"/>
    </row>
    <row r="25" spans="2:17" x14ac:dyDescent="0.3">
      <c r="B25" t="s">
        <v>207</v>
      </c>
      <c r="C25" s="3">
        <v>2000</v>
      </c>
      <c r="D25" s="15" t="s">
        <v>198</v>
      </c>
      <c r="E25" s="40">
        <v>80</v>
      </c>
      <c r="F25" s="39">
        <f t="shared" si="2"/>
        <v>13.333333333333334</v>
      </c>
      <c r="G25" s="40"/>
    </row>
    <row r="26" spans="2:17" x14ac:dyDescent="0.3">
      <c r="B26" t="s">
        <v>206</v>
      </c>
      <c r="C26" s="3">
        <v>350</v>
      </c>
      <c r="D26" s="15" t="s">
        <v>198</v>
      </c>
      <c r="E26" s="40">
        <v>1750</v>
      </c>
      <c r="F26" s="39">
        <f t="shared" si="2"/>
        <v>51.041666666666664</v>
      </c>
      <c r="G26" s="40"/>
      <c r="K26" s="13" t="s">
        <v>205</v>
      </c>
      <c r="P26" s="13"/>
      <c r="Q26" s="13" t="s">
        <v>205</v>
      </c>
    </row>
    <row r="27" spans="2:17" x14ac:dyDescent="0.3">
      <c r="B27" t="s">
        <v>204</v>
      </c>
      <c r="C27" s="3">
        <v>500</v>
      </c>
      <c r="D27" s="15" t="s">
        <v>198</v>
      </c>
      <c r="E27" s="40">
        <v>250</v>
      </c>
      <c r="F27" s="39">
        <f t="shared" si="2"/>
        <v>10.416666666666666</v>
      </c>
      <c r="G27" s="40"/>
      <c r="J27" t="s">
        <v>201</v>
      </c>
      <c r="K27" s="13" t="s">
        <v>200</v>
      </c>
      <c r="N27" t="s">
        <v>203</v>
      </c>
      <c r="O27" s="15" t="s">
        <v>202</v>
      </c>
      <c r="P27" s="13" t="s">
        <v>201</v>
      </c>
      <c r="Q27" s="13" t="s">
        <v>200</v>
      </c>
    </row>
    <row r="28" spans="2:17" x14ac:dyDescent="0.3">
      <c r="B28" t="s">
        <v>199</v>
      </c>
      <c r="C28" s="3">
        <v>200</v>
      </c>
      <c r="D28" s="15" t="s">
        <v>198</v>
      </c>
      <c r="E28" s="40">
        <v>400</v>
      </c>
      <c r="F28" s="39">
        <f t="shared" si="2"/>
        <v>6.666666666666667</v>
      </c>
      <c r="G28" s="40"/>
      <c r="I28" t="s">
        <v>197</v>
      </c>
      <c r="J28" s="35">
        <v>0.98299999999999998</v>
      </c>
      <c r="K28" s="2">
        <v>0.31</v>
      </c>
      <c r="N28" t="s">
        <v>189</v>
      </c>
      <c r="O28" s="15" t="s">
        <v>186</v>
      </c>
      <c r="P28">
        <v>0.95</v>
      </c>
      <c r="Q28" s="2">
        <v>0.24</v>
      </c>
    </row>
    <row r="29" spans="2:17" x14ac:dyDescent="0.3">
      <c r="B29" s="24" t="s">
        <v>196</v>
      </c>
      <c r="C29" s="3"/>
      <c r="D29" s="15"/>
      <c r="E29" s="40"/>
      <c r="F29" s="39"/>
      <c r="G29" s="40"/>
      <c r="I29" t="s">
        <v>195</v>
      </c>
      <c r="J29" s="35">
        <v>1.024</v>
      </c>
      <c r="K29" s="2">
        <v>7.0000000000000007E-2</v>
      </c>
      <c r="N29" t="s">
        <v>189</v>
      </c>
      <c r="O29" s="15" t="s">
        <v>183</v>
      </c>
      <c r="P29">
        <v>1.02</v>
      </c>
      <c r="Q29" s="2">
        <v>0.1</v>
      </c>
    </row>
    <row r="30" spans="2:17" x14ac:dyDescent="0.3">
      <c r="B30" t="s">
        <v>194</v>
      </c>
      <c r="C30" s="3">
        <v>3500</v>
      </c>
      <c r="D30" s="15" t="s">
        <v>191</v>
      </c>
      <c r="E30" s="40">
        <v>100</v>
      </c>
      <c r="F30" s="39">
        <f>C30*E30/12000</f>
        <v>29.166666666666668</v>
      </c>
      <c r="G30" s="40">
        <v>5</v>
      </c>
      <c r="I30" t="s">
        <v>193</v>
      </c>
      <c r="J30" s="35">
        <v>1.0169999999999999</v>
      </c>
      <c r="K30" s="2">
        <v>0.18</v>
      </c>
      <c r="N30" t="s">
        <v>189</v>
      </c>
      <c r="O30" s="15" t="s">
        <v>180</v>
      </c>
      <c r="P30">
        <v>1.34</v>
      </c>
      <c r="Q30" s="2">
        <v>0.09</v>
      </c>
    </row>
    <row r="31" spans="2:17" x14ac:dyDescent="0.3">
      <c r="B31" t="s">
        <v>192</v>
      </c>
      <c r="C31" s="3">
        <v>1500</v>
      </c>
      <c r="D31" s="15" t="s">
        <v>191</v>
      </c>
      <c r="E31" s="40">
        <v>200</v>
      </c>
      <c r="F31" s="39">
        <f>C31*E31/12000</f>
        <v>25</v>
      </c>
      <c r="G31" s="40">
        <v>10</v>
      </c>
      <c r="I31" t="s">
        <v>190</v>
      </c>
      <c r="J31" s="35">
        <v>0.95799999999999996</v>
      </c>
      <c r="K31" s="2">
        <v>0</v>
      </c>
      <c r="N31" t="s">
        <v>189</v>
      </c>
      <c r="O31" s="15" t="s">
        <v>178</v>
      </c>
      <c r="P31">
        <v>1.95</v>
      </c>
      <c r="Q31" s="2">
        <v>0.03</v>
      </c>
    </row>
    <row r="32" spans="2:17" x14ac:dyDescent="0.3">
      <c r="B32" t="s">
        <v>188</v>
      </c>
      <c r="C32" s="3">
        <v>1200</v>
      </c>
      <c r="D32" s="15" t="s">
        <v>184</v>
      </c>
      <c r="E32" s="40">
        <v>75</v>
      </c>
      <c r="F32" s="39">
        <f>C32*E32/12000</f>
        <v>7.5</v>
      </c>
      <c r="I32" t="s">
        <v>187</v>
      </c>
      <c r="J32" s="35">
        <v>1.032</v>
      </c>
      <c r="K32" s="2">
        <v>0.44</v>
      </c>
      <c r="N32" t="s">
        <v>179</v>
      </c>
      <c r="O32" s="15" t="s">
        <v>186</v>
      </c>
      <c r="P32">
        <v>0.87</v>
      </c>
      <c r="Q32" s="2">
        <v>0.22</v>
      </c>
    </row>
    <row r="33" spans="1:17" x14ac:dyDescent="0.3">
      <c r="B33" t="s">
        <v>185</v>
      </c>
      <c r="C33" s="3">
        <v>2000</v>
      </c>
      <c r="D33" s="15" t="s">
        <v>184</v>
      </c>
      <c r="E33" s="40">
        <v>60</v>
      </c>
      <c r="F33" s="39">
        <f>C33*E33/12000</f>
        <v>10</v>
      </c>
      <c r="N33" t="s">
        <v>179</v>
      </c>
      <c r="O33" s="15" t="s">
        <v>183</v>
      </c>
      <c r="P33">
        <v>0.98</v>
      </c>
      <c r="Q33" s="2">
        <v>0.15</v>
      </c>
    </row>
    <row r="34" spans="1:17" x14ac:dyDescent="0.3">
      <c r="B34" s="24" t="s">
        <v>182</v>
      </c>
      <c r="C34" s="3">
        <v>4500</v>
      </c>
      <c r="D34" s="15" t="s">
        <v>181</v>
      </c>
      <c r="E34" s="40">
        <v>450</v>
      </c>
      <c r="F34" s="39">
        <f>C34*E34/12000</f>
        <v>168.75</v>
      </c>
      <c r="G34" s="2">
        <v>0.15</v>
      </c>
      <c r="N34" t="s">
        <v>179</v>
      </c>
      <c r="O34" s="15" t="s">
        <v>180</v>
      </c>
      <c r="P34">
        <v>1.22</v>
      </c>
      <c r="Q34" s="2">
        <v>0.11</v>
      </c>
    </row>
    <row r="35" spans="1:17" x14ac:dyDescent="0.3">
      <c r="B35" s="24"/>
      <c r="F35" s="39"/>
      <c r="N35" t="s">
        <v>179</v>
      </c>
      <c r="O35" s="15" t="s">
        <v>178</v>
      </c>
      <c r="P35">
        <v>1.76</v>
      </c>
      <c r="Q35" s="2">
        <v>0.06</v>
      </c>
    </row>
    <row r="36" spans="1:17" x14ac:dyDescent="0.3">
      <c r="B36" s="24" t="s">
        <v>53</v>
      </c>
      <c r="F36" s="39">
        <f>SUM(F13:F34)</f>
        <v>658.125</v>
      </c>
    </row>
    <row r="37" spans="1:17" x14ac:dyDescent="0.3">
      <c r="B37" s="24"/>
    </row>
    <row r="38" spans="1:17" x14ac:dyDescent="0.3">
      <c r="A38" t="s">
        <v>6</v>
      </c>
      <c r="B38" t="s">
        <v>177</v>
      </c>
    </row>
    <row r="40" spans="1:17" x14ac:dyDescent="0.3">
      <c r="E40" s="13" t="s">
        <v>241</v>
      </c>
      <c r="F40" s="13" t="s">
        <v>240</v>
      </c>
      <c r="G40" s="13" t="s">
        <v>242</v>
      </c>
      <c r="H40" s="13" t="s">
        <v>174</v>
      </c>
      <c r="I40" s="13" t="s">
        <v>249</v>
      </c>
      <c r="K40" t="s">
        <v>233</v>
      </c>
      <c r="L40" s="15" t="s">
        <v>38</v>
      </c>
      <c r="M40" s="15" t="s">
        <v>239</v>
      </c>
      <c r="N40" s="15" t="s">
        <v>238</v>
      </c>
    </row>
    <row r="41" spans="1:17" x14ac:dyDescent="0.3">
      <c r="C41" s="13" t="s">
        <v>65</v>
      </c>
      <c r="D41" s="13" t="s">
        <v>237</v>
      </c>
      <c r="E41" s="13" t="s">
        <v>235</v>
      </c>
      <c r="F41" s="13" t="s">
        <v>234</v>
      </c>
      <c r="G41" s="13" t="s">
        <v>236</v>
      </c>
      <c r="H41" s="13" t="s">
        <v>242</v>
      </c>
      <c r="I41" s="13" t="s">
        <v>234</v>
      </c>
      <c r="K41" t="s">
        <v>256</v>
      </c>
      <c r="L41" s="15" t="s">
        <v>233</v>
      </c>
      <c r="M41" s="15" t="s">
        <v>233</v>
      </c>
      <c r="N41" s="15" t="s">
        <v>233</v>
      </c>
      <c r="P41" s="24" t="s">
        <v>75</v>
      </c>
    </row>
    <row r="42" spans="1:17" x14ac:dyDescent="0.3">
      <c r="B42" s="24" t="s">
        <v>232</v>
      </c>
      <c r="L42" s="15"/>
      <c r="M42" s="15"/>
      <c r="N42" s="15"/>
    </row>
    <row r="43" spans="1:17" x14ac:dyDescent="0.3">
      <c r="B43" t="s">
        <v>230</v>
      </c>
      <c r="C43" s="3">
        <f t="shared" ref="C43:C51" si="3">C13*(1+L43)</f>
        <v>495</v>
      </c>
      <c r="D43" s="15" t="s">
        <v>219</v>
      </c>
      <c r="E43" s="39">
        <f t="shared" ref="E43:E51" si="4">E13*(1+M43)*(1+N43)</f>
        <v>2588.125</v>
      </c>
      <c r="F43" s="39">
        <f t="shared" ref="F43:F51" si="5">C43*E43/12000</f>
        <v>106.76015624999999</v>
      </c>
      <c r="G43">
        <v>250</v>
      </c>
      <c r="H43" s="39">
        <f>G43*C43/12000</f>
        <v>10.3125</v>
      </c>
      <c r="I43" s="39">
        <f t="shared" ref="I43:I51" si="6">F43-H43</f>
        <v>96.447656249999994</v>
      </c>
      <c r="K43" t="s">
        <v>231</v>
      </c>
      <c r="L43" s="42">
        <f t="shared" ref="L43:L51" si="7">INDEX(O$12:O$19,MATCH($K43,$N$12:$N$19,0))</f>
        <v>-0.01</v>
      </c>
      <c r="M43" s="42">
        <f t="shared" ref="M43:M51" si="8">INDEX(P$12:P$19,MATCH($K43,$N$12:$N$19,0))</f>
        <v>2.5000000000000001E-2</v>
      </c>
      <c r="N43" s="42">
        <f t="shared" ref="N43:N51" si="9">INDEX(Q$12:Q$19,MATCH($K43,$N$12:$N$19,0))</f>
        <v>0.01</v>
      </c>
      <c r="P43" t="s">
        <v>261</v>
      </c>
    </row>
    <row r="44" spans="1:17" x14ac:dyDescent="0.3">
      <c r="B44" t="s">
        <v>228</v>
      </c>
      <c r="C44" s="3">
        <f t="shared" si="3"/>
        <v>123.75</v>
      </c>
      <c r="D44" s="15" t="s">
        <v>219</v>
      </c>
      <c r="E44" s="39">
        <f t="shared" si="4"/>
        <v>4141</v>
      </c>
      <c r="F44" s="39">
        <f t="shared" si="5"/>
        <v>42.704062499999999</v>
      </c>
      <c r="G44">
        <v>250</v>
      </c>
      <c r="H44" s="39">
        <f>G44*C44/12000</f>
        <v>2.578125</v>
      </c>
      <c r="I44" s="39">
        <f t="shared" si="6"/>
        <v>40.125937499999999</v>
      </c>
      <c r="K44" t="s">
        <v>231</v>
      </c>
      <c r="L44" s="42">
        <f t="shared" si="7"/>
        <v>-0.01</v>
      </c>
      <c r="M44" s="42">
        <f t="shared" si="8"/>
        <v>2.5000000000000001E-2</v>
      </c>
      <c r="N44" s="42">
        <f t="shared" si="9"/>
        <v>0.01</v>
      </c>
      <c r="P44" t="s">
        <v>260</v>
      </c>
    </row>
    <row r="45" spans="1:17" x14ac:dyDescent="0.3">
      <c r="B45" t="s">
        <v>226</v>
      </c>
      <c r="C45" s="3">
        <f t="shared" si="3"/>
        <v>346.5</v>
      </c>
      <c r="D45" s="15" t="s">
        <v>219</v>
      </c>
      <c r="E45" s="39">
        <f t="shared" si="4"/>
        <v>2070.5</v>
      </c>
      <c r="F45" s="39">
        <f t="shared" si="5"/>
        <v>59.785687500000002</v>
      </c>
      <c r="G45">
        <v>200</v>
      </c>
      <c r="H45" s="39">
        <f>G45*C45/12000</f>
        <v>5.7750000000000004</v>
      </c>
      <c r="I45" s="39">
        <f t="shared" si="6"/>
        <v>54.010687500000003</v>
      </c>
      <c r="K45" t="s">
        <v>231</v>
      </c>
      <c r="L45" s="42">
        <f t="shared" si="7"/>
        <v>-0.01</v>
      </c>
      <c r="M45" s="42">
        <f t="shared" si="8"/>
        <v>2.5000000000000001E-2</v>
      </c>
      <c r="N45" s="42">
        <f t="shared" si="9"/>
        <v>0.01</v>
      </c>
      <c r="P45" t="s">
        <v>259</v>
      </c>
    </row>
    <row r="46" spans="1:17" x14ac:dyDescent="0.3">
      <c r="B46" t="s">
        <v>224</v>
      </c>
      <c r="C46" s="3">
        <f t="shared" si="3"/>
        <v>24.75</v>
      </c>
      <c r="D46" s="15" t="s">
        <v>219</v>
      </c>
      <c r="E46" s="39">
        <f t="shared" si="4"/>
        <v>1242.3</v>
      </c>
      <c r="F46" s="39">
        <f t="shared" si="5"/>
        <v>2.5622437499999999</v>
      </c>
      <c r="G46">
        <v>150</v>
      </c>
      <c r="H46" s="39">
        <f>G46*C46/12000</f>
        <v>0.30937500000000001</v>
      </c>
      <c r="I46" s="39">
        <f t="shared" si="6"/>
        <v>2.2528687499999998</v>
      </c>
      <c r="K46" t="s">
        <v>231</v>
      </c>
      <c r="L46" s="42">
        <f t="shared" si="7"/>
        <v>-0.01</v>
      </c>
      <c r="M46" s="42">
        <f t="shared" si="8"/>
        <v>2.5000000000000001E-2</v>
      </c>
      <c r="N46" s="42">
        <f t="shared" si="9"/>
        <v>0.01</v>
      </c>
      <c r="P46" t="s">
        <v>258</v>
      </c>
    </row>
    <row r="47" spans="1:17" x14ac:dyDescent="0.3">
      <c r="B47" t="s">
        <v>222</v>
      </c>
      <c r="C47" s="3">
        <f t="shared" si="3"/>
        <v>4.95</v>
      </c>
      <c r="D47" s="15" t="s">
        <v>219</v>
      </c>
      <c r="E47" s="39">
        <f t="shared" si="4"/>
        <v>1552.8749999999998</v>
      </c>
      <c r="F47" s="39">
        <f t="shared" si="5"/>
        <v>0.64056093749999987</v>
      </c>
      <c r="G47">
        <v>100</v>
      </c>
      <c r="H47" s="39">
        <f>G47*C47/12000</f>
        <v>4.1250000000000002E-2</v>
      </c>
      <c r="I47" s="39">
        <f t="shared" si="6"/>
        <v>0.59931093749999986</v>
      </c>
      <c r="K47" t="s">
        <v>231</v>
      </c>
      <c r="L47" s="42">
        <f t="shared" si="7"/>
        <v>-0.01</v>
      </c>
      <c r="M47" s="42">
        <f t="shared" si="8"/>
        <v>2.5000000000000001E-2</v>
      </c>
      <c r="N47" s="42">
        <f t="shared" si="9"/>
        <v>0.01</v>
      </c>
      <c r="P47" t="s">
        <v>257</v>
      </c>
    </row>
    <row r="48" spans="1:17" x14ac:dyDescent="0.3">
      <c r="B48" s="24" t="s">
        <v>220</v>
      </c>
      <c r="C48" s="3">
        <f t="shared" si="3"/>
        <v>738.75</v>
      </c>
      <c r="D48" s="15" t="s">
        <v>219</v>
      </c>
      <c r="E48" s="39">
        <f t="shared" si="4"/>
        <v>787.95</v>
      </c>
      <c r="F48" s="39">
        <f t="shared" si="5"/>
        <v>48.508171875000002</v>
      </c>
      <c r="H48" s="39"/>
      <c r="I48" s="39">
        <f t="shared" si="6"/>
        <v>48.508171875000002</v>
      </c>
      <c r="K48" t="s">
        <v>229</v>
      </c>
      <c r="L48" s="42">
        <f t="shared" si="7"/>
        <v>-1.4999999999999999E-2</v>
      </c>
      <c r="M48" s="42">
        <f t="shared" si="8"/>
        <v>0.03</v>
      </c>
      <c r="N48" s="42">
        <f t="shared" si="9"/>
        <v>0.02</v>
      </c>
    </row>
    <row r="49" spans="2:14" x14ac:dyDescent="0.3">
      <c r="B49" s="24" t="s">
        <v>217</v>
      </c>
      <c r="C49" s="3">
        <f t="shared" si="3"/>
        <v>1785</v>
      </c>
      <c r="D49" s="15" t="s">
        <v>191</v>
      </c>
      <c r="E49" s="39">
        <f t="shared" si="4"/>
        <v>205.01999999999998</v>
      </c>
      <c r="F49" s="39">
        <f t="shared" si="5"/>
        <v>30.496724999999998</v>
      </c>
      <c r="H49" s="39"/>
      <c r="I49" s="39">
        <f t="shared" si="6"/>
        <v>30.496724999999998</v>
      </c>
      <c r="K49" t="s">
        <v>227</v>
      </c>
      <c r="L49" s="42">
        <f t="shared" si="7"/>
        <v>0.02</v>
      </c>
      <c r="M49" s="42">
        <f t="shared" si="8"/>
        <v>0.02</v>
      </c>
      <c r="N49" s="42">
        <f t="shared" si="9"/>
        <v>5.0000000000000001E-3</v>
      </c>
    </row>
    <row r="50" spans="2:14" x14ac:dyDescent="0.3">
      <c r="B50" s="24" t="s">
        <v>215</v>
      </c>
      <c r="C50" s="3">
        <f t="shared" si="3"/>
        <v>202</v>
      </c>
      <c r="D50" s="15" t="s">
        <v>198</v>
      </c>
      <c r="E50" s="39">
        <f t="shared" si="4"/>
        <v>508.75000000000006</v>
      </c>
      <c r="F50" s="39">
        <f t="shared" si="5"/>
        <v>8.5639583333333338</v>
      </c>
      <c r="G50">
        <v>125</v>
      </c>
      <c r="H50" s="39">
        <f>G50*C50/12000</f>
        <v>2.1041666666666665</v>
      </c>
      <c r="I50" s="39">
        <f t="shared" si="6"/>
        <v>6.4597916666666677</v>
      </c>
      <c r="K50" t="s">
        <v>225</v>
      </c>
      <c r="L50" s="42">
        <f t="shared" si="7"/>
        <v>0.01</v>
      </c>
      <c r="M50" s="42">
        <f t="shared" si="8"/>
        <v>1.7500000000000002E-2</v>
      </c>
      <c r="N50" s="42">
        <f t="shared" si="9"/>
        <v>0</v>
      </c>
    </row>
    <row r="51" spans="2:14" x14ac:dyDescent="0.3">
      <c r="B51" s="24" t="s">
        <v>214</v>
      </c>
      <c r="C51" s="3">
        <f t="shared" si="3"/>
        <v>612</v>
      </c>
      <c r="D51" s="15" t="s">
        <v>184</v>
      </c>
      <c r="E51" s="39">
        <f t="shared" si="4"/>
        <v>156.05624999999998</v>
      </c>
      <c r="F51" s="39">
        <f t="shared" si="5"/>
        <v>7.9588687499999988</v>
      </c>
      <c r="H51" s="39"/>
      <c r="I51" s="39">
        <f t="shared" si="6"/>
        <v>7.9588687499999988</v>
      </c>
      <c r="K51" t="s">
        <v>223</v>
      </c>
      <c r="L51" s="42">
        <f t="shared" si="7"/>
        <v>0.02</v>
      </c>
      <c r="M51" s="42">
        <f t="shared" si="8"/>
        <v>2.5000000000000001E-2</v>
      </c>
      <c r="N51" s="42">
        <f t="shared" si="9"/>
        <v>1.4999999999999999E-2</v>
      </c>
    </row>
    <row r="52" spans="2:14" x14ac:dyDescent="0.3">
      <c r="B52" s="24" t="s">
        <v>213</v>
      </c>
      <c r="C52" s="3"/>
      <c r="D52" s="15"/>
      <c r="E52" s="39"/>
      <c r="F52" s="39"/>
      <c r="H52" s="39"/>
      <c r="I52" s="39"/>
      <c r="L52" s="15"/>
      <c r="M52" s="15"/>
      <c r="N52" s="15"/>
    </row>
    <row r="53" spans="2:14" x14ac:dyDescent="0.3">
      <c r="B53" t="s">
        <v>212</v>
      </c>
      <c r="C53" s="3">
        <f t="shared" ref="C53:C58" si="10">C23*(1+L53)</f>
        <v>304.49999999999994</v>
      </c>
      <c r="D53" s="15" t="s">
        <v>198</v>
      </c>
      <c r="E53" s="39">
        <f t="shared" ref="E53:E58" si="11">E23*(1+M53)*(1+N53)</f>
        <v>666.34749999999997</v>
      </c>
      <c r="F53" s="39">
        <f t="shared" ref="F53:F58" si="12">C53*E53/12000</f>
        <v>16.908567812499996</v>
      </c>
      <c r="G53">
        <v>150</v>
      </c>
      <c r="H53" s="39">
        <f>G53*C53/12000</f>
        <v>3.8062499999999995</v>
      </c>
      <c r="I53" s="39">
        <f t="shared" ref="I53:I58" si="13">F53-H53</f>
        <v>13.102317812499997</v>
      </c>
      <c r="K53" t="s">
        <v>221</v>
      </c>
      <c r="L53" s="42">
        <f t="shared" ref="L53:N58" si="14">INDEX(O$12:O$19,MATCH($K53,$N$12:$N$19,0))</f>
        <v>1.4999999999999999E-2</v>
      </c>
      <c r="M53" s="42">
        <f t="shared" si="14"/>
        <v>0.01</v>
      </c>
      <c r="N53" s="42">
        <f t="shared" si="14"/>
        <v>1.4999999999999999E-2</v>
      </c>
    </row>
    <row r="54" spans="2:14" x14ac:dyDescent="0.3">
      <c r="B54" t="s">
        <v>210</v>
      </c>
      <c r="C54" s="3">
        <f t="shared" si="10"/>
        <v>507.49999999999994</v>
      </c>
      <c r="D54" s="15" t="s">
        <v>198</v>
      </c>
      <c r="E54" s="39">
        <f t="shared" si="11"/>
        <v>512.57499999999993</v>
      </c>
      <c r="F54" s="39">
        <f t="shared" si="12"/>
        <v>21.67765104166666</v>
      </c>
      <c r="H54" s="39"/>
      <c r="I54" s="39">
        <f t="shared" si="13"/>
        <v>21.67765104166666</v>
      </c>
      <c r="K54" t="s">
        <v>221</v>
      </c>
      <c r="L54" s="42">
        <f t="shared" si="14"/>
        <v>1.4999999999999999E-2</v>
      </c>
      <c r="M54" s="42">
        <f t="shared" si="14"/>
        <v>0.01</v>
      </c>
      <c r="N54" s="42">
        <f t="shared" si="14"/>
        <v>1.4999999999999999E-2</v>
      </c>
    </row>
    <row r="55" spans="2:14" x14ac:dyDescent="0.3">
      <c r="B55" t="s">
        <v>207</v>
      </c>
      <c r="C55" s="3">
        <f t="shared" si="10"/>
        <v>2029.9999999999998</v>
      </c>
      <c r="D55" s="15" t="s">
        <v>198</v>
      </c>
      <c r="E55" s="39">
        <f t="shared" si="11"/>
        <v>82.011999999999986</v>
      </c>
      <c r="F55" s="39">
        <f t="shared" si="12"/>
        <v>13.873696666666664</v>
      </c>
      <c r="H55" s="39"/>
      <c r="I55" s="39">
        <f t="shared" si="13"/>
        <v>13.873696666666664</v>
      </c>
      <c r="K55" t="s">
        <v>221</v>
      </c>
      <c r="L55" s="42">
        <f t="shared" si="14"/>
        <v>1.4999999999999999E-2</v>
      </c>
      <c r="M55" s="42">
        <f t="shared" si="14"/>
        <v>0.01</v>
      </c>
      <c r="N55" s="42">
        <f t="shared" si="14"/>
        <v>1.4999999999999999E-2</v>
      </c>
    </row>
    <row r="56" spans="2:14" x14ac:dyDescent="0.3">
      <c r="B56" t="s">
        <v>206</v>
      </c>
      <c r="C56" s="3">
        <f t="shared" si="10"/>
        <v>355.24999999999994</v>
      </c>
      <c r="D56" s="15" t="s">
        <v>198</v>
      </c>
      <c r="E56" s="39">
        <f t="shared" si="11"/>
        <v>1794.0124999999998</v>
      </c>
      <c r="F56" s="39">
        <f t="shared" si="12"/>
        <v>53.110245052083314</v>
      </c>
      <c r="H56" s="39"/>
      <c r="I56" s="39">
        <f t="shared" si="13"/>
        <v>53.110245052083314</v>
      </c>
      <c r="K56" t="s">
        <v>221</v>
      </c>
      <c r="L56" s="42">
        <f t="shared" si="14"/>
        <v>1.4999999999999999E-2</v>
      </c>
      <c r="M56" s="42">
        <f t="shared" si="14"/>
        <v>0.01</v>
      </c>
      <c r="N56" s="42">
        <f t="shared" si="14"/>
        <v>1.4999999999999999E-2</v>
      </c>
    </row>
    <row r="57" spans="2:14" x14ac:dyDescent="0.3">
      <c r="B57" t="s">
        <v>204</v>
      </c>
      <c r="C57" s="3">
        <f t="shared" si="10"/>
        <v>507.49999999999994</v>
      </c>
      <c r="D57" s="15" t="s">
        <v>198</v>
      </c>
      <c r="E57" s="39">
        <f t="shared" si="11"/>
        <v>256.28749999999997</v>
      </c>
      <c r="F57" s="39">
        <f t="shared" si="12"/>
        <v>10.83882552083333</v>
      </c>
      <c r="H57" s="39"/>
      <c r="I57" s="39">
        <f t="shared" si="13"/>
        <v>10.83882552083333</v>
      </c>
      <c r="K57" t="s">
        <v>221</v>
      </c>
      <c r="L57" s="42">
        <f t="shared" si="14"/>
        <v>1.4999999999999999E-2</v>
      </c>
      <c r="M57" s="42">
        <f t="shared" si="14"/>
        <v>0.01</v>
      </c>
      <c r="N57" s="42">
        <f t="shared" si="14"/>
        <v>1.4999999999999999E-2</v>
      </c>
    </row>
    <row r="58" spans="2:14" x14ac:dyDescent="0.3">
      <c r="B58" t="s">
        <v>199</v>
      </c>
      <c r="C58" s="3">
        <f t="shared" si="10"/>
        <v>202.99999999999997</v>
      </c>
      <c r="D58" s="15" t="s">
        <v>198</v>
      </c>
      <c r="E58" s="39">
        <f t="shared" si="11"/>
        <v>410.05999999999995</v>
      </c>
      <c r="F58" s="39">
        <f t="shared" si="12"/>
        <v>6.936848333333332</v>
      </c>
      <c r="H58" s="39"/>
      <c r="I58" s="39">
        <f t="shared" si="13"/>
        <v>6.936848333333332</v>
      </c>
      <c r="K58" t="s">
        <v>221</v>
      </c>
      <c r="L58" s="42">
        <f t="shared" si="14"/>
        <v>1.4999999999999999E-2</v>
      </c>
      <c r="M58" s="42">
        <f t="shared" si="14"/>
        <v>0.01</v>
      </c>
      <c r="N58" s="42">
        <f t="shared" si="14"/>
        <v>1.4999999999999999E-2</v>
      </c>
    </row>
    <row r="59" spans="2:14" x14ac:dyDescent="0.3">
      <c r="B59" s="24" t="s">
        <v>196</v>
      </c>
      <c r="C59" s="3"/>
      <c r="D59" s="15"/>
      <c r="E59" s="39"/>
      <c r="F59" s="39"/>
      <c r="H59" s="39"/>
      <c r="I59" s="39"/>
      <c r="L59" s="15"/>
      <c r="M59" s="15"/>
      <c r="N59" s="15"/>
    </row>
    <row r="60" spans="2:14" x14ac:dyDescent="0.3">
      <c r="B60" t="s">
        <v>194</v>
      </c>
      <c r="C60" s="3">
        <f>C30*(1+L60)</f>
        <v>3535</v>
      </c>
      <c r="D60" s="15" t="s">
        <v>191</v>
      </c>
      <c r="E60" s="39">
        <f>E30*(1+M60)*(1+N60)</f>
        <v>103.02</v>
      </c>
      <c r="F60" s="39">
        <f>C60*E60/12000</f>
        <v>30.347975000000002</v>
      </c>
      <c r="G60">
        <v>5</v>
      </c>
      <c r="H60" s="39">
        <f>G60*C60/12000</f>
        <v>1.4729166666666667</v>
      </c>
      <c r="I60" s="39">
        <f>F60-H60</f>
        <v>28.875058333333335</v>
      </c>
      <c r="K60" t="s">
        <v>218</v>
      </c>
      <c r="L60" s="42">
        <f t="shared" ref="L60:N64" si="15">INDEX(O$12:O$19,MATCH($K60,$N$12:$N$19,0))</f>
        <v>0.01</v>
      </c>
      <c r="M60" s="42">
        <f t="shared" si="15"/>
        <v>0.02</v>
      </c>
      <c r="N60" s="42">
        <f t="shared" si="15"/>
        <v>0.01</v>
      </c>
    </row>
    <row r="61" spans="2:14" x14ac:dyDescent="0.3">
      <c r="B61" t="s">
        <v>192</v>
      </c>
      <c r="C61" s="3">
        <f>C31*(1+L61)</f>
        <v>1515</v>
      </c>
      <c r="D61" s="15" t="s">
        <v>191</v>
      </c>
      <c r="E61" s="39">
        <f>E31*(1+M61)*(1+N61)</f>
        <v>206.04</v>
      </c>
      <c r="F61" s="39">
        <f>C61*E61/12000</f>
        <v>26.012549999999997</v>
      </c>
      <c r="G61">
        <v>10</v>
      </c>
      <c r="H61" s="39">
        <f>G61*C61/12000</f>
        <v>1.2625</v>
      </c>
      <c r="I61" s="39">
        <f>F61-H61</f>
        <v>24.750049999999998</v>
      </c>
      <c r="K61" t="s">
        <v>218</v>
      </c>
      <c r="L61" s="42">
        <f t="shared" si="15"/>
        <v>0.01</v>
      </c>
      <c r="M61" s="42">
        <f t="shared" si="15"/>
        <v>0.02</v>
      </c>
      <c r="N61" s="42">
        <f t="shared" si="15"/>
        <v>0.01</v>
      </c>
    </row>
    <row r="62" spans="2:14" x14ac:dyDescent="0.3">
      <c r="B62" t="s">
        <v>188</v>
      </c>
      <c r="C62" s="3">
        <f>C32*(1+L62)</f>
        <v>1212</v>
      </c>
      <c r="D62" s="15" t="s">
        <v>184</v>
      </c>
      <c r="E62" s="39">
        <f>E32*(1+M62)*(1+N62)</f>
        <v>77.265000000000001</v>
      </c>
      <c r="F62" s="39">
        <f>C62*E62/12000</f>
        <v>7.8037650000000003</v>
      </c>
      <c r="H62" s="39"/>
      <c r="I62" s="39">
        <f>F62-H62</f>
        <v>7.8037650000000003</v>
      </c>
      <c r="K62" t="s">
        <v>218</v>
      </c>
      <c r="L62" s="42">
        <f t="shared" si="15"/>
        <v>0.01</v>
      </c>
      <c r="M62" s="42">
        <f t="shared" si="15"/>
        <v>0.02</v>
      </c>
      <c r="N62" s="42">
        <f t="shared" si="15"/>
        <v>0.01</v>
      </c>
    </row>
    <row r="63" spans="2:14" x14ac:dyDescent="0.3">
      <c r="B63" t="s">
        <v>185</v>
      </c>
      <c r="C63" s="3">
        <f>C33*(1+L63)</f>
        <v>2020</v>
      </c>
      <c r="D63" s="15" t="s">
        <v>184</v>
      </c>
      <c r="E63" s="39">
        <f>E33*(1+M63)*(1+N63)</f>
        <v>61.812000000000005</v>
      </c>
      <c r="F63" s="39">
        <f>C63*E63/12000</f>
        <v>10.40502</v>
      </c>
      <c r="H63" s="39"/>
      <c r="I63" s="39">
        <f>F63-H63</f>
        <v>10.40502</v>
      </c>
      <c r="K63" t="s">
        <v>218</v>
      </c>
      <c r="L63" s="42">
        <f t="shared" si="15"/>
        <v>0.01</v>
      </c>
      <c r="M63" s="42">
        <f t="shared" si="15"/>
        <v>0.02</v>
      </c>
      <c r="N63" s="42">
        <f t="shared" si="15"/>
        <v>0.01</v>
      </c>
    </row>
    <row r="64" spans="2:14" x14ac:dyDescent="0.3">
      <c r="B64" s="24" t="s">
        <v>182</v>
      </c>
      <c r="C64" s="3">
        <f>C34*(1+L64)</f>
        <v>4590</v>
      </c>
      <c r="D64" s="15" t="s">
        <v>181</v>
      </c>
      <c r="E64" s="39">
        <f>E34*(1+M64)*(1+N64)</f>
        <v>475.08749999999998</v>
      </c>
      <c r="F64" s="39">
        <f>C64*E64/12000</f>
        <v>181.72096875</v>
      </c>
      <c r="G64" s="2">
        <v>0.15</v>
      </c>
      <c r="H64" s="39">
        <f>F64*G64</f>
        <v>27.258145312499998</v>
      </c>
      <c r="I64" s="39">
        <f>F64-H64</f>
        <v>154.46282343749999</v>
      </c>
      <c r="K64" t="s">
        <v>216</v>
      </c>
      <c r="L64" s="42">
        <f t="shared" si="15"/>
        <v>0.02</v>
      </c>
      <c r="M64" s="42">
        <f t="shared" si="15"/>
        <v>0.03</v>
      </c>
      <c r="N64" s="42">
        <f t="shared" si="15"/>
        <v>2.5000000000000001E-2</v>
      </c>
    </row>
    <row r="65" spans="1:13" ht="15" thickBot="1" x14ac:dyDescent="0.35">
      <c r="B65" s="24"/>
      <c r="F65" s="39"/>
      <c r="H65" s="39"/>
      <c r="I65" s="28"/>
    </row>
    <row r="66" spans="1:13" ht="15" thickBot="1" x14ac:dyDescent="0.35">
      <c r="B66" s="24" t="s">
        <v>53</v>
      </c>
      <c r="F66" s="39">
        <f>SUM(F43:F64)</f>
        <v>687.61654807291666</v>
      </c>
      <c r="H66" s="39">
        <f>SUM(H43:H64)</f>
        <v>54.920228645833333</v>
      </c>
      <c r="I66" s="41">
        <f>F66-H66</f>
        <v>632.69631942708338</v>
      </c>
    </row>
    <row r="68" spans="1:13" x14ac:dyDescent="0.3">
      <c r="B68" t="s">
        <v>736</v>
      </c>
    </row>
    <row r="70" spans="1:13" x14ac:dyDescent="0.3">
      <c r="A70" t="s">
        <v>4</v>
      </c>
      <c r="B70" t="s">
        <v>176</v>
      </c>
    </row>
    <row r="72" spans="1:13" x14ac:dyDescent="0.3">
      <c r="E72" s="13" t="s">
        <v>241</v>
      </c>
      <c r="F72" s="13" t="s">
        <v>240</v>
      </c>
      <c r="H72" t="s">
        <v>233</v>
      </c>
      <c r="I72" s="15" t="s">
        <v>38</v>
      </c>
      <c r="J72" s="15" t="s">
        <v>239</v>
      </c>
      <c r="K72" s="15" t="s">
        <v>238</v>
      </c>
    </row>
    <row r="73" spans="1:13" x14ac:dyDescent="0.3">
      <c r="C73" t="s">
        <v>65</v>
      </c>
      <c r="D73" s="15" t="s">
        <v>237</v>
      </c>
      <c r="E73" s="13" t="s">
        <v>235</v>
      </c>
      <c r="F73" s="13" t="s">
        <v>234</v>
      </c>
      <c r="H73" t="s">
        <v>256</v>
      </c>
      <c r="I73" s="15" t="s">
        <v>233</v>
      </c>
      <c r="J73" s="15" t="s">
        <v>233</v>
      </c>
      <c r="K73" s="15" t="s">
        <v>233</v>
      </c>
      <c r="M73" s="24" t="s">
        <v>75</v>
      </c>
    </row>
    <row r="74" spans="1:13" x14ac:dyDescent="0.3">
      <c r="D74" s="15"/>
      <c r="I74" s="15"/>
      <c r="J74" s="15"/>
      <c r="K74" s="15"/>
      <c r="M74" s="24"/>
    </row>
    <row r="75" spans="1:13" x14ac:dyDescent="0.3">
      <c r="B75" s="24" t="s">
        <v>220</v>
      </c>
      <c r="C75" s="3">
        <f>J13*(1+I75)^2*H79*I79</f>
        <v>641.53193097352494</v>
      </c>
      <c r="D75" s="15" t="s">
        <v>219</v>
      </c>
      <c r="E75" s="39">
        <f>K13*(1+J75)^2*(1+K75)^2</f>
        <v>794.7074591999999</v>
      </c>
      <c r="F75" s="39">
        <f>C75*E75/12000</f>
        <v>42.485850904969979</v>
      </c>
      <c r="H75" t="s">
        <v>229</v>
      </c>
      <c r="I75" s="42">
        <f>INDEX(O$12:O$19,MATCH($H75,$N$12:$N$19,0))</f>
        <v>-1.4999999999999999E-2</v>
      </c>
      <c r="J75" s="42">
        <f>INDEX(P$12:P$19,MATCH($H75,$N$12:$N$19,0))</f>
        <v>0.03</v>
      </c>
      <c r="K75" s="42">
        <f>INDEX(Q$12:Q$19,MATCH($H75,$N$12:$N$19,0))</f>
        <v>0.02</v>
      </c>
      <c r="M75" t="s">
        <v>255</v>
      </c>
    </row>
    <row r="76" spans="1:13" x14ac:dyDescent="0.3">
      <c r="B76" s="24"/>
      <c r="D76" s="15"/>
      <c r="M76" t="s">
        <v>254</v>
      </c>
    </row>
    <row r="77" spans="1:13" x14ac:dyDescent="0.3">
      <c r="B77" s="24" t="s">
        <v>253</v>
      </c>
      <c r="C77" s="2">
        <v>0.6</v>
      </c>
      <c r="D77" s="15"/>
      <c r="H77" s="13" t="s">
        <v>252</v>
      </c>
      <c r="I77" s="13" t="s">
        <v>251</v>
      </c>
    </row>
    <row r="78" spans="1:13" x14ac:dyDescent="0.3">
      <c r="B78" s="24" t="s">
        <v>250</v>
      </c>
      <c r="C78" s="2">
        <f>1-C77</f>
        <v>0.4</v>
      </c>
      <c r="D78" s="15"/>
      <c r="H78" s="13" t="s">
        <v>201</v>
      </c>
      <c r="I78" s="13" t="s">
        <v>201</v>
      </c>
    </row>
    <row r="79" spans="1:13" x14ac:dyDescent="0.3">
      <c r="B79" s="24"/>
      <c r="D79" s="15"/>
      <c r="F79" s="28"/>
      <c r="H79" s="38">
        <f>SUMPRODUCT(J28:J32,K28:K32)</f>
        <v>1.01355</v>
      </c>
      <c r="I79" s="38">
        <f>SUMPRODUCT(P28:P35,Q28:Q35)</f>
        <v>1.0872999999999999</v>
      </c>
    </row>
    <row r="80" spans="1:13" x14ac:dyDescent="0.3">
      <c r="B80" s="24"/>
      <c r="D80" s="15"/>
      <c r="F80" s="28"/>
      <c r="H80" s="38"/>
      <c r="I80" s="38"/>
    </row>
    <row r="81" spans="2:13" x14ac:dyDescent="0.3">
      <c r="D81" s="15"/>
      <c r="E81" s="13" t="s">
        <v>241</v>
      </c>
      <c r="F81" s="13" t="s">
        <v>240</v>
      </c>
      <c r="G81" s="13" t="s">
        <v>242</v>
      </c>
      <c r="H81" s="13" t="s">
        <v>174</v>
      </c>
      <c r="I81" s="13" t="s">
        <v>249</v>
      </c>
    </row>
    <row r="82" spans="2:13" x14ac:dyDescent="0.3">
      <c r="C82" s="13" t="s">
        <v>65</v>
      </c>
      <c r="D82" s="15" t="s">
        <v>237</v>
      </c>
      <c r="E82" s="13" t="s">
        <v>235</v>
      </c>
      <c r="F82" s="13" t="s">
        <v>234</v>
      </c>
      <c r="G82" s="13" t="s">
        <v>236</v>
      </c>
      <c r="H82" s="13" t="s">
        <v>242</v>
      </c>
      <c r="I82" s="13" t="s">
        <v>234</v>
      </c>
    </row>
    <row r="83" spans="2:13" x14ac:dyDescent="0.3">
      <c r="B83" s="24" t="s">
        <v>232</v>
      </c>
      <c r="D83" s="15"/>
    </row>
    <row r="84" spans="2:13" x14ac:dyDescent="0.3">
      <c r="B84" t="s">
        <v>230</v>
      </c>
      <c r="C84" s="3">
        <f>C43</f>
        <v>495</v>
      </c>
      <c r="D84" s="15" t="s">
        <v>219</v>
      </c>
      <c r="E84" s="39">
        <f>E43</f>
        <v>2588.125</v>
      </c>
      <c r="F84" s="39">
        <f t="shared" ref="F84:F92" si="16">C84*E84/12000</f>
        <v>106.76015624999999</v>
      </c>
      <c r="G84" s="40">
        <v>250</v>
      </c>
      <c r="H84" s="39">
        <f>G84*C84/12000</f>
        <v>10.3125</v>
      </c>
      <c r="I84" s="39">
        <f t="shared" ref="I84:I92" si="17">F84-H84</f>
        <v>96.447656249999994</v>
      </c>
    </row>
    <row r="85" spans="2:13" x14ac:dyDescent="0.3">
      <c r="B85" t="s">
        <v>228</v>
      </c>
      <c r="C85" s="3">
        <f>C44</f>
        <v>123.75</v>
      </c>
      <c r="D85" s="15" t="s">
        <v>219</v>
      </c>
      <c r="E85" s="39">
        <f>E44</f>
        <v>4141</v>
      </c>
      <c r="F85" s="39">
        <f t="shared" si="16"/>
        <v>42.704062499999999</v>
      </c>
      <c r="G85" s="40">
        <v>250</v>
      </c>
      <c r="H85" s="39">
        <f>G85*C85/12000</f>
        <v>2.578125</v>
      </c>
      <c r="I85" s="39">
        <f t="shared" si="17"/>
        <v>40.125937499999999</v>
      </c>
    </row>
    <row r="86" spans="2:13" x14ac:dyDescent="0.3">
      <c r="B86" t="s">
        <v>226</v>
      </c>
      <c r="C86" s="3">
        <f>C45</f>
        <v>346.5</v>
      </c>
      <c r="D86" s="15" t="s">
        <v>219</v>
      </c>
      <c r="E86" s="39">
        <f>E45</f>
        <v>2070.5</v>
      </c>
      <c r="F86" s="39">
        <f t="shared" si="16"/>
        <v>59.785687500000002</v>
      </c>
      <c r="G86" s="40">
        <v>200</v>
      </c>
      <c r="H86" s="39">
        <f>G86*C86/12000</f>
        <v>5.7750000000000004</v>
      </c>
      <c r="I86" s="39">
        <f t="shared" si="17"/>
        <v>54.010687500000003</v>
      </c>
    </row>
    <row r="87" spans="2:13" x14ac:dyDescent="0.3">
      <c r="B87" t="s">
        <v>224</v>
      </c>
      <c r="C87" s="3">
        <f>C46</f>
        <v>24.75</v>
      </c>
      <c r="D87" s="15" t="s">
        <v>219</v>
      </c>
      <c r="E87" s="39">
        <f>E46</f>
        <v>1242.3</v>
      </c>
      <c r="F87" s="39">
        <f t="shared" si="16"/>
        <v>2.5622437499999999</v>
      </c>
      <c r="G87" s="40">
        <v>150</v>
      </c>
      <c r="H87" s="39">
        <f>G87*C87/12000</f>
        <v>0.30937500000000001</v>
      </c>
      <c r="I87" s="39">
        <f t="shared" si="17"/>
        <v>2.2528687499999998</v>
      </c>
    </row>
    <row r="88" spans="2:13" x14ac:dyDescent="0.3">
      <c r="B88" t="s">
        <v>222</v>
      </c>
      <c r="C88" s="3">
        <f>C47</f>
        <v>4.95</v>
      </c>
      <c r="D88" s="15" t="s">
        <v>219</v>
      </c>
      <c r="E88" s="39">
        <f>E47</f>
        <v>1552.8749999999998</v>
      </c>
      <c r="F88" s="39">
        <f t="shared" si="16"/>
        <v>0.64056093749999987</v>
      </c>
      <c r="G88" s="40">
        <v>100</v>
      </c>
      <c r="H88" s="39">
        <f>G88*C88/12000</f>
        <v>4.1250000000000002E-2</v>
      </c>
      <c r="I88" s="39">
        <f t="shared" si="17"/>
        <v>0.59931093749999986</v>
      </c>
    </row>
    <row r="89" spans="2:13" x14ac:dyDescent="0.3">
      <c r="B89" s="24" t="s">
        <v>220</v>
      </c>
      <c r="C89" s="3">
        <f>C75*$C$77+C48*$C$78</f>
        <v>680.41915858411494</v>
      </c>
      <c r="D89" s="15" t="s">
        <v>219</v>
      </c>
      <c r="E89" s="39">
        <f>E75*$C$77+E48*$C$78</f>
        <v>792.00447551999991</v>
      </c>
      <c r="F89" s="39">
        <f t="shared" si="16"/>
        <v>44.907918235680974</v>
      </c>
      <c r="G89" s="40"/>
      <c r="H89" s="39"/>
      <c r="I89" s="39">
        <f t="shared" si="17"/>
        <v>44.907918235680974</v>
      </c>
      <c r="M89" t="s">
        <v>248</v>
      </c>
    </row>
    <row r="90" spans="2:13" x14ac:dyDescent="0.3">
      <c r="B90" s="24" t="s">
        <v>217</v>
      </c>
      <c r="C90" s="3">
        <f>C49</f>
        <v>1785</v>
      </c>
      <c r="D90" s="15" t="s">
        <v>191</v>
      </c>
      <c r="E90" s="39">
        <f>E49</f>
        <v>205.01999999999998</v>
      </c>
      <c r="F90" s="39">
        <f t="shared" si="16"/>
        <v>30.496724999999998</v>
      </c>
      <c r="G90" s="40"/>
      <c r="H90" s="39"/>
      <c r="I90" s="39">
        <f t="shared" si="17"/>
        <v>30.496724999999998</v>
      </c>
      <c r="M90" t="s">
        <v>247</v>
      </c>
    </row>
    <row r="91" spans="2:13" x14ac:dyDescent="0.3">
      <c r="B91" s="24" t="s">
        <v>215</v>
      </c>
      <c r="C91" s="3">
        <f>C50</f>
        <v>202</v>
      </c>
      <c r="D91" s="15" t="s">
        <v>198</v>
      </c>
      <c r="E91" s="39">
        <f>E50</f>
        <v>508.75000000000006</v>
      </c>
      <c r="F91" s="39">
        <f t="shared" si="16"/>
        <v>8.5639583333333338</v>
      </c>
      <c r="G91" s="40">
        <v>125</v>
      </c>
      <c r="H91" s="39">
        <f>G91*C91/12000</f>
        <v>2.1041666666666665</v>
      </c>
      <c r="I91" s="39">
        <f t="shared" si="17"/>
        <v>6.4597916666666677</v>
      </c>
      <c r="M91" t="s">
        <v>737</v>
      </c>
    </row>
    <row r="92" spans="2:13" x14ac:dyDescent="0.3">
      <c r="B92" s="24" t="s">
        <v>214</v>
      </c>
      <c r="C92" s="3">
        <f>C51</f>
        <v>612</v>
      </c>
      <c r="D92" s="15" t="s">
        <v>184</v>
      </c>
      <c r="E92" s="39">
        <f>E51</f>
        <v>156.05624999999998</v>
      </c>
      <c r="F92" s="39">
        <f t="shared" si="16"/>
        <v>7.9588687499999988</v>
      </c>
      <c r="G92" s="40"/>
      <c r="H92" s="39"/>
      <c r="I92" s="39">
        <f t="shared" si="17"/>
        <v>7.9588687499999988</v>
      </c>
    </row>
    <row r="93" spans="2:13" x14ac:dyDescent="0.3">
      <c r="B93" s="24" t="s">
        <v>213</v>
      </c>
      <c r="C93" s="3"/>
      <c r="D93" s="15"/>
      <c r="E93" s="39"/>
      <c r="F93" s="39"/>
      <c r="G93" s="40"/>
      <c r="H93" s="39"/>
      <c r="I93" s="39"/>
    </row>
    <row r="94" spans="2:13" x14ac:dyDescent="0.3">
      <c r="B94" t="s">
        <v>212</v>
      </c>
      <c r="C94" s="3">
        <f t="shared" ref="C94:C99" si="18">C53</f>
        <v>304.49999999999994</v>
      </c>
      <c r="D94" s="15" t="s">
        <v>198</v>
      </c>
      <c r="E94" s="39">
        <f t="shared" ref="E94:E99" si="19">E53</f>
        <v>666.34749999999997</v>
      </c>
      <c r="F94" s="39">
        <f t="shared" ref="F94:F99" si="20">C94*E94/12000</f>
        <v>16.908567812499996</v>
      </c>
      <c r="G94" s="40">
        <v>150</v>
      </c>
      <c r="H94" s="39">
        <f>G94*C94/12000</f>
        <v>3.8062499999999995</v>
      </c>
      <c r="I94" s="39">
        <f t="shared" ref="I94:I99" si="21">F94-H94</f>
        <v>13.102317812499997</v>
      </c>
    </row>
    <row r="95" spans="2:13" x14ac:dyDescent="0.3">
      <c r="B95" t="s">
        <v>210</v>
      </c>
      <c r="C95" s="3">
        <f t="shared" si="18"/>
        <v>507.49999999999994</v>
      </c>
      <c r="D95" s="15" t="s">
        <v>198</v>
      </c>
      <c r="E95" s="39">
        <f t="shared" si="19"/>
        <v>512.57499999999993</v>
      </c>
      <c r="F95" s="39">
        <f t="shared" si="20"/>
        <v>21.67765104166666</v>
      </c>
      <c r="G95" s="40"/>
      <c r="H95" s="39"/>
      <c r="I95" s="39">
        <f t="shared" si="21"/>
        <v>21.67765104166666</v>
      </c>
    </row>
    <row r="96" spans="2:13" x14ac:dyDescent="0.3">
      <c r="B96" t="s">
        <v>207</v>
      </c>
      <c r="C96" s="3">
        <f t="shared" si="18"/>
        <v>2029.9999999999998</v>
      </c>
      <c r="D96" s="15" t="s">
        <v>198</v>
      </c>
      <c r="E96" s="39">
        <f t="shared" si="19"/>
        <v>82.011999999999986</v>
      </c>
      <c r="F96" s="39">
        <f t="shared" si="20"/>
        <v>13.873696666666664</v>
      </c>
      <c r="G96" s="40"/>
      <c r="H96" s="39"/>
      <c r="I96" s="39">
        <f t="shared" si="21"/>
        <v>13.873696666666664</v>
      </c>
    </row>
    <row r="97" spans="2:13" x14ac:dyDescent="0.3">
      <c r="B97" t="s">
        <v>206</v>
      </c>
      <c r="C97" s="3">
        <f t="shared" si="18"/>
        <v>355.24999999999994</v>
      </c>
      <c r="D97" s="15" t="s">
        <v>198</v>
      </c>
      <c r="E97" s="39">
        <f t="shared" si="19"/>
        <v>1794.0124999999998</v>
      </c>
      <c r="F97" s="39">
        <f t="shared" si="20"/>
        <v>53.110245052083314</v>
      </c>
      <c r="G97" s="40"/>
      <c r="H97" s="39"/>
      <c r="I97" s="39">
        <f t="shared" si="21"/>
        <v>53.110245052083314</v>
      </c>
    </row>
    <row r="98" spans="2:13" x14ac:dyDescent="0.3">
      <c r="B98" t="s">
        <v>204</v>
      </c>
      <c r="C98" s="3">
        <f t="shared" si="18"/>
        <v>507.49999999999994</v>
      </c>
      <c r="D98" s="15" t="s">
        <v>198</v>
      </c>
      <c r="E98" s="39">
        <f t="shared" si="19"/>
        <v>256.28749999999997</v>
      </c>
      <c r="F98" s="39">
        <f t="shared" si="20"/>
        <v>10.83882552083333</v>
      </c>
      <c r="G98" s="40"/>
      <c r="H98" s="39"/>
      <c r="I98" s="39">
        <f t="shared" si="21"/>
        <v>10.83882552083333</v>
      </c>
    </row>
    <row r="99" spans="2:13" x14ac:dyDescent="0.3">
      <c r="B99" t="s">
        <v>199</v>
      </c>
      <c r="C99" s="3">
        <f t="shared" si="18"/>
        <v>202.99999999999997</v>
      </c>
      <c r="D99" s="15" t="s">
        <v>198</v>
      </c>
      <c r="E99" s="39">
        <f t="shared" si="19"/>
        <v>410.05999999999995</v>
      </c>
      <c r="F99" s="39">
        <f t="shared" si="20"/>
        <v>6.936848333333332</v>
      </c>
      <c r="G99" s="40"/>
      <c r="H99" s="39"/>
      <c r="I99" s="39">
        <f t="shared" si="21"/>
        <v>6.936848333333332</v>
      </c>
    </row>
    <row r="100" spans="2:13" x14ac:dyDescent="0.3">
      <c r="B100" s="24" t="s">
        <v>196</v>
      </c>
      <c r="C100" s="3"/>
      <c r="D100" s="15"/>
      <c r="E100" s="39"/>
      <c r="F100" s="39"/>
      <c r="G100" s="40"/>
      <c r="H100" s="39"/>
      <c r="I100" s="39"/>
    </row>
    <row r="101" spans="2:13" x14ac:dyDescent="0.3">
      <c r="B101" t="s">
        <v>194</v>
      </c>
      <c r="C101" s="3">
        <f>C60</f>
        <v>3535</v>
      </c>
      <c r="D101" s="15" t="s">
        <v>191</v>
      </c>
      <c r="E101" s="39">
        <f>E60</f>
        <v>103.02</v>
      </c>
      <c r="F101" s="39">
        <f>C101*E101/12000</f>
        <v>30.347975000000002</v>
      </c>
      <c r="G101" s="40">
        <v>5</v>
      </c>
      <c r="H101" s="39">
        <f>G101*C101/12000</f>
        <v>1.4729166666666667</v>
      </c>
      <c r="I101" s="39">
        <f>F101-H101</f>
        <v>28.875058333333335</v>
      </c>
    </row>
    <row r="102" spans="2:13" x14ac:dyDescent="0.3">
      <c r="B102" t="s">
        <v>192</v>
      </c>
      <c r="C102" s="3">
        <f>C61</f>
        <v>1515</v>
      </c>
      <c r="D102" s="15" t="s">
        <v>191</v>
      </c>
      <c r="E102" s="39">
        <f>E61</f>
        <v>206.04</v>
      </c>
      <c r="F102" s="39">
        <f>C102*E102/12000</f>
        <v>26.012549999999997</v>
      </c>
      <c r="G102" s="40">
        <v>10</v>
      </c>
      <c r="H102" s="39">
        <f>G102*C102/12000</f>
        <v>1.2625</v>
      </c>
      <c r="I102" s="39">
        <f>F102-H102</f>
        <v>24.750049999999998</v>
      </c>
    </row>
    <row r="103" spans="2:13" x14ac:dyDescent="0.3">
      <c r="B103" t="s">
        <v>188</v>
      </c>
      <c r="C103" s="3">
        <f>C62</f>
        <v>1212</v>
      </c>
      <c r="D103" s="15" t="s">
        <v>184</v>
      </c>
      <c r="E103" s="39">
        <f>E62</f>
        <v>77.265000000000001</v>
      </c>
      <c r="F103" s="39">
        <f>C103*E103/12000</f>
        <v>7.8037650000000003</v>
      </c>
      <c r="G103" s="40"/>
      <c r="H103" s="39"/>
      <c r="I103" s="39">
        <f>F103-H103</f>
        <v>7.8037650000000003</v>
      </c>
    </row>
    <row r="104" spans="2:13" x14ac:dyDescent="0.3">
      <c r="B104" t="s">
        <v>185</v>
      </c>
      <c r="C104" s="3">
        <f>C63</f>
        <v>2020</v>
      </c>
      <c r="D104" s="15" t="s">
        <v>184</v>
      </c>
      <c r="E104" s="39">
        <f>E63</f>
        <v>61.812000000000005</v>
      </c>
      <c r="F104" s="39">
        <f>C104*E104/12000</f>
        <v>10.40502</v>
      </c>
      <c r="H104" s="39"/>
      <c r="I104" s="39">
        <f>F104-H104</f>
        <v>10.40502</v>
      </c>
    </row>
    <row r="105" spans="2:13" x14ac:dyDescent="0.3">
      <c r="B105" s="24" t="s">
        <v>182</v>
      </c>
      <c r="C105" s="3">
        <f>C64</f>
        <v>4590</v>
      </c>
      <c r="D105" s="15" t="s">
        <v>181</v>
      </c>
      <c r="E105" s="39">
        <f>E64</f>
        <v>475.08749999999998</v>
      </c>
      <c r="F105" s="39">
        <f>C105*E105/12000</f>
        <v>181.72096875</v>
      </c>
      <c r="G105" s="2">
        <v>0.15</v>
      </c>
      <c r="H105" s="39">
        <f>F105*G105</f>
        <v>27.258145312499998</v>
      </c>
      <c r="I105" s="39">
        <f>F105-H105</f>
        <v>154.46282343749999</v>
      </c>
    </row>
    <row r="106" spans="2:13" ht="15" thickBot="1" x14ac:dyDescent="0.35">
      <c r="B106" s="24"/>
      <c r="F106" s="39"/>
      <c r="H106" s="39"/>
      <c r="I106" s="39"/>
    </row>
    <row r="107" spans="2:13" ht="15" thickBot="1" x14ac:dyDescent="0.35">
      <c r="B107" s="24" t="s">
        <v>53</v>
      </c>
      <c r="F107" s="39">
        <f>SUM(F84:F105)</f>
        <v>684.01629443359752</v>
      </c>
      <c r="H107" s="39">
        <f>SUM(H84:H105)</f>
        <v>54.920228645833333</v>
      </c>
      <c r="I107" s="41">
        <f>F107-H107</f>
        <v>629.09606578776425</v>
      </c>
      <c r="M107" t="s">
        <v>246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3674A05-04E7-4089-BB46-487513BA56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829cb1-c3bd-48aa-b101-cd51227f80d0"/>
    <ds:schemaRef ds:uri="c264fd13-c93d-4e63-9fb0-02334996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B43E6C1-EAD1-44B0-BF01-2A5C568A96FE}">
  <ds:schemaRefs>
    <ds:schemaRef ds:uri="http://schemas.microsoft.com/sharepoint/v3/contenttype/forms"/>
  </ds:schemaRefs>
</ds:datastoreItem>
</file>

<file path=customXml/itemProps3.xml><?xml version="1.0" encoding="utf-8"?>
<ds:datastoreItem xmlns:ds="http://schemas.openxmlformats.org/officeDocument/2006/customXml" ds:itemID="{F21CF007-4C43-4CE0-B4B1-B1CA6F3493DA}">
  <ds:schemaRefs>
    <ds:schemaRef ds:uri="http://schemas.microsoft.com/office/2006/metadata/properties"/>
    <ds:schemaRef ds:uri="http://schemas.microsoft.com/office/infopath/2007/PartnerControls"/>
    <ds:schemaRef ds:uri="c264fd13-c93d-4e63-9fb0-02334996df4b"/>
    <ds:schemaRef ds:uri="2a829cb1-c3bd-48aa-b101-cd51227f80d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Cover </vt:lpstr>
      <vt:lpstr>Q1 LO 1a 1b Skwire Ch 7</vt:lpstr>
      <vt:lpstr>A1</vt:lpstr>
      <vt:lpstr>Q2 LO 2a 2c 2d Skwire Ch 23</vt:lpstr>
      <vt:lpstr>A2</vt:lpstr>
      <vt:lpstr>Q3 LO 2a 2d Skwire Ch 21</vt:lpstr>
      <vt:lpstr>A3</vt:lpstr>
      <vt:lpstr>Q4 LO 2a 2d Skwire Ch 21</vt:lpstr>
      <vt:lpstr>A4</vt:lpstr>
      <vt:lpstr>Q5 LO 2a 2d Skwire Ch 22</vt:lpstr>
      <vt:lpstr>A5</vt:lpstr>
      <vt:lpstr>Q6 LO 2a 2d Skwire Ch 22</vt:lpstr>
      <vt:lpstr>A6</vt:lpstr>
      <vt:lpstr>Q7 LO 2a 2c 2d 2e Skwire Ch 24</vt:lpstr>
      <vt:lpstr>A7</vt:lpstr>
      <vt:lpstr>Q8 LO 2a 2c 2d 2e Skwire Ch 24</vt:lpstr>
      <vt:lpstr>A8</vt:lpstr>
      <vt:lpstr>Q9 LO 2a 2d Skwire Ch 21</vt:lpstr>
      <vt:lpstr>A9</vt:lpstr>
      <vt:lpstr>Q10 LO 2a 2c 2d Skwire Ch 22</vt:lpstr>
      <vt:lpstr>A10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2026-01-14T18:04:38Z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y fmtid="{D5CDD505-2E9C-101B-9397-08002B2CF9AE}" pid="3" name="MSIP_Label_1ecdf243-b9b0-4f63-8694-76742e4201b7_Enabled">
    <vt:lpwstr>true</vt:lpwstr>
  </property>
  <property fmtid="{D5CDD505-2E9C-101B-9397-08002B2CF9AE}" pid="4" name="MSIP_Label_1ecdf243-b9b0-4f63-8694-76742e4201b7_SetDate">
    <vt:lpwstr>2025-11-16T19:20:14Z</vt:lpwstr>
  </property>
  <property fmtid="{D5CDD505-2E9C-101B-9397-08002B2CF9AE}" pid="5" name="MSIP_Label_1ecdf243-b9b0-4f63-8694-76742e4201b7_Method">
    <vt:lpwstr>Standard</vt:lpwstr>
  </property>
  <property fmtid="{D5CDD505-2E9C-101B-9397-08002B2CF9AE}" pid="6" name="MSIP_Label_1ecdf243-b9b0-4f63-8694-76742e4201b7_Name">
    <vt:lpwstr>Proprietary general</vt:lpwstr>
  </property>
  <property fmtid="{D5CDD505-2E9C-101B-9397-08002B2CF9AE}" pid="7" name="MSIP_Label_1ecdf243-b9b0-4f63-8694-76742e4201b7_SiteId">
    <vt:lpwstr>fabb61b8-3afe-4e75-b934-a47f782b8cd7</vt:lpwstr>
  </property>
  <property fmtid="{D5CDD505-2E9C-101B-9397-08002B2CF9AE}" pid="8" name="MSIP_Label_1ecdf243-b9b0-4f63-8694-76742e4201b7_ActionId">
    <vt:lpwstr>ac2dbebe-41c2-447a-8940-aa5c9a60a857</vt:lpwstr>
  </property>
  <property fmtid="{D5CDD505-2E9C-101B-9397-08002B2CF9AE}" pid="9" name="MSIP_Label_1ecdf243-b9b0-4f63-8694-76742e4201b7_ContentBits">
    <vt:lpwstr>0</vt:lpwstr>
  </property>
</Properties>
</file>