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RETRPIRM/"/>
    </mc:Choice>
  </mc:AlternateContent>
  <xr:revisionPtr revIDLastSave="0" documentId="8_{7218911B-4599-4D9D-B590-1D4FE7E214B4}" xr6:coauthVersionLast="47" xr6:coauthVersionMax="47" xr10:uidLastSave="{00000000-0000-0000-0000-000000000000}"/>
  <bookViews>
    <workbookView xWindow="2652" yWindow="2652" windowWidth="17280" windowHeight="8928" xr2:uid="{00000000-000D-0000-FFFF-FFFF00000000}"/>
  </bookViews>
  <sheets>
    <sheet name="Question 1" sheetId="1" r:id="rId1"/>
  </sheets>
  <definedNames>
    <definedName name="_xlnm.Print_Area" localSheetId="0">'Question 1'!$A$1:$AB$230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3" i="1" l="1"/>
  <c r="U192" i="1"/>
  <c r="U191" i="1"/>
  <c r="U190" i="1"/>
  <c r="U194" i="1" s="1"/>
  <c r="U186" i="1"/>
  <c r="U185" i="1"/>
  <c r="U184" i="1"/>
  <c r="U183" i="1"/>
  <c r="U179" i="1"/>
  <c r="U178" i="1"/>
  <c r="U177" i="1"/>
  <c r="U180" i="1" s="1"/>
  <c r="U173" i="1"/>
  <c r="U172" i="1"/>
  <c r="U174" i="1" s="1"/>
  <c r="U171" i="1"/>
  <c r="T168" i="1"/>
  <c r="T167" i="1"/>
  <c r="T166" i="1"/>
  <c r="T165" i="1"/>
  <c r="T163" i="1"/>
  <c r="T162" i="1"/>
  <c r="T161" i="1"/>
  <c r="X152" i="1"/>
  <c r="X151" i="1"/>
  <c r="X150" i="1"/>
  <c r="X149" i="1"/>
  <c r="X145" i="1"/>
  <c r="X144" i="1"/>
  <c r="X143" i="1"/>
  <c r="X142" i="1"/>
  <c r="X146" i="1" s="1"/>
  <c r="X138" i="1"/>
  <c r="X137" i="1"/>
  <c r="X136" i="1"/>
  <c r="X132" i="1"/>
  <c r="X131" i="1"/>
  <c r="X130" i="1"/>
  <c r="X133" i="1" s="1"/>
  <c r="V104" i="1"/>
  <c r="V101" i="1"/>
  <c r="V97" i="1"/>
  <c r="V107" i="1" s="1"/>
  <c r="V94" i="1"/>
  <c r="V90" i="1"/>
  <c r="V87" i="1"/>
  <c r="T83" i="1"/>
  <c r="T82" i="1"/>
  <c r="T81" i="1"/>
  <c r="T80" i="1"/>
  <c r="U60" i="1"/>
  <c r="U57" i="1"/>
  <c r="U54" i="1"/>
  <c r="U50" i="1"/>
  <c r="U47" i="1"/>
  <c r="U43" i="1"/>
  <c r="U40" i="1"/>
  <c r="S36" i="1"/>
  <c r="S35" i="1"/>
  <c r="S34" i="1"/>
  <c r="T123" i="1"/>
  <c r="S123" i="1"/>
  <c r="R123" i="1"/>
  <c r="T122" i="1"/>
  <c r="R122" i="1"/>
  <c r="T121" i="1"/>
  <c r="S121" i="1"/>
  <c r="R121" i="1"/>
  <c r="T120" i="1"/>
  <c r="S120" i="1"/>
  <c r="R120" i="1"/>
  <c r="T115" i="1"/>
  <c r="S115" i="1"/>
  <c r="R115" i="1"/>
  <c r="T114" i="1"/>
  <c r="S114" i="1"/>
  <c r="R114" i="1"/>
  <c r="T113" i="1"/>
  <c r="S113" i="1"/>
  <c r="R113" i="1"/>
  <c r="Q123" i="1"/>
  <c r="Q122" i="1"/>
  <c r="X122" i="1" s="1"/>
  <c r="Q121" i="1"/>
  <c r="Q120" i="1"/>
  <c r="Q115" i="1"/>
  <c r="Q114" i="1"/>
  <c r="Q113" i="1"/>
  <c r="U187" i="1" l="1"/>
  <c r="R197" i="1"/>
  <c r="X153" i="1"/>
  <c r="R198" i="1"/>
  <c r="X139" i="1"/>
  <c r="U122" i="1"/>
  <c r="AB122" i="1" s="1"/>
  <c r="X120" i="1"/>
  <c r="U123" i="1"/>
  <c r="AB123" i="1" s="1"/>
  <c r="U114" i="1"/>
  <c r="AB114" i="1" s="1"/>
  <c r="Y122" i="1"/>
  <c r="U115" i="1"/>
  <c r="AB115" i="1" s="1"/>
  <c r="W123" i="1"/>
  <c r="Y115" i="1"/>
  <c r="X123" i="1"/>
  <c r="Y121" i="1"/>
  <c r="U120" i="1"/>
  <c r="AB120" i="1" s="1"/>
  <c r="W115" i="1"/>
  <c r="Y114" i="1"/>
  <c r="W122" i="1"/>
  <c r="Y123" i="1"/>
  <c r="X115" i="1"/>
  <c r="U113" i="1"/>
  <c r="AB113" i="1" s="1"/>
  <c r="U121" i="1"/>
  <c r="AB121" i="1" s="1"/>
  <c r="Y120" i="1"/>
  <c r="X113" i="1"/>
  <c r="W120" i="1"/>
  <c r="W113" i="1"/>
  <c r="Y113" i="1"/>
  <c r="W114" i="1"/>
  <c r="X114" i="1"/>
  <c r="W121" i="1"/>
  <c r="X121" i="1"/>
  <c r="R68" i="1"/>
  <c r="S69" i="1"/>
  <c r="R69" i="1"/>
  <c r="Q69" i="1"/>
  <c r="S68" i="1"/>
  <c r="Q68" i="1"/>
  <c r="S67" i="1"/>
  <c r="R67" i="1"/>
  <c r="Q67" i="1"/>
  <c r="S66" i="1"/>
  <c r="R66" i="1"/>
  <c r="Q66" i="1"/>
  <c r="Z123" i="1" l="1"/>
  <c r="Z122" i="1"/>
  <c r="Z113" i="1"/>
  <c r="Z115" i="1"/>
  <c r="AB124" i="1"/>
  <c r="Z120" i="1"/>
  <c r="AB116" i="1"/>
  <c r="Z114" i="1"/>
  <c r="Z121" i="1"/>
  <c r="R70" i="1"/>
  <c r="U68" i="1"/>
  <c r="U69" i="1"/>
  <c r="U67" i="1"/>
  <c r="S70" i="1"/>
  <c r="Q70" i="1"/>
  <c r="U66" i="1"/>
  <c r="Z124" i="1" l="1"/>
  <c r="Z116" i="1"/>
  <c r="U70" i="1"/>
  <c r="S23" i="1" l="1"/>
  <c r="R23" i="1"/>
  <c r="Q23" i="1"/>
  <c r="U23" i="1" s="1"/>
  <c r="S22" i="1"/>
  <c r="R22" i="1"/>
  <c r="Q22" i="1"/>
  <c r="S21" i="1"/>
  <c r="R21" i="1"/>
  <c r="Q21" i="1"/>
  <c r="U21" i="1" l="1"/>
  <c r="Q24" i="1"/>
  <c r="R24" i="1"/>
  <c r="S24" i="1"/>
  <c r="U22" i="1"/>
  <c r="U24" i="1" l="1"/>
  <c r="N2" i="1"/>
  <c r="N1" i="1"/>
</calcChain>
</file>

<file path=xl/sharedStrings.xml><?xml version="1.0" encoding="utf-8"?>
<sst xmlns="http://schemas.openxmlformats.org/spreadsheetml/2006/main" count="304" uniqueCount="153">
  <si>
    <t>Answer question here.</t>
  </si>
  <si>
    <t>(a)</t>
  </si>
  <si>
    <t>(b)</t>
  </si>
  <si>
    <t>(1 point)</t>
  </si>
  <si>
    <t>Show all work including formulas in the workspace provided to the right (in Excel).</t>
  </si>
  <si>
    <t>(c)</t>
  </si>
  <si>
    <t>(d)</t>
  </si>
  <si>
    <t>(e)</t>
  </si>
  <si>
    <t>You are given:</t>
  </si>
  <si>
    <t>Value</t>
  </si>
  <si>
    <t>Key Rate Durations</t>
  </si>
  <si>
    <r>
      <t>Short-term D</t>
    </r>
    <r>
      <rPr>
        <vertAlign val="subscript"/>
        <sz val="12"/>
        <color theme="1"/>
        <rFont val="Times New Roman"/>
        <family val="1"/>
      </rPr>
      <t>1</t>
    </r>
  </si>
  <si>
    <r>
      <t>Medium-term D</t>
    </r>
    <r>
      <rPr>
        <vertAlign val="subscript"/>
        <sz val="12"/>
        <color theme="1"/>
        <rFont val="Times New Roman"/>
        <family val="1"/>
      </rPr>
      <t>2</t>
    </r>
  </si>
  <si>
    <r>
      <t>Long-term D</t>
    </r>
    <r>
      <rPr>
        <vertAlign val="subscript"/>
        <sz val="12"/>
        <color theme="1"/>
        <rFont val="Times New Roman"/>
        <family val="1"/>
      </rPr>
      <t>3</t>
    </r>
  </si>
  <si>
    <t>Short-term bond fund</t>
  </si>
  <si>
    <t>Long-term bond fund</t>
  </si>
  <si>
    <t>Equities</t>
  </si>
  <si>
    <t>Key rate 1</t>
  </si>
  <si>
    <t>Key rate 2</t>
  </si>
  <si>
    <t>Key rate 3</t>
  </si>
  <si>
    <t>Eff duration</t>
  </si>
  <si>
    <t>Formula = -Price * Duration * Shift</t>
  </si>
  <si>
    <t>Effective duration D = sum of key rate durations D(i)</t>
  </si>
  <si>
    <t>Key rate duration of a portfolio = value-weighted average of the key rate durations of the component securities</t>
  </si>
  <si>
    <t>= w(1) D(I,1) + w(2) D(I,2) + …</t>
  </si>
  <si>
    <t>where w = V/V based on proportional values of securities</t>
  </si>
  <si>
    <t>15 year zero coupon bonds</t>
  </si>
  <si>
    <t>(2 points)</t>
  </si>
  <si>
    <t>Plan Liabilities</t>
  </si>
  <si>
    <t>Active participants</t>
  </si>
  <si>
    <t>Vested terminated participants</t>
  </si>
  <si>
    <t>Retired participants</t>
  </si>
  <si>
    <t>Total</t>
  </si>
  <si>
    <t xml:space="preserve">Calculate the key rate durations and the total effective duration of the asset portfolio.  </t>
  </si>
  <si>
    <t xml:space="preserve">Calculate the key rate durations and the total effective duration for the plan liabilities.  </t>
  </si>
  <si>
    <t xml:space="preserve">Weight (actives) = 10m/(10m+5m+7m) = </t>
  </si>
  <si>
    <t xml:space="preserve">Weight (vested terms) = 5m/(10m+5m+7m) = </t>
  </si>
  <si>
    <t>Key rate 1 = Weight (actives) * Key rate (actives, D1)  + Weight (vested terms) * Key rate (vested terms, D1) + Weight (retirees) * Key rate (retirees, D1)</t>
  </si>
  <si>
    <t>Key rate 1 = .4545* 2  + .2273 * 0 + .3182 * 7</t>
  </si>
  <si>
    <t>Key rate 2 = Weight (actives) * Key rate (actives, D2)  + Weight (vested terms) * Key rate (vested terms, D2) + Weight (retirees) * Key rate (retirees, D2)</t>
  </si>
  <si>
    <t>Key rate 2 = .4545* 6  + .2273 * 8 + .3182 * 2</t>
  </si>
  <si>
    <t>Key rate 3 = Weight (actives) * Key rate (actives, D3)  + Weight (vested terms) * Key rate (vested terms, D3) + Weight (retirees) * Key rate (retirees, D3)</t>
  </si>
  <si>
    <t>Key rate 3 = .4545* 12  + .2273 * 4 + .3182 * 0</t>
  </si>
  <si>
    <t>Effective duration D = 3.14 + 5.18 + 6.36</t>
  </si>
  <si>
    <t xml:space="preserve">Weight (retirees) = 7m/(10m+5m+7m) = </t>
  </si>
  <si>
    <t>Key rate 1 = Weight (equities) * Key rate (equities, D1) +Weight (short-term) * Key rate (short-term,D1) + Weight (15 year zero) * Key rate (15 year zero, D1) + Weight (long-term) * Key rate (long-term, D1)</t>
  </si>
  <si>
    <t>Key rate 2 = Weight (equities) * Key rate (equities, D2) +Weight (short-term) * Key rate (short-term,D2) + Weight (15 year zero) * Key rate (15 year zero, D2) + Weight (long-term) * Key rate (long-term, D2)</t>
  </si>
  <si>
    <t>Key rate 3 = Weight (equities) * Key rate (equities, D3) +Weight (short-term) * Key rate (short-term,D3) + Weight (15 year zero) * Key rate (15 year zero, D3) + Weight (long-term) * Key rate (long-term, D3)</t>
  </si>
  <si>
    <t xml:space="preserve">Weight (equities) = 12m/(12m+3m+5m+7m) = </t>
  </si>
  <si>
    <t xml:space="preserve">Weight (short-term bond fund) = 3m/(12m+3m+5m+7m) = </t>
  </si>
  <si>
    <t xml:space="preserve">Weight (15 year zero coupon bonds) = 5m/(12m+3m+5m+7m) = </t>
  </si>
  <si>
    <t xml:space="preserve">Weight (long-term bond fund) = 7m/(12m+3m+5m+7m) =  </t>
  </si>
  <si>
    <t>For zero-coupon bond, key rate equals effective duration of the bond</t>
  </si>
  <si>
    <t>Effective duration D = .56 + 3.81 + 5.70</t>
  </si>
  <si>
    <t>Key rate 1 = (10M * 2 + 5M * 0 + 7M * 7)/(10M + 5M + 7M)</t>
  </si>
  <si>
    <t>Key rate 2 = (10M * 6 + 5M * 8 + 7M * 2)/(10M + 5M + 7M)</t>
  </si>
  <si>
    <t>Key rate 3 = (10M * 12 + 5M * 4 + 7M * 0)/(10M + 5M + 7M)</t>
  </si>
  <si>
    <t>Key rate 1 = (12M * 0 + 3M * 5 + 5M * 0 + 7M * 0)/(12M + 3M + 5M + 7M)</t>
  </si>
  <si>
    <t>Key rate 3 = .4444*0  + .1111 * 0 + .1852 *0 + .2593 * 22</t>
  </si>
  <si>
    <t>Key rate 2 = .4444* 0  + .1111 * 0 + .1852 * 15 + .2593 * 4</t>
  </si>
  <si>
    <t>Key rate 1 = .4444* 0  + .1111 * 5 + .1852 * 0 + .2593 * 0</t>
  </si>
  <si>
    <t>Key rate 2 = (12M * 0 + 3M * 0 + 5M * 15 + 7M * 4)/(12M + 3M + 5M + 7M)</t>
  </si>
  <si>
    <t>Key rate 3 = (12M * 0 + 3M * 0 + 5M * 0 + 7M * 22)/(12M + 3M + 5M + 7M)</t>
  </si>
  <si>
    <t>part (b)</t>
  </si>
  <si>
    <t>part (c)</t>
  </si>
  <si>
    <t>Plan liabilities</t>
  </si>
  <si>
    <t>Current portfolio</t>
  </si>
  <si>
    <t>Actives</t>
  </si>
  <si>
    <t>Vested terms</t>
  </si>
  <si>
    <t>Retirees</t>
  </si>
  <si>
    <t>Alternative calculation (also see table to right)</t>
  </si>
  <si>
    <t>-$10M * (0.0 * 2 / 100 +  0.4 * 6 / 100 + 0.9 * 12/100)</t>
  </si>
  <si>
    <t>-$5M * (0.0 * 0 / 100 +  0.4 * 8 / 100 + 0.9 * 4/100)</t>
  </si>
  <si>
    <t>-$7M * (0.0 * 7 / 100 +  0.4 * 2 / 100 + 0.9 * 0/100)</t>
  </si>
  <si>
    <t>-$10M * ((1 + 2/100)^0 – 1) + ((1 + 6/100)^.4 – 1) + ((1 + 12/100)^.9 – 1))</t>
  </si>
  <si>
    <t>-$12M * (0.0 * 0 / 100 +  0.4 * 0 / 100 + 0.9 * 0/100)</t>
  </si>
  <si>
    <t>-$3M * (0.0 * 5 / 100 +  0.4 * 0 / 100 + 0.9 * 0/100)</t>
  </si>
  <si>
    <t>-$5M * (0.0 * 0 / 100 +  0.4 * 15 / 100 + 0.9 * 0/100)</t>
  </si>
  <si>
    <t>-$7M * (0.0 * 0 / 100 +  0.4 * 4 / 100 + 0.9 * 22/100)</t>
  </si>
  <si>
    <t>-$12M * ((1 + 0/100)^0 – 1) + ((1 + 0/100)^.4 – 1) + ((1 + 0/100)^.9 – 1))</t>
  </si>
  <si>
    <t>-$3M * ((1 + 5/100)^0 – 1) + ((1 + 0/100)^.4 – 1) + ((1 + 0/100)^.9 – 1))</t>
  </si>
  <si>
    <t>-$5M * ((1 + 0/100)^0 – 1) + ((1 + 15/100)^.4 – 1) + ((1 + 0/100)^.9 – 1))</t>
  </si>
  <si>
    <t>-$7M * ((1 + 0/100)^0 – 1) + ((1 + 4/100)^.4 – 1) + ((1 + 22/100)^.9 – 1))</t>
  </si>
  <si>
    <t>-$10M * (0.65 * 20 / 100)</t>
  </si>
  <si>
    <t>-$5M * (0.65 * 12 / 100)</t>
  </si>
  <si>
    <t>-$7M * (0.65 * 9 / 100)</t>
  </si>
  <si>
    <t>-$10M * ((1 + 20/100)^.65 – 1))</t>
  </si>
  <si>
    <t>-$5M * ((1 + 12/100)^.65 – 1))</t>
  </si>
  <si>
    <t>-$7M * ((1 + 9/100)^.65 – 1))</t>
  </si>
  <si>
    <t>-$12M * (0.65 * 0 / 100)</t>
  </si>
  <si>
    <t>-$3M * (0.65 * 5 / 100)</t>
  </si>
  <si>
    <t>-$5M * (0.65 * 15 / 100)</t>
  </si>
  <si>
    <t>-$7M * (0.65 * 26 / 100)</t>
  </si>
  <si>
    <t>-$12M * ((1 + 0/100)^.65 – 1))</t>
  </si>
  <si>
    <t>-$3M *  ((1 + 5/100)^.65 – 1))</t>
  </si>
  <si>
    <t>-$5M *  ((1 + 15/100)^.65 – 1))</t>
  </si>
  <si>
    <t>-$7M * ((1 + 26/100)^.65 – 1))</t>
  </si>
  <si>
    <t>2+6+12</t>
  </si>
  <si>
    <t>0+8+4</t>
  </si>
  <si>
    <t>7+2+0</t>
  </si>
  <si>
    <t>0+0+0</t>
  </si>
  <si>
    <t>5+0+0</t>
  </si>
  <si>
    <t>0+15+0</t>
  </si>
  <si>
    <t>0+4+22</t>
  </si>
  <si>
    <t>-$5M * ((1 + 0/100)^0 – 1) + ((1 + 8/100)^.4 – 1) + ((1 + 4/100)^.9 – 1))</t>
  </si>
  <si>
    <t>-$7M *((1 + 7/100)^0 – 1) + ((1 + 2/100)^.4 – 1) + ((1 + 0/100)^.9 – 1))</t>
  </si>
  <si>
    <t>parts (d)/(e)</t>
  </si>
  <si>
    <t>Shifted price P* - Initial price P = -P * key rate duration D(i) * shift in key rate duration d(i) = -Price * Duration * Shift</t>
  </si>
  <si>
    <t>Company ABC is the plan sponsor of a defined benefit pension plan and is reviewing its investment strategy.</t>
  </si>
  <si>
    <t>-Short-term rates remain constant</t>
  </si>
  <si>
    <t>Calculate the dollar change in liabilities and assets for an upward parallel shift in the yield curve of 65 basis points.</t>
  </si>
  <si>
    <t>(9 points)</t>
  </si>
  <si>
    <t>The reponse for this portion of the question is to be provided to the right (in Excel).</t>
  </si>
  <si>
    <t>part (a)</t>
  </si>
  <si>
    <t>Describe why Company ABC should consider asset/liability management as opposed to asset-only management.</t>
  </si>
  <si>
    <t>Calculate the dollar change in liabilities and assets if all of the following were to occur simultaneously:</t>
  </si>
  <si>
    <t>-Medium-term rates increase by 40 basis points</t>
  </si>
  <si>
    <t>-Long-term rates increase by 90 basis points</t>
  </si>
  <si>
    <t>The co-movement of assets and liabilities determines the volatility of surplus.</t>
  </si>
  <si>
    <t>Financial forecasting expresses results relative to funded level targets or risk levels providing more pertinent information than asset only analysis.</t>
  </si>
  <si>
    <t>Output of ALM study includes distributions of contributions, pension expense, funded levels etc.</t>
  </si>
  <si>
    <t>Asset that covaries positively with pension liability hedges it and plays an important role in optimal portfolio.</t>
  </si>
  <si>
    <t>Some assets classes perform similar to liabilities (fixed income), some different (equities).</t>
  </si>
  <si>
    <t>LDI strategy  : assets move in line with value of liabilities, funding ratio is protected from volatility due to changes in liabilites.</t>
  </si>
  <si>
    <t>Indeed, as plan sponsors become more interested in reducing risk versus boosting return, they are interested in matching assets</t>
  </si>
  <si>
    <t>with pension liabilities, especially in this case, since Company ABC's pension is currently in a surplus position.</t>
  </si>
  <si>
    <t>Alternative calculation (also see table above)</t>
  </si>
  <si>
    <t>= Effective duration for portfolio</t>
  </si>
  <si>
    <t>Effective duration</t>
  </si>
  <si>
    <t>To protect the plan's funding status, Company ABC should invest in assets that mirror changes in plan liabilities as interest rates change.</t>
  </si>
  <si>
    <t>= Effective duration for the plan</t>
  </si>
  <si>
    <t>=</t>
  </si>
  <si>
    <t>Dollar change in liabilities</t>
  </si>
  <si>
    <t>Dollar change in assets</t>
  </si>
  <si>
    <t xml:space="preserve">(e) </t>
  </si>
  <si>
    <t>Effective durations for each liability/asset</t>
  </si>
  <si>
    <t>= $22M *14,6818/100*-0,65 =</t>
  </si>
  <si>
    <t>= $27M *10,074/100*-0,65 =</t>
  </si>
  <si>
    <t>Alternative calculation using the total effective durations</t>
  </si>
  <si>
    <r>
      <rPr>
        <b/>
        <sz val="11"/>
        <color theme="1"/>
        <rFont val="Times New Roman"/>
        <family val="1"/>
      </rPr>
      <t xml:space="preserve">(e) </t>
    </r>
    <r>
      <rPr>
        <sz val="11"/>
        <color theme="1"/>
        <rFont val="Times New Roman"/>
        <family val="1"/>
      </rPr>
      <t>Parallel shift - increase of 65 basis points</t>
    </r>
  </si>
  <si>
    <r>
      <rPr>
        <b/>
        <sz val="12"/>
        <color theme="1"/>
        <rFont val="Times New Roman"/>
        <family val="1"/>
      </rPr>
      <t xml:space="preserve">(d) </t>
    </r>
    <r>
      <rPr>
        <sz val="12"/>
        <color theme="1"/>
        <rFont val="Times New Roman"/>
        <family val="1"/>
      </rPr>
      <t>Rates increase 0/40/90 basis points</t>
    </r>
  </si>
  <si>
    <t>RETRPIRM Spring 2025</t>
  </si>
  <si>
    <t>Question 1</t>
  </si>
  <si>
    <r>
      <t>Short-term D</t>
    </r>
    <r>
      <rPr>
        <vertAlign val="subscript"/>
        <sz val="12"/>
        <color theme="4" tint="-0.249977111117893"/>
        <rFont val="Times New Roman"/>
        <family val="1"/>
      </rPr>
      <t>1</t>
    </r>
  </si>
  <si>
    <r>
      <t>Medium-term D</t>
    </r>
    <r>
      <rPr>
        <vertAlign val="subscript"/>
        <sz val="12"/>
        <color theme="4" tint="-0.249977111117893"/>
        <rFont val="Times New Roman"/>
        <family val="1"/>
      </rPr>
      <t>2</t>
    </r>
  </si>
  <si>
    <r>
      <t>Long-term D</t>
    </r>
    <r>
      <rPr>
        <vertAlign val="subscript"/>
        <sz val="12"/>
        <color theme="4" tint="-0.249977111117893"/>
        <rFont val="Times New Roman"/>
        <family val="1"/>
      </rPr>
      <t>3</t>
    </r>
  </si>
  <si>
    <t>Active Participants</t>
  </si>
  <si>
    <t>Vested Terminated Participants</t>
  </si>
  <si>
    <t>Retired Participants</t>
  </si>
  <si>
    <t>Asset Portfolio</t>
  </si>
  <si>
    <t>Short-term Bonds</t>
  </si>
  <si>
    <t>15-year Zero Coupon Bonds</t>
  </si>
  <si>
    <t>Long-term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</si>
</sst>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3" formatCode="_(* #,##0.00_);_(* \(#,##0.00\);_(* &quot;-&quot;??_);_(@_)"/>
    <numFmt numFmtId="164" formatCode="#,##0\ &quot;$&quot;_);[Red]\(#,##0\ &quot;$&quot;\)"/>
    <numFmt numFmtId="165" formatCode="_ * #,##0.00_)\ &quot;$&quot;_ ;_ * \(#,##0.00\)\ &quot;$&quot;_ ;_ * &quot;-&quot;??_)\ &quot;$&quot;_ ;_ @_ "/>
    <numFmt numFmtId="166" formatCode="_ * #,##0.00_)_ ;_ * \(#,##0.00\)_ ;_ * &quot;-&quot;??_)_ ;_ @_ "/>
    <numFmt numFmtId="167" formatCode="_(* #,##0_);_(* \(#,##0\);_(* &quot;-&quot;??_);_(@_)"/>
    <numFmt numFmtId="168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4" tint="-0.249977111117893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i/>
      <sz val="12"/>
      <color theme="4" tint="-0.249977111117893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1"/>
    </font>
    <font>
      <u val="singleAccounting"/>
      <sz val="11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u val="singleAccounting"/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vertAlign val="subscript"/>
      <sz val="12"/>
      <color theme="4" tint="-0.249977111117893"/>
      <name val="Times New Roman"/>
      <family val="1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3" fillId="0" borderId="0" xfId="0" applyFont="1"/>
    <xf numFmtId="0" fontId="5" fillId="2" borderId="0" xfId="0" applyFont="1" applyFill="1" applyAlignment="1">
      <alignment horizontal="left"/>
    </xf>
    <xf numFmtId="43" fontId="3" fillId="0" borderId="0" xfId="1" applyFont="1"/>
    <xf numFmtId="167" fontId="3" fillId="0" borderId="0" xfId="1" applyNumberFormat="1" applyFont="1"/>
    <xf numFmtId="43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43" fontId="6" fillId="0" borderId="0" xfId="0" applyNumberFormat="1" applyFont="1"/>
    <xf numFmtId="0" fontId="6" fillId="0" borderId="0" xfId="0" applyFont="1"/>
    <xf numFmtId="0" fontId="8" fillId="0" borderId="0" xfId="0" applyFont="1"/>
    <xf numFmtId="167" fontId="8" fillId="0" borderId="0" xfId="0" applyNumberFormat="1" applyFont="1"/>
    <xf numFmtId="167" fontId="8" fillId="0" borderId="0" xfId="1" applyNumberFormat="1" applyFont="1"/>
    <xf numFmtId="6" fontId="3" fillId="0" borderId="0" xfId="0" applyNumberFormat="1" applyFont="1"/>
    <xf numFmtId="167" fontId="3" fillId="0" borderId="0" xfId="0" applyNumberFormat="1" applyFont="1"/>
    <xf numFmtId="0" fontId="10" fillId="0" borderId="0" xfId="0" applyFont="1"/>
    <xf numFmtId="0" fontId="3" fillId="0" borderId="0" xfId="0" quotePrefix="1" applyFont="1"/>
    <xf numFmtId="0" fontId="6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center"/>
    </xf>
    <xf numFmtId="168" fontId="11" fillId="0" borderId="0" xfId="1" applyNumberFormat="1" applyFont="1" applyFill="1"/>
    <xf numFmtId="0" fontId="3" fillId="0" borderId="0" xfId="0" quotePrefix="1" applyFont="1" applyAlignment="1">
      <alignment horizontal="right"/>
    </xf>
    <xf numFmtId="167" fontId="12" fillId="0" borderId="0" xfId="1" applyNumberFormat="1" applyFont="1"/>
    <xf numFmtId="167" fontId="13" fillId="0" borderId="0" xfId="1" applyNumberFormat="1" applyFont="1"/>
    <xf numFmtId="167" fontId="13" fillId="0" borderId="0" xfId="0" applyNumberFormat="1" applyFont="1"/>
    <xf numFmtId="0" fontId="3" fillId="0" borderId="0" xfId="1" applyNumberFormat="1" applyFont="1"/>
    <xf numFmtId="0" fontId="3" fillId="0" borderId="10" xfId="1" applyNumberFormat="1" applyFont="1" applyBorder="1"/>
    <xf numFmtId="0" fontId="11" fillId="0" borderId="0" xfId="0" applyFont="1"/>
    <xf numFmtId="0" fontId="11" fillId="0" borderId="0" xfId="0" quotePrefix="1" applyFont="1"/>
    <xf numFmtId="167" fontId="11" fillId="0" borderId="0" xfId="1" applyNumberFormat="1" applyFont="1" applyFill="1"/>
    <xf numFmtId="167" fontId="11" fillId="0" borderId="0" xfId="1" quotePrefix="1" applyNumberFormat="1" applyFont="1" applyFill="1"/>
    <xf numFmtId="167" fontId="11" fillId="0" borderId="0" xfId="0" applyNumberFormat="1" applyFont="1"/>
    <xf numFmtId="167" fontId="11" fillId="0" borderId="0" xfId="1" quotePrefix="1" applyNumberFormat="1" applyFont="1" applyFill="1" applyAlignment="1">
      <alignment horizontal="right"/>
    </xf>
    <xf numFmtId="167" fontId="14" fillId="0" borderId="0" xfId="1" quotePrefix="1" applyNumberFormat="1" applyFont="1" applyFill="1"/>
    <xf numFmtId="167" fontId="14" fillId="0" borderId="0" xfId="1" applyNumberFormat="1" applyFont="1" applyFill="1"/>
    <xf numFmtId="0" fontId="15" fillId="0" borderId="0" xfId="0" applyFont="1"/>
    <xf numFmtId="0" fontId="3" fillId="0" borderId="10" xfId="0" applyFont="1" applyBorder="1" applyAlignment="1">
      <alignment vertical="center"/>
    </xf>
    <xf numFmtId="0" fontId="3" fillId="0" borderId="10" xfId="0" applyFont="1" applyBorder="1"/>
    <xf numFmtId="6" fontId="3" fillId="0" borderId="10" xfId="0" applyNumberFormat="1" applyFont="1" applyBorder="1"/>
    <xf numFmtId="0" fontId="3" fillId="0" borderId="10" xfId="0" applyFont="1" applyBorder="1" applyAlignment="1">
      <alignment horizontal="center" vertical="center"/>
    </xf>
    <xf numFmtId="167" fontId="6" fillId="0" borderId="0" xfId="0" applyNumberFormat="1" applyFont="1"/>
    <xf numFmtId="1" fontId="3" fillId="0" borderId="0" xfId="1" applyNumberFormat="1" applyFont="1"/>
    <xf numFmtId="1" fontId="3" fillId="0" borderId="10" xfId="1" applyNumberFormat="1" applyFont="1" applyBorder="1"/>
    <xf numFmtId="167" fontId="9" fillId="0" borderId="0" xfId="1" applyNumberFormat="1" applyFont="1"/>
    <xf numFmtId="167" fontId="9" fillId="0" borderId="0" xfId="0" applyNumberFormat="1" applyFont="1"/>
    <xf numFmtId="0" fontId="11" fillId="0" borderId="0" xfId="0" quotePrefix="1" applyFont="1" applyAlignment="1">
      <alignment horizontal="right"/>
    </xf>
    <xf numFmtId="167" fontId="16" fillId="0" borderId="0" xfId="0" applyNumberFormat="1" applyFont="1"/>
    <xf numFmtId="0" fontId="16" fillId="0" borderId="0" xfId="0" applyFont="1"/>
    <xf numFmtId="2" fontId="16" fillId="0" borderId="0" xfId="0" applyNumberFormat="1" applyFont="1"/>
    <xf numFmtId="2" fontId="11" fillId="0" borderId="0" xfId="0" applyNumberFormat="1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0" xfId="0" applyFont="1" applyBorder="1"/>
    <xf numFmtId="0" fontId="4" fillId="2" borderId="0" xfId="0" applyFont="1" applyFill="1"/>
    <xf numFmtId="0" fontId="5" fillId="2" borderId="0" xfId="0" applyFont="1" applyFill="1"/>
    <xf numFmtId="0" fontId="2" fillId="2" borderId="0" xfId="0" quotePrefix="1" applyFont="1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18" fillId="2" borderId="0" xfId="0" applyFont="1" applyFill="1"/>
    <xf numFmtId="9" fontId="2" fillId="2" borderId="0" xfId="2" applyFont="1" applyFill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5">
    <cellStyle name="Comma" xfId="1" builtinId="3"/>
    <cellStyle name="Milliers 2" xfId="3" xr:uid="{1C93DDC9-0894-47E4-ACFC-6A5B2C45546C}"/>
    <cellStyle name="Monétaire 2" xfId="4" xr:uid="{3543EEC8-38FA-497A-A487-D9444D3BA3FD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8"/>
  <sheetViews>
    <sheetView tabSelected="1" topLeftCell="G1" zoomScale="65" zoomScaleNormal="78" zoomScaleSheetLayoutView="78" workbookViewId="0">
      <selection activeCell="R15" sqref="R15"/>
    </sheetView>
  </sheetViews>
  <sheetFormatPr defaultColWidth="8.88671875" defaultRowHeight="15.6" x14ac:dyDescent="0.3"/>
  <cols>
    <col min="2" max="2" width="8.77734375" customWidth="1"/>
    <col min="4" max="4" width="34.77734375" customWidth="1"/>
    <col min="5" max="5" width="13.77734375" customWidth="1"/>
    <col min="6" max="6" width="10.6640625" customWidth="1"/>
    <col min="7" max="7" width="13.21875" customWidth="1"/>
    <col min="8" max="8" width="12.21875" customWidth="1"/>
    <col min="9" max="9" width="11.21875" customWidth="1"/>
    <col min="10" max="10" width="12" customWidth="1"/>
    <col min="11" max="11" width="11.88671875" bestFit="1" customWidth="1"/>
    <col min="12" max="12" width="16.21875" customWidth="1"/>
    <col min="13" max="13" width="11.88671875" bestFit="1" customWidth="1"/>
    <col min="14" max="14" width="9" style="2" customWidth="1"/>
    <col min="15" max="15" width="10.77734375" style="2" customWidth="1"/>
    <col min="16" max="16" width="8.88671875" style="2"/>
    <col min="17" max="17" width="15.33203125" style="2" customWidth="1"/>
    <col min="18" max="18" width="14.77734375" style="2" customWidth="1"/>
    <col min="19" max="19" width="14.5546875" style="2" customWidth="1"/>
    <col min="20" max="20" width="13.6640625" style="2" customWidth="1"/>
    <col min="21" max="21" width="13.33203125" style="2" customWidth="1"/>
    <col min="22" max="24" width="13.21875" style="2" customWidth="1"/>
    <col min="25" max="25" width="14.21875" style="2" customWidth="1"/>
    <col min="26" max="26" width="13.21875" style="2" customWidth="1"/>
    <col min="27" max="27" width="10.44140625" bestFit="1" customWidth="1"/>
    <col min="28" max="28" width="15.44140625" customWidth="1"/>
  </cols>
  <sheetData>
    <row r="1" spans="1:15" x14ac:dyDescent="0.3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tr">
        <f>A1</f>
        <v>RETRPIRM Spring 2025</v>
      </c>
    </row>
    <row r="2" spans="1:15" x14ac:dyDescent="0.3">
      <c r="A2" s="1" t="s">
        <v>142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tr">
        <f>A2</f>
        <v>Question 1</v>
      </c>
    </row>
    <row r="3" spans="1:15" x14ac:dyDescent="0.3">
      <c r="A3" s="5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x14ac:dyDescent="0.3">
      <c r="A4" s="54"/>
      <c r="B4" s="55" t="s">
        <v>111</v>
      </c>
      <c r="C4" s="1"/>
      <c r="D4" s="1" t="s">
        <v>108</v>
      </c>
      <c r="E4" s="1"/>
      <c r="F4" s="1"/>
      <c r="G4" s="1"/>
      <c r="H4" s="1"/>
      <c r="I4" s="1"/>
      <c r="J4" s="1"/>
      <c r="K4" s="1"/>
      <c r="L4" s="1"/>
      <c r="M4" s="1"/>
      <c r="N4" s="2" t="s">
        <v>0</v>
      </c>
    </row>
    <row r="5" spans="1:15" x14ac:dyDescent="0.3">
      <c r="A5" s="54"/>
      <c r="B5" s="55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6.2" thickBot="1" x14ac:dyDescent="0.35">
      <c r="A6" s="1"/>
      <c r="B6" s="1"/>
      <c r="C6" s="1"/>
      <c r="D6" s="1" t="s">
        <v>8</v>
      </c>
      <c r="E6" s="1"/>
      <c r="F6" s="1"/>
      <c r="G6" s="1"/>
      <c r="H6" s="1"/>
      <c r="I6" s="1"/>
      <c r="J6" s="1"/>
      <c r="K6" s="1"/>
      <c r="L6" s="1"/>
      <c r="M6" s="1"/>
    </row>
    <row r="7" spans="1:15" ht="15.45" customHeight="1" thickBot="1" x14ac:dyDescent="0.35">
      <c r="A7" s="1"/>
      <c r="B7" s="1"/>
      <c r="C7" s="1"/>
      <c r="D7" s="66" t="s">
        <v>28</v>
      </c>
      <c r="E7" s="66" t="s">
        <v>9</v>
      </c>
      <c r="F7" s="68" t="s">
        <v>10</v>
      </c>
      <c r="G7" s="69"/>
      <c r="H7" s="70"/>
      <c r="I7" s="1"/>
      <c r="J7" s="1"/>
      <c r="K7" s="1"/>
      <c r="L7" s="1"/>
      <c r="M7" s="1"/>
    </row>
    <row r="8" spans="1:15" ht="34.200000000000003" thickBot="1" x14ac:dyDescent="0.35">
      <c r="A8" s="1"/>
      <c r="B8" s="1"/>
      <c r="C8" s="1"/>
      <c r="D8" s="67"/>
      <c r="E8" s="67"/>
      <c r="F8" s="57" t="s">
        <v>143</v>
      </c>
      <c r="G8" s="57" t="s">
        <v>144</v>
      </c>
      <c r="H8" s="57" t="s">
        <v>145</v>
      </c>
      <c r="I8" s="1"/>
      <c r="J8" s="1"/>
      <c r="K8" s="1"/>
      <c r="L8" s="1"/>
      <c r="M8" s="1"/>
    </row>
    <row r="9" spans="1:15" ht="16.2" thickBot="1" x14ac:dyDescent="0.35">
      <c r="A9" s="1"/>
      <c r="B9" s="1"/>
      <c r="C9" s="1"/>
      <c r="D9" s="58" t="s">
        <v>146</v>
      </c>
      <c r="E9" s="59">
        <v>10000000</v>
      </c>
      <c r="F9" s="57">
        <v>2</v>
      </c>
      <c r="G9" s="57">
        <v>6</v>
      </c>
      <c r="H9" s="57">
        <v>12</v>
      </c>
      <c r="I9" s="62"/>
      <c r="J9" s="1"/>
      <c r="K9" s="1"/>
      <c r="L9" s="1"/>
      <c r="M9" s="1"/>
      <c r="N9" s="11" t="s">
        <v>113</v>
      </c>
      <c r="O9" s="2" t="s">
        <v>122</v>
      </c>
    </row>
    <row r="10" spans="1:15" ht="16.2" thickBot="1" x14ac:dyDescent="0.35">
      <c r="A10" s="1"/>
      <c r="B10" s="1"/>
      <c r="C10" s="1"/>
      <c r="D10" s="58" t="s">
        <v>147</v>
      </c>
      <c r="E10" s="59">
        <v>5000000</v>
      </c>
      <c r="F10" s="57">
        <v>0</v>
      </c>
      <c r="G10" s="57">
        <v>8</v>
      </c>
      <c r="H10" s="57">
        <v>4</v>
      </c>
      <c r="I10" s="62"/>
      <c r="J10" s="1"/>
      <c r="K10" s="1"/>
      <c r="L10" s="1"/>
      <c r="M10" s="1"/>
      <c r="O10" s="2" t="s">
        <v>118</v>
      </c>
    </row>
    <row r="11" spans="1:15" ht="16.2" thickBot="1" x14ac:dyDescent="0.35">
      <c r="A11" s="1"/>
      <c r="B11" s="1"/>
      <c r="C11" s="1"/>
      <c r="D11" s="58" t="s">
        <v>148</v>
      </c>
      <c r="E11" s="59">
        <v>7000000</v>
      </c>
      <c r="F11" s="57">
        <v>7</v>
      </c>
      <c r="G11" s="57">
        <v>2</v>
      </c>
      <c r="H11" s="57">
        <v>0</v>
      </c>
      <c r="I11" s="62"/>
      <c r="J11" s="1"/>
      <c r="K11" s="1"/>
      <c r="L11" s="1"/>
      <c r="M11" s="1"/>
      <c r="O11" s="2" t="s">
        <v>119</v>
      </c>
    </row>
    <row r="12" spans="1:15" ht="16.2" thickBot="1" x14ac:dyDescent="0.35">
      <c r="A12" s="1"/>
      <c r="B12" s="1"/>
      <c r="C12" s="1"/>
      <c r="D12" s="60"/>
      <c r="E12" s="61"/>
      <c r="F12" s="61"/>
      <c r="G12" s="61"/>
      <c r="H12" s="61"/>
      <c r="I12" s="1"/>
      <c r="J12" s="1"/>
      <c r="K12" s="1"/>
      <c r="L12" s="1"/>
      <c r="M12" s="1"/>
      <c r="O12" s="2" t="s">
        <v>120</v>
      </c>
    </row>
    <row r="13" spans="1:15" ht="15.45" customHeight="1" thickBot="1" x14ac:dyDescent="0.35">
      <c r="A13" s="1"/>
      <c r="B13" s="1"/>
      <c r="C13" s="1"/>
      <c r="D13" s="66" t="s">
        <v>149</v>
      </c>
      <c r="E13" s="66" t="s">
        <v>9</v>
      </c>
      <c r="F13" s="68" t="s">
        <v>10</v>
      </c>
      <c r="G13" s="69"/>
      <c r="H13" s="70"/>
      <c r="I13" s="1"/>
      <c r="J13" s="1"/>
      <c r="K13" s="1"/>
      <c r="L13" s="1"/>
      <c r="M13" s="1"/>
      <c r="O13" s="2" t="s">
        <v>121</v>
      </c>
    </row>
    <row r="14" spans="1:15" ht="16.05" customHeight="1" thickBot="1" x14ac:dyDescent="0.35">
      <c r="A14" s="1"/>
      <c r="B14" s="1"/>
      <c r="C14" s="1"/>
      <c r="D14" s="67"/>
      <c r="E14" s="67"/>
      <c r="F14" s="57" t="s">
        <v>143</v>
      </c>
      <c r="G14" s="57" t="s">
        <v>144</v>
      </c>
      <c r="H14" s="57" t="s">
        <v>145</v>
      </c>
      <c r="I14" s="1"/>
      <c r="J14" s="1"/>
      <c r="K14" s="1"/>
      <c r="L14" s="1"/>
      <c r="M14" s="1"/>
      <c r="O14" s="2" t="s">
        <v>129</v>
      </c>
    </row>
    <row r="15" spans="1:15" ht="16.2" thickBot="1" x14ac:dyDescent="0.35">
      <c r="A15" s="1"/>
      <c r="B15" s="1"/>
      <c r="C15" s="1"/>
      <c r="D15" s="58" t="s">
        <v>16</v>
      </c>
      <c r="E15" s="59">
        <v>12000000</v>
      </c>
      <c r="F15" s="57">
        <v>0</v>
      </c>
      <c r="G15" s="57">
        <v>0</v>
      </c>
      <c r="H15" s="57">
        <v>0</v>
      </c>
      <c r="I15" s="62"/>
      <c r="J15" s="1"/>
      <c r="K15" s="1"/>
      <c r="L15" s="1"/>
      <c r="M15" s="1"/>
      <c r="O15" s="2" t="s">
        <v>124</v>
      </c>
    </row>
    <row r="16" spans="1:15" ht="16.2" thickBot="1" x14ac:dyDescent="0.35">
      <c r="A16" s="1"/>
      <c r="B16" s="1"/>
      <c r="C16" s="1"/>
      <c r="D16" s="58" t="s">
        <v>150</v>
      </c>
      <c r="E16" s="59">
        <v>3000000</v>
      </c>
      <c r="F16" s="57">
        <v>5</v>
      </c>
      <c r="G16" s="57">
        <v>0</v>
      </c>
      <c r="H16" s="57">
        <v>0</v>
      </c>
      <c r="I16" s="62"/>
      <c r="J16" s="1"/>
      <c r="K16" s="1"/>
      <c r="L16" s="1"/>
      <c r="M16" s="1"/>
      <c r="O16" s="2" t="s">
        <v>125</v>
      </c>
    </row>
    <row r="17" spans="1:22" ht="16.2" thickBot="1" x14ac:dyDescent="0.35">
      <c r="A17" s="1"/>
      <c r="B17" s="1"/>
      <c r="C17" s="1"/>
      <c r="D17" s="58" t="s">
        <v>151</v>
      </c>
      <c r="E17" s="59">
        <v>5000000</v>
      </c>
      <c r="F17" s="57">
        <v>0</v>
      </c>
      <c r="G17" s="57">
        <v>15</v>
      </c>
      <c r="H17" s="57">
        <v>0</v>
      </c>
      <c r="I17" s="62"/>
      <c r="J17" s="1"/>
      <c r="K17" s="1"/>
      <c r="L17" s="1"/>
      <c r="M17" s="1"/>
      <c r="O17" s="2" t="s">
        <v>123</v>
      </c>
    </row>
    <row r="18" spans="1:22" ht="16.2" thickBot="1" x14ac:dyDescent="0.35">
      <c r="A18" s="1"/>
      <c r="B18" s="1"/>
      <c r="C18" s="1"/>
      <c r="D18" s="58" t="s">
        <v>152</v>
      </c>
      <c r="E18" s="59">
        <v>7000000</v>
      </c>
      <c r="F18" s="57">
        <v>0</v>
      </c>
      <c r="G18" s="57">
        <v>4</v>
      </c>
      <c r="H18" s="57">
        <v>22</v>
      </c>
      <c r="I18" s="62"/>
      <c r="J18" s="1"/>
      <c r="K18" s="1"/>
      <c r="L18" s="1"/>
      <c r="M18" s="1"/>
    </row>
    <row r="19" spans="1:2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1" t="s">
        <v>63</v>
      </c>
      <c r="Q19" s="19" t="s">
        <v>10</v>
      </c>
      <c r="R19" s="19"/>
      <c r="S19" s="19"/>
    </row>
    <row r="20" spans="1:22" ht="18" x14ac:dyDescent="0.3">
      <c r="A20" s="1"/>
      <c r="B20" s="1" t="s">
        <v>1</v>
      </c>
      <c r="C20" s="55" t="s">
        <v>3</v>
      </c>
      <c r="D20" s="1" t="s">
        <v>114</v>
      </c>
      <c r="E20" s="1"/>
      <c r="F20" s="1"/>
      <c r="G20" s="1"/>
      <c r="H20" s="1"/>
      <c r="I20" s="1"/>
      <c r="J20" s="1"/>
      <c r="K20" s="1"/>
      <c r="L20" s="1"/>
      <c r="M20" s="1"/>
      <c r="Q20" s="8" t="s">
        <v>11</v>
      </c>
      <c r="R20" s="8" t="s">
        <v>12</v>
      </c>
      <c r="S20" s="8" t="s">
        <v>13</v>
      </c>
    </row>
    <row r="21" spans="1:2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7" t="s">
        <v>29</v>
      </c>
      <c r="Q21" s="4">
        <f t="shared" ref="Q21:S23" si="0">+F9*$E9/SUM($E$9:$E$11)</f>
        <v>0.90909090909090906</v>
      </c>
      <c r="R21" s="4">
        <f t="shared" si="0"/>
        <v>2.7272727272727271</v>
      </c>
      <c r="S21" s="4">
        <f t="shared" si="0"/>
        <v>5.4545454545454541</v>
      </c>
      <c r="U21" s="6">
        <f>+SUM(Q21:S21)</f>
        <v>9.0909090909090899</v>
      </c>
    </row>
    <row r="22" spans="1:22" x14ac:dyDescent="0.3">
      <c r="A22" s="1"/>
      <c r="B22" s="1"/>
      <c r="C22" s="1"/>
      <c r="D22" s="63" t="s">
        <v>112</v>
      </c>
      <c r="E22" s="64"/>
      <c r="F22" s="64"/>
      <c r="G22" s="64"/>
      <c r="H22" s="64"/>
      <c r="I22" s="64"/>
      <c r="J22" s="64"/>
      <c r="K22" s="64"/>
      <c r="L22" s="65"/>
      <c r="M22" s="1"/>
      <c r="O22" s="7" t="s">
        <v>30</v>
      </c>
      <c r="Q22" s="4">
        <f t="shared" si="0"/>
        <v>0</v>
      </c>
      <c r="R22" s="4">
        <f t="shared" si="0"/>
        <v>1.8181818181818181</v>
      </c>
      <c r="S22" s="4">
        <f t="shared" si="0"/>
        <v>0.90909090909090906</v>
      </c>
      <c r="U22" s="6">
        <f>+SUM(Q22:S22)</f>
        <v>2.7272727272727271</v>
      </c>
    </row>
    <row r="23" spans="1:22" x14ac:dyDescent="0.3">
      <c r="A23" s="1"/>
      <c r="B23" s="1"/>
      <c r="C23" s="1"/>
      <c r="D23" s="3"/>
      <c r="E23" s="3"/>
      <c r="F23" s="3"/>
      <c r="G23" s="3"/>
      <c r="H23" s="3"/>
      <c r="I23" s="3"/>
      <c r="J23" s="3"/>
      <c r="K23" s="3"/>
      <c r="L23" s="3"/>
      <c r="M23" s="1"/>
      <c r="O23" s="7" t="s">
        <v>31</v>
      </c>
      <c r="Q23" s="4">
        <f t="shared" si="0"/>
        <v>2.2272727272727271</v>
      </c>
      <c r="R23" s="4">
        <f t="shared" si="0"/>
        <v>0.63636363636363635</v>
      </c>
      <c r="S23" s="4">
        <f t="shared" si="0"/>
        <v>0</v>
      </c>
      <c r="U23" s="6">
        <f>+SUM(Q23:S23)</f>
        <v>2.8636363636363633</v>
      </c>
    </row>
    <row r="24" spans="1:22" ht="15.45" customHeight="1" x14ac:dyDescent="0.3">
      <c r="A24" s="1"/>
      <c r="B24" s="1" t="s">
        <v>2</v>
      </c>
      <c r="C24" s="55" t="s">
        <v>27</v>
      </c>
      <c r="D24" s="1" t="s">
        <v>34</v>
      </c>
      <c r="E24" s="1"/>
      <c r="F24" s="1"/>
      <c r="G24" s="1"/>
      <c r="H24" s="1"/>
      <c r="I24" s="1"/>
      <c r="J24" s="1"/>
      <c r="K24" s="1"/>
      <c r="L24" s="1"/>
      <c r="M24" s="1"/>
      <c r="O24" s="7" t="s">
        <v>32</v>
      </c>
      <c r="Q24" s="10">
        <f>+SUM(Q21:Q23)</f>
        <v>3.1363636363636362</v>
      </c>
      <c r="R24" s="10">
        <f>+SUM(R21:R23)</f>
        <v>5.1818181818181817</v>
      </c>
      <c r="S24" s="10">
        <f>+SUM(S21:S23)</f>
        <v>6.3636363636363633</v>
      </c>
      <c r="U24" s="10">
        <f>+SUM(U21:U23)</f>
        <v>14.68181818181818</v>
      </c>
      <c r="V24" s="18" t="s">
        <v>130</v>
      </c>
    </row>
    <row r="25" spans="1:2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7"/>
      <c r="Q25" s="9" t="s">
        <v>17</v>
      </c>
      <c r="R25" s="9" t="s">
        <v>18</v>
      </c>
      <c r="S25" s="9" t="s">
        <v>19</v>
      </c>
    </row>
    <row r="26" spans="1:22" ht="15.45" customHeight="1" x14ac:dyDescent="0.3">
      <c r="A26" s="1"/>
      <c r="B26" s="1"/>
      <c r="C26" s="1"/>
      <c r="D26" s="63" t="s">
        <v>4</v>
      </c>
      <c r="E26" s="64"/>
      <c r="F26" s="64"/>
      <c r="G26" s="64"/>
      <c r="H26" s="64"/>
      <c r="I26" s="64"/>
      <c r="J26" s="64"/>
      <c r="K26" s="64"/>
      <c r="L26" s="65"/>
      <c r="M26" s="1"/>
    </row>
    <row r="27" spans="1:2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22" x14ac:dyDescent="0.3">
      <c r="A28" s="1"/>
      <c r="B28" s="1" t="s">
        <v>5</v>
      </c>
      <c r="C28" s="55" t="s">
        <v>27</v>
      </c>
      <c r="D28" s="1" t="s">
        <v>33</v>
      </c>
      <c r="E28" s="1"/>
      <c r="F28" s="1"/>
      <c r="G28" s="1"/>
      <c r="H28" s="1"/>
      <c r="I28" s="1"/>
      <c r="J28" s="1"/>
      <c r="K28" s="1"/>
      <c r="L28" s="1"/>
      <c r="M28" s="1"/>
      <c r="O28" s="2" t="s">
        <v>23</v>
      </c>
    </row>
    <row r="29" spans="1:22" x14ac:dyDescent="0.3">
      <c r="A29" s="1"/>
      <c r="B29" s="1"/>
      <c r="C29" s="55"/>
      <c r="D29" s="1"/>
      <c r="E29" s="1"/>
      <c r="F29" s="1"/>
      <c r="G29" s="1"/>
      <c r="H29" s="1"/>
      <c r="I29" s="1"/>
      <c r="J29" s="1"/>
      <c r="K29" s="1"/>
      <c r="L29" s="1"/>
      <c r="M29" s="1"/>
      <c r="P29" s="2" t="s">
        <v>24</v>
      </c>
      <c r="T29" s="2" t="s">
        <v>25</v>
      </c>
    </row>
    <row r="30" spans="1:22" x14ac:dyDescent="0.3">
      <c r="A30" s="1"/>
      <c r="B30" s="1"/>
      <c r="C30" s="1"/>
      <c r="D30" s="63" t="s">
        <v>4</v>
      </c>
      <c r="E30" s="64"/>
      <c r="F30" s="64"/>
      <c r="G30" s="64"/>
      <c r="H30" s="64"/>
      <c r="I30" s="64"/>
      <c r="J30" s="64"/>
      <c r="K30" s="64"/>
      <c r="L30" s="65"/>
      <c r="M30" s="1"/>
    </row>
    <row r="31" spans="1:22" x14ac:dyDescent="0.3">
      <c r="A31" s="1"/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1"/>
      <c r="O31" s="2" t="s">
        <v>22</v>
      </c>
    </row>
    <row r="32" spans="1:22" x14ac:dyDescent="0.3">
      <c r="A32" s="1"/>
      <c r="B32" s="1" t="s">
        <v>6</v>
      </c>
      <c r="C32" s="55" t="s">
        <v>27</v>
      </c>
      <c r="D32" s="1" t="s">
        <v>115</v>
      </c>
      <c r="E32" s="1"/>
      <c r="F32" s="1"/>
      <c r="G32" s="1"/>
      <c r="H32" s="1"/>
      <c r="I32" s="1"/>
      <c r="J32" s="1"/>
      <c r="K32" s="1"/>
      <c r="L32" s="1"/>
      <c r="M32" s="1"/>
    </row>
    <row r="33" spans="1:21" x14ac:dyDescent="0.3">
      <c r="A33" s="1"/>
      <c r="B33" s="1"/>
      <c r="C33" s="55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21" x14ac:dyDescent="0.3">
      <c r="A34" s="1"/>
      <c r="B34" s="1"/>
      <c r="C34" s="55"/>
      <c r="D34" s="56" t="s">
        <v>109</v>
      </c>
      <c r="E34" s="1"/>
      <c r="F34" s="1"/>
      <c r="G34" s="1"/>
      <c r="H34" s="1"/>
      <c r="I34" s="1"/>
      <c r="J34" s="1"/>
      <c r="K34" s="1"/>
      <c r="L34" s="1"/>
      <c r="M34" s="1"/>
      <c r="O34" s="2" t="s">
        <v>35</v>
      </c>
      <c r="S34" s="21">
        <f>10/(10+5+7)</f>
        <v>0.45454545454545453</v>
      </c>
    </row>
    <row r="35" spans="1:21" x14ac:dyDescent="0.3">
      <c r="A35" s="1"/>
      <c r="B35" s="1"/>
      <c r="C35" s="55"/>
      <c r="D35" s="56" t="s">
        <v>116</v>
      </c>
      <c r="E35" s="1"/>
      <c r="F35" s="1"/>
      <c r="G35" s="1"/>
      <c r="H35" s="1"/>
      <c r="I35" s="1"/>
      <c r="J35" s="1"/>
      <c r="K35" s="1"/>
      <c r="L35" s="1"/>
      <c r="M35" s="1"/>
      <c r="O35" s="2" t="s">
        <v>36</v>
      </c>
      <c r="S35" s="21">
        <f>5/(10+5+7)</f>
        <v>0.22727272727272727</v>
      </c>
    </row>
    <row r="36" spans="1:21" x14ac:dyDescent="0.3">
      <c r="A36" s="1"/>
      <c r="B36" s="1"/>
      <c r="C36" s="55"/>
      <c r="D36" s="56" t="s">
        <v>117</v>
      </c>
      <c r="E36" s="1"/>
      <c r="F36" s="1"/>
      <c r="G36" s="1"/>
      <c r="H36" s="1"/>
      <c r="I36" s="1"/>
      <c r="J36" s="1"/>
      <c r="K36" s="1"/>
      <c r="L36" s="1"/>
      <c r="M36" s="1"/>
      <c r="O36" s="2" t="s">
        <v>44</v>
      </c>
      <c r="S36" s="21">
        <f>7/(10+5+7)</f>
        <v>0.31818181818181818</v>
      </c>
    </row>
    <row r="37" spans="1:21" x14ac:dyDescent="0.3">
      <c r="A37" s="1"/>
      <c r="B37" s="1"/>
      <c r="C37" s="55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1" x14ac:dyDescent="0.3">
      <c r="A38" s="1"/>
      <c r="B38" s="1"/>
      <c r="C38" s="1"/>
      <c r="D38" s="63" t="s">
        <v>4</v>
      </c>
      <c r="E38" s="64"/>
      <c r="F38" s="64"/>
      <c r="G38" s="64"/>
      <c r="H38" s="64"/>
      <c r="I38" s="64"/>
      <c r="J38" s="64"/>
      <c r="K38" s="64"/>
      <c r="L38" s="65"/>
      <c r="M38" s="1"/>
      <c r="O38" s="17" t="s">
        <v>17</v>
      </c>
    </row>
    <row r="39" spans="1:21" x14ac:dyDescent="0.3">
      <c r="A39" s="1"/>
      <c r="B39" s="1"/>
      <c r="C39" s="1"/>
      <c r="D39" s="3"/>
      <c r="E39" s="3"/>
      <c r="F39" s="3"/>
      <c r="G39" s="3"/>
      <c r="H39" s="3"/>
      <c r="I39" s="3"/>
      <c r="J39" s="3"/>
      <c r="K39" s="3"/>
      <c r="L39" s="3"/>
      <c r="M39" s="1"/>
      <c r="O39" s="2" t="s">
        <v>37</v>
      </c>
    </row>
    <row r="40" spans="1:21" x14ac:dyDescent="0.3">
      <c r="A40" s="1"/>
      <c r="B40" s="1" t="s">
        <v>7</v>
      </c>
      <c r="C40" s="55" t="s">
        <v>27</v>
      </c>
      <c r="D40" s="1" t="s">
        <v>110</v>
      </c>
      <c r="E40" s="1"/>
      <c r="F40" s="1"/>
      <c r="G40" s="1"/>
      <c r="H40" s="1"/>
      <c r="I40" s="1"/>
      <c r="J40" s="1"/>
      <c r="K40" s="1"/>
      <c r="L40" s="1"/>
      <c r="M40" s="1"/>
      <c r="O40" s="2" t="s">
        <v>38</v>
      </c>
      <c r="T40" s="9" t="s">
        <v>131</v>
      </c>
      <c r="U40" s="50">
        <f xml:space="preserve"> 0.4545* 2  + 0.2273 * 0 + 0.3182 * 7</f>
        <v>3.1364000000000001</v>
      </c>
    </row>
    <row r="41" spans="1:2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1" x14ac:dyDescent="0.3">
      <c r="A42" s="1"/>
      <c r="B42" s="1"/>
      <c r="C42" s="1"/>
      <c r="D42" s="63" t="s">
        <v>4</v>
      </c>
      <c r="E42" s="64"/>
      <c r="F42" s="64"/>
      <c r="G42" s="64"/>
      <c r="H42" s="64"/>
      <c r="I42" s="64"/>
      <c r="J42" s="64"/>
      <c r="K42" s="64"/>
      <c r="L42" s="65"/>
      <c r="M42" s="1"/>
      <c r="O42" s="2" t="s">
        <v>126</v>
      </c>
    </row>
    <row r="43" spans="1:21" x14ac:dyDescent="0.3">
      <c r="A43" s="1"/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1"/>
      <c r="O43" s="2" t="s">
        <v>54</v>
      </c>
      <c r="T43" s="9" t="s">
        <v>131</v>
      </c>
      <c r="U43" s="50">
        <f xml:space="preserve"> (10 * 2 + 5 * 0 + 7 * 7)/(10 + 5+7)</f>
        <v>3.1363636363636362</v>
      </c>
    </row>
    <row r="44" spans="1:21" x14ac:dyDescent="0.3">
      <c r="A44" s="1"/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1"/>
    </row>
    <row r="45" spans="1:2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7" t="s">
        <v>18</v>
      </c>
    </row>
    <row r="46" spans="1:2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2" t="s">
        <v>39</v>
      </c>
    </row>
    <row r="47" spans="1:21" x14ac:dyDescent="0.3">
      <c r="O47" s="2" t="s">
        <v>40</v>
      </c>
      <c r="T47" s="9" t="s">
        <v>131</v>
      </c>
      <c r="U47" s="50">
        <f xml:space="preserve"> 0.4545* 6  + 0.2273 * 8 + 0.3182 * 2</f>
        <v>5.1818000000000008</v>
      </c>
    </row>
    <row r="49" spans="14:21" x14ac:dyDescent="0.3">
      <c r="O49" s="2" t="s">
        <v>126</v>
      </c>
    </row>
    <row r="50" spans="14:21" x14ac:dyDescent="0.3">
      <c r="O50" s="2" t="s">
        <v>55</v>
      </c>
      <c r="T50" s="9" t="s">
        <v>131</v>
      </c>
      <c r="U50" s="50">
        <f xml:space="preserve"> (10 * 6 + 5 * 8 + 7 * 2)/(10 + 5+7)</f>
        <v>5.1818181818181817</v>
      </c>
    </row>
    <row r="52" spans="14:21" x14ac:dyDescent="0.3">
      <c r="O52" s="17" t="s">
        <v>19</v>
      </c>
    </row>
    <row r="53" spans="14:21" x14ac:dyDescent="0.3">
      <c r="O53" s="2" t="s">
        <v>41</v>
      </c>
    </row>
    <row r="54" spans="14:21" x14ac:dyDescent="0.3">
      <c r="O54" s="2" t="s">
        <v>42</v>
      </c>
      <c r="T54" s="9" t="s">
        <v>131</v>
      </c>
      <c r="U54" s="50">
        <f xml:space="preserve"> 0.4545* 12  + 0.2273 * 4 + 0.3182 * 0</f>
        <v>6.3632000000000009</v>
      </c>
    </row>
    <row r="56" spans="14:21" x14ac:dyDescent="0.3">
      <c r="O56" s="2" t="s">
        <v>126</v>
      </c>
    </row>
    <row r="57" spans="14:21" x14ac:dyDescent="0.3">
      <c r="O57" s="2" t="s">
        <v>56</v>
      </c>
      <c r="T57" s="9" t="s">
        <v>131</v>
      </c>
      <c r="U57" s="50">
        <f xml:space="preserve"> (10 * 12 + 5 * 4 + 7 * 0)/(10 + 5+7)</f>
        <v>6.3636363636363633</v>
      </c>
    </row>
    <row r="59" spans="14:21" x14ac:dyDescent="0.3">
      <c r="O59" s="17" t="s">
        <v>128</v>
      </c>
    </row>
    <row r="60" spans="14:21" x14ac:dyDescent="0.3">
      <c r="O60" s="2" t="s">
        <v>43</v>
      </c>
      <c r="T60" s="9" t="s">
        <v>131</v>
      </c>
      <c r="U60" s="50">
        <f>U43+U50+U57</f>
        <v>14.681818181818182</v>
      </c>
    </row>
    <row r="64" spans="14:21" x14ac:dyDescent="0.3">
      <c r="N64" s="11" t="s">
        <v>64</v>
      </c>
      <c r="Q64" s="19" t="s">
        <v>10</v>
      </c>
      <c r="R64" s="19"/>
      <c r="S64" s="19"/>
    </row>
    <row r="65" spans="14:22" ht="18" x14ac:dyDescent="0.3">
      <c r="Q65" s="8" t="s">
        <v>11</v>
      </c>
      <c r="R65" s="8" t="s">
        <v>12</v>
      </c>
      <c r="S65" s="8" t="s">
        <v>13</v>
      </c>
    </row>
    <row r="66" spans="14:22" x14ac:dyDescent="0.3">
      <c r="O66" s="7" t="s">
        <v>16</v>
      </c>
      <c r="Q66" s="4">
        <f t="shared" ref="Q66:S67" si="1">+F15*$E15/SUM($E$15:$E$18)</f>
        <v>0</v>
      </c>
      <c r="R66" s="4">
        <f t="shared" si="1"/>
        <v>0</v>
      </c>
      <c r="S66" s="4">
        <f t="shared" si="1"/>
        <v>0</v>
      </c>
      <c r="U66" s="6">
        <f>+SUM(Q66:S66)</f>
        <v>0</v>
      </c>
    </row>
    <row r="67" spans="14:22" x14ac:dyDescent="0.3">
      <c r="O67" s="7" t="s">
        <v>14</v>
      </c>
      <c r="Q67" s="4">
        <f t="shared" si="1"/>
        <v>0.55555555555555558</v>
      </c>
      <c r="R67" s="4">
        <f t="shared" si="1"/>
        <v>0</v>
      </c>
      <c r="S67" s="4">
        <f t="shared" si="1"/>
        <v>0</v>
      </c>
      <c r="U67" s="6">
        <f>+SUM(Q67:S67)</f>
        <v>0.55555555555555558</v>
      </c>
    </row>
    <row r="68" spans="14:22" x14ac:dyDescent="0.3">
      <c r="O68" s="7" t="s">
        <v>26</v>
      </c>
      <c r="Q68" s="4">
        <f>+F17*$E17/SUM($E$15:$E$18)</f>
        <v>0</v>
      </c>
      <c r="R68" s="4">
        <f>15*$E17/SUM($E$15:$E$18)</f>
        <v>2.7777777777777777</v>
      </c>
      <c r="S68" s="4">
        <f>+H17*$E17/SUM($E$15:$E$18)</f>
        <v>0</v>
      </c>
      <c r="U68" s="6">
        <f>+SUM(Q68:S68)</f>
        <v>2.7777777777777777</v>
      </c>
    </row>
    <row r="69" spans="14:22" x14ac:dyDescent="0.3">
      <c r="O69" s="7" t="s">
        <v>15</v>
      </c>
      <c r="Q69" s="4">
        <f>+F18*$E18/SUM($E$15:$E$18)</f>
        <v>0</v>
      </c>
      <c r="R69" s="4">
        <f>+G18*$E18/SUM($E$15:$E$18)</f>
        <v>1.037037037037037</v>
      </c>
      <c r="S69" s="4">
        <f>+H18*$E18/SUM($E$15:$E$18)</f>
        <v>5.7037037037037033</v>
      </c>
      <c r="U69" s="6">
        <f>+SUM(Q69:S69)</f>
        <v>6.7407407407407405</v>
      </c>
    </row>
    <row r="70" spans="14:22" x14ac:dyDescent="0.3">
      <c r="O70" s="7" t="s">
        <v>32</v>
      </c>
      <c r="Q70" s="10">
        <f>+SUM(Q66:Q69)</f>
        <v>0.55555555555555558</v>
      </c>
      <c r="R70" s="10">
        <f>+SUM(R66:R69)</f>
        <v>3.8148148148148149</v>
      </c>
      <c r="S70" s="10">
        <f>+SUM(S66:S69)</f>
        <v>5.7037037037037033</v>
      </c>
      <c r="U70" s="10">
        <f>+SUM(U66:U69)</f>
        <v>10.074074074074073</v>
      </c>
      <c r="V70" s="18" t="s">
        <v>127</v>
      </c>
    </row>
    <row r="71" spans="14:22" x14ac:dyDescent="0.3">
      <c r="N71" s="7"/>
      <c r="Q71" s="9" t="s">
        <v>17</v>
      </c>
      <c r="R71" s="9" t="s">
        <v>18</v>
      </c>
      <c r="S71" s="9" t="s">
        <v>19</v>
      </c>
    </row>
    <row r="74" spans="14:22" x14ac:dyDescent="0.3">
      <c r="O74" s="2" t="s">
        <v>23</v>
      </c>
    </row>
    <row r="75" spans="14:22" x14ac:dyDescent="0.3">
      <c r="P75" s="2" t="s">
        <v>24</v>
      </c>
      <c r="T75" s="2" t="s">
        <v>25</v>
      </c>
    </row>
    <row r="77" spans="14:22" x14ac:dyDescent="0.3">
      <c r="O77" s="2" t="s">
        <v>52</v>
      </c>
    </row>
    <row r="78" spans="14:22" x14ac:dyDescent="0.3">
      <c r="O78" s="2" t="s">
        <v>22</v>
      </c>
    </row>
    <row r="80" spans="14:22" x14ac:dyDescent="0.3">
      <c r="O80" s="2" t="s">
        <v>48</v>
      </c>
      <c r="T80" s="21">
        <f>12/(12+3+5+7)</f>
        <v>0.44444444444444442</v>
      </c>
    </row>
    <row r="81" spans="15:23" x14ac:dyDescent="0.3">
      <c r="O81" s="2" t="s">
        <v>49</v>
      </c>
      <c r="T81" s="21">
        <f>3/(12+3+5+7)</f>
        <v>0.1111111111111111</v>
      </c>
    </row>
    <row r="82" spans="15:23" x14ac:dyDescent="0.3">
      <c r="O82" s="2" t="s">
        <v>50</v>
      </c>
      <c r="T82" s="21">
        <f>5/(12+3+5+7)</f>
        <v>0.18518518518518517</v>
      </c>
    </row>
    <row r="83" spans="15:23" x14ac:dyDescent="0.3">
      <c r="O83" s="2" t="s">
        <v>51</v>
      </c>
      <c r="T83" s="21">
        <f>7/(12+3+5+7)</f>
        <v>0.25925925925925924</v>
      </c>
    </row>
    <row r="85" spans="15:23" x14ac:dyDescent="0.3">
      <c r="O85" s="17" t="s">
        <v>17</v>
      </c>
    </row>
    <row r="86" spans="15:23" ht="17.7" customHeight="1" x14ac:dyDescent="0.3">
      <c r="O86" s="2" t="s">
        <v>45</v>
      </c>
    </row>
    <row r="87" spans="15:23" x14ac:dyDescent="0.3">
      <c r="O87" s="2" t="s">
        <v>60</v>
      </c>
      <c r="U87" s="22" t="s">
        <v>131</v>
      </c>
      <c r="V87" s="49">
        <f xml:space="preserve"> 0.4444* 0  + 0.1111 * 5 + 0.1852 * 0 + 0.2593*0</f>
        <v>0.55549999999999999</v>
      </c>
    </row>
    <row r="88" spans="15:23" x14ac:dyDescent="0.3">
      <c r="U88" s="9"/>
    </row>
    <row r="89" spans="15:23" x14ac:dyDescent="0.3">
      <c r="O89" s="2" t="s">
        <v>126</v>
      </c>
      <c r="Q89" s="9"/>
      <c r="R89" s="9"/>
      <c r="S89" s="9"/>
      <c r="U89" s="9"/>
    </row>
    <row r="90" spans="15:23" x14ac:dyDescent="0.3">
      <c r="O90" s="2" t="s">
        <v>57</v>
      </c>
      <c r="U90" s="22" t="s">
        <v>131</v>
      </c>
      <c r="V90" s="49">
        <f xml:space="preserve"> (12 * 0 + 3 * 5 + 5 * 0 + 7 * 0)/(12 + 3 + 5+7)</f>
        <v>0.55555555555555558</v>
      </c>
    </row>
    <row r="92" spans="15:23" x14ac:dyDescent="0.3">
      <c r="O92" s="17" t="s">
        <v>18</v>
      </c>
    </row>
    <row r="93" spans="15:23" x14ac:dyDescent="0.3">
      <c r="O93" s="2" t="s">
        <v>46</v>
      </c>
    </row>
    <row r="94" spans="15:23" x14ac:dyDescent="0.3">
      <c r="O94" s="2" t="s">
        <v>59</v>
      </c>
      <c r="U94" s="22" t="s">
        <v>131</v>
      </c>
      <c r="V94" s="49">
        <f xml:space="preserve"> 0.4444* 0  + 0.1111 * 0 + 0.18519 * 15 + 0.25926*4</f>
        <v>3.8148900000000001</v>
      </c>
    </row>
    <row r="95" spans="15:23" x14ac:dyDescent="0.3">
      <c r="U95" s="9"/>
      <c r="V95" s="9"/>
      <c r="W95" s="9"/>
    </row>
    <row r="96" spans="15:23" x14ac:dyDescent="0.3">
      <c r="O96" s="2" t="s">
        <v>126</v>
      </c>
      <c r="U96" s="9"/>
      <c r="V96" s="9"/>
      <c r="W96" s="9"/>
    </row>
    <row r="97" spans="14:28" x14ac:dyDescent="0.3">
      <c r="O97" s="2" t="s">
        <v>61</v>
      </c>
      <c r="U97" s="22" t="s">
        <v>131</v>
      </c>
      <c r="V97" s="49">
        <f xml:space="preserve"> (12 * 0 + 3 * 0 + 5 * 15 + 7 * 4)/(12 + 3 + 5+7)</f>
        <v>3.8148148148148149</v>
      </c>
    </row>
    <row r="99" spans="14:28" x14ac:dyDescent="0.3">
      <c r="O99" s="17" t="s">
        <v>19</v>
      </c>
    </row>
    <row r="100" spans="14:28" x14ac:dyDescent="0.3">
      <c r="O100" s="2" t="s">
        <v>47</v>
      </c>
    </row>
    <row r="101" spans="14:28" x14ac:dyDescent="0.3">
      <c r="O101" s="2" t="s">
        <v>58</v>
      </c>
      <c r="U101" s="22" t="s">
        <v>131</v>
      </c>
      <c r="V101" s="49">
        <f xml:space="preserve"> 0.4444* 0  + 0.1111 * 0 + 0.1852 * 0 + 0.2593*22</f>
        <v>5.7045999999999992</v>
      </c>
    </row>
    <row r="102" spans="14:28" x14ac:dyDescent="0.3">
      <c r="U102" s="9"/>
      <c r="V102" s="9"/>
      <c r="W102" s="9"/>
    </row>
    <row r="103" spans="14:28" x14ac:dyDescent="0.3">
      <c r="O103" s="2" t="s">
        <v>126</v>
      </c>
      <c r="U103" s="9"/>
      <c r="V103" s="9"/>
      <c r="W103" s="9"/>
    </row>
    <row r="104" spans="14:28" x14ac:dyDescent="0.3">
      <c r="O104" s="2" t="s">
        <v>62</v>
      </c>
      <c r="U104" s="22" t="s">
        <v>131</v>
      </c>
      <c r="V104" s="49">
        <f xml:space="preserve"> (12 * 0 + 3 * 0 + 5 * 0 + 7 * 22)/(12 + 3 + 5+7)</f>
        <v>5.7037037037037033</v>
      </c>
    </row>
    <row r="106" spans="14:28" x14ac:dyDescent="0.3">
      <c r="O106" s="17" t="s">
        <v>128</v>
      </c>
    </row>
    <row r="107" spans="14:28" x14ac:dyDescent="0.3">
      <c r="O107" s="2" t="s">
        <v>53</v>
      </c>
      <c r="U107" s="22" t="s">
        <v>131</v>
      </c>
      <c r="V107" s="49">
        <f>V90+V97+V104</f>
        <v>10.074074074074073</v>
      </c>
    </row>
    <row r="110" spans="14:28" x14ac:dyDescent="0.3">
      <c r="W110" s="2" t="s">
        <v>21</v>
      </c>
      <c r="AA110" s="12"/>
      <c r="AB110" s="12"/>
    </row>
    <row r="111" spans="14:28" x14ac:dyDescent="0.3">
      <c r="N111" s="11" t="s">
        <v>106</v>
      </c>
      <c r="R111" s="20" t="s">
        <v>10</v>
      </c>
      <c r="S111" s="20"/>
      <c r="T111" s="20"/>
      <c r="U111" s="20"/>
      <c r="W111" s="2" t="s">
        <v>140</v>
      </c>
      <c r="AA111" s="12"/>
      <c r="AB111" s="12" t="s">
        <v>139</v>
      </c>
    </row>
    <row r="112" spans="14:28" ht="18" x14ac:dyDescent="0.3">
      <c r="O112" s="38" t="s">
        <v>65</v>
      </c>
      <c r="P112" s="38"/>
      <c r="Q112" s="38"/>
      <c r="R112" s="40" t="s">
        <v>11</v>
      </c>
      <c r="S112" s="40" t="s">
        <v>12</v>
      </c>
      <c r="T112" s="40" t="s">
        <v>13</v>
      </c>
      <c r="U112" s="38" t="s">
        <v>20</v>
      </c>
      <c r="W112" s="38"/>
      <c r="X112" s="38"/>
      <c r="Y112" s="38"/>
      <c r="Z112" s="38"/>
      <c r="AA112" s="12"/>
      <c r="AB112" s="53"/>
    </row>
    <row r="113" spans="14:28" x14ac:dyDescent="0.3">
      <c r="O113" s="7" t="s">
        <v>29</v>
      </c>
      <c r="Q113" s="15">
        <f t="shared" ref="Q113:T115" si="2">+E9</f>
        <v>10000000</v>
      </c>
      <c r="R113" s="42">
        <f t="shared" si="2"/>
        <v>2</v>
      </c>
      <c r="S113" s="42">
        <f t="shared" si="2"/>
        <v>6</v>
      </c>
      <c r="T113" s="42">
        <f t="shared" si="2"/>
        <v>12</v>
      </c>
      <c r="U113" s="42">
        <f>+SUM(R113:T113)</f>
        <v>20</v>
      </c>
      <c r="W113" s="5">
        <f>-$Q113*R113*0/100</f>
        <v>0</v>
      </c>
      <c r="X113" s="5">
        <f>-$Q113*S113*0.4/100</f>
        <v>-240000</v>
      </c>
      <c r="Y113" s="5">
        <f>-$Q113*T113*0.9/100</f>
        <v>-1080000</v>
      </c>
      <c r="Z113" s="16">
        <f>+SUM(W113:Y113)</f>
        <v>-1320000</v>
      </c>
      <c r="AA113" s="12"/>
      <c r="AB113" s="14">
        <f>-Q113*U113*0.65/100</f>
        <v>-1300000</v>
      </c>
    </row>
    <row r="114" spans="14:28" x14ac:dyDescent="0.3">
      <c r="O114" s="7" t="s">
        <v>30</v>
      </c>
      <c r="Q114" s="15">
        <f t="shared" si="2"/>
        <v>5000000</v>
      </c>
      <c r="R114" s="42">
        <f t="shared" si="2"/>
        <v>0</v>
      </c>
      <c r="S114" s="42">
        <f t="shared" si="2"/>
        <v>8</v>
      </c>
      <c r="T114" s="42">
        <f t="shared" si="2"/>
        <v>4</v>
      </c>
      <c r="U114" s="42">
        <f>+SUM(R114:T114)</f>
        <v>12</v>
      </c>
      <c r="W114" s="5">
        <f>-$Q114*R114*0/100</f>
        <v>0</v>
      </c>
      <c r="X114" s="5">
        <f>-$Q114*S114*0.4/100</f>
        <v>-160000</v>
      </c>
      <c r="Y114" s="5">
        <f>-$Q114*T114*0.9/100</f>
        <v>-180000</v>
      </c>
      <c r="Z114" s="16">
        <f>+SUM(W114:Y114)</f>
        <v>-340000</v>
      </c>
      <c r="AA114" s="12"/>
      <c r="AB114" s="14">
        <f>-Q114*U114*0.65/100</f>
        <v>-390000</v>
      </c>
    </row>
    <row r="115" spans="14:28" ht="17.399999999999999" x14ac:dyDescent="0.45">
      <c r="O115" s="37" t="s">
        <v>31</v>
      </c>
      <c r="P115" s="38"/>
      <c r="Q115" s="39">
        <f t="shared" si="2"/>
        <v>7000000</v>
      </c>
      <c r="R115" s="43">
        <f t="shared" si="2"/>
        <v>7</v>
      </c>
      <c r="S115" s="43">
        <f t="shared" si="2"/>
        <v>2</v>
      </c>
      <c r="T115" s="43">
        <f t="shared" si="2"/>
        <v>0</v>
      </c>
      <c r="U115" s="43">
        <f>+SUM(R115:T115)</f>
        <v>9</v>
      </c>
      <c r="W115" s="24">
        <f>-$Q115*R115*0/100</f>
        <v>0</v>
      </c>
      <c r="X115" s="24">
        <f>-$Q115*S115*0.4/100</f>
        <v>-56000</v>
      </c>
      <c r="Y115" s="24">
        <f>-$Q115*T115*0.9/100</f>
        <v>0</v>
      </c>
      <c r="Z115" s="25">
        <f>+SUM(W115:Y115)</f>
        <v>-56000</v>
      </c>
      <c r="AA115" s="12"/>
      <c r="AB115" s="23">
        <f>-Q115*U115*0.65/100</f>
        <v>-409500</v>
      </c>
    </row>
    <row r="116" spans="14:28" x14ac:dyDescent="0.3">
      <c r="O116" s="7" t="s">
        <v>32</v>
      </c>
      <c r="R116" s="6"/>
      <c r="S116" s="6"/>
      <c r="T116" s="6"/>
      <c r="W116" s="5"/>
      <c r="Z116" s="41">
        <f>+SUM(Z113:Z115)</f>
        <v>-1716000</v>
      </c>
      <c r="AA116" s="12"/>
      <c r="AB116" s="44">
        <f>+SUM(AB113:AB115)</f>
        <v>-2099500</v>
      </c>
    </row>
    <row r="117" spans="14:28" x14ac:dyDescent="0.3">
      <c r="N117" s="7"/>
      <c r="R117" s="9"/>
      <c r="S117" s="9"/>
      <c r="T117" s="9"/>
      <c r="W117" s="5"/>
      <c r="AA117" s="12"/>
      <c r="AB117" s="14"/>
    </row>
    <row r="118" spans="14:28" x14ac:dyDescent="0.3">
      <c r="R118" s="20" t="s">
        <v>10</v>
      </c>
      <c r="S118" s="20"/>
      <c r="T118" s="20"/>
      <c r="U118" s="20"/>
      <c r="AA118" s="12"/>
      <c r="AB118" s="12"/>
    </row>
    <row r="119" spans="14:28" ht="18" x14ac:dyDescent="0.3">
      <c r="O119" s="38" t="s">
        <v>66</v>
      </c>
      <c r="P119" s="38"/>
      <c r="Q119" s="38"/>
      <c r="R119" s="40" t="s">
        <v>11</v>
      </c>
      <c r="S119" s="40" t="s">
        <v>12</v>
      </c>
      <c r="T119" s="40" t="s">
        <v>13</v>
      </c>
      <c r="U119" s="38" t="s">
        <v>20</v>
      </c>
      <c r="W119" s="38"/>
      <c r="X119" s="38"/>
      <c r="Y119" s="38"/>
      <c r="Z119" s="38"/>
      <c r="AA119" s="12"/>
      <c r="AB119" s="53"/>
    </row>
    <row r="120" spans="14:28" x14ac:dyDescent="0.3">
      <c r="O120" s="7" t="s">
        <v>16</v>
      </c>
      <c r="Q120" s="15">
        <f t="shared" ref="Q120:T121" si="3">+E15</f>
        <v>12000000</v>
      </c>
      <c r="R120" s="26">
        <f t="shared" si="3"/>
        <v>0</v>
      </c>
      <c r="S120" s="26">
        <f t="shared" si="3"/>
        <v>0</v>
      </c>
      <c r="T120" s="26">
        <f t="shared" si="3"/>
        <v>0</v>
      </c>
      <c r="U120" s="26">
        <f>+SUM(R120:T120)</f>
        <v>0</v>
      </c>
      <c r="V120" s="6"/>
      <c r="W120" s="5">
        <f>-$Q120*R120*0/100</f>
        <v>0</v>
      </c>
      <c r="X120" s="5">
        <f>-$Q120*S120*0.4/100</f>
        <v>0</v>
      </c>
      <c r="Y120" s="5">
        <f>-$Q120*T120*0.9/100</f>
        <v>0</v>
      </c>
      <c r="Z120" s="16">
        <f>+SUM(W120:Y120)</f>
        <v>0</v>
      </c>
      <c r="AA120" s="13"/>
      <c r="AB120" s="14">
        <f>-Q120*U120*0.65/100</f>
        <v>0</v>
      </c>
    </row>
    <row r="121" spans="14:28" x14ac:dyDescent="0.3">
      <c r="O121" s="7" t="s">
        <v>14</v>
      </c>
      <c r="Q121" s="15">
        <f t="shared" si="3"/>
        <v>3000000</v>
      </c>
      <c r="R121" s="26">
        <f t="shared" si="3"/>
        <v>5</v>
      </c>
      <c r="S121" s="26">
        <f t="shared" si="3"/>
        <v>0</v>
      </c>
      <c r="T121" s="26">
        <f t="shared" si="3"/>
        <v>0</v>
      </c>
      <c r="U121" s="26">
        <f>+SUM(R121:T121)</f>
        <v>5</v>
      </c>
      <c r="V121" s="6"/>
      <c r="W121" s="5">
        <f>-$Q121*R121*0/100</f>
        <v>0</v>
      </c>
      <c r="X121" s="5">
        <f>-$Q121*S121*0.4/100</f>
        <v>0</v>
      </c>
      <c r="Y121" s="5">
        <f>-$Q121*T121*0.9/100</f>
        <v>0</v>
      </c>
      <c r="Z121" s="16">
        <f>+SUM(W121:Y121)</f>
        <v>0</v>
      </c>
      <c r="AA121" s="13"/>
      <c r="AB121" s="14">
        <f>-Q121*U121*0.65/100</f>
        <v>-97500</v>
      </c>
    </row>
    <row r="122" spans="14:28" x14ac:dyDescent="0.3">
      <c r="O122" s="7" t="s">
        <v>26</v>
      </c>
      <c r="Q122" s="15">
        <f>+E17</f>
        <v>5000000</v>
      </c>
      <c r="R122" s="26">
        <f>+F17</f>
        <v>0</v>
      </c>
      <c r="S122" s="26">
        <v>15</v>
      </c>
      <c r="T122" s="26">
        <f>+H17</f>
        <v>0</v>
      </c>
      <c r="U122" s="26">
        <f>+SUM(R122:T122)</f>
        <v>15</v>
      </c>
      <c r="V122" s="6"/>
      <c r="W122" s="5">
        <f>-$Q122*R122*0/100</f>
        <v>0</v>
      </c>
      <c r="X122" s="5">
        <f>-$Q122*S122*0.4/100</f>
        <v>-300000</v>
      </c>
      <c r="Y122" s="5">
        <f>-$Q122*T122*0.9/100</f>
        <v>0</v>
      </c>
      <c r="Z122" s="16">
        <f>+SUM(W122:Y122)</f>
        <v>-300000</v>
      </c>
      <c r="AA122" s="13"/>
      <c r="AB122" s="14">
        <f>-Q122*U122*0.65/100</f>
        <v>-487500</v>
      </c>
    </row>
    <row r="123" spans="14:28" ht="17.399999999999999" x14ac:dyDescent="0.45">
      <c r="O123" s="37" t="s">
        <v>15</v>
      </c>
      <c r="P123" s="38"/>
      <c r="Q123" s="39">
        <f>+E18</f>
        <v>7000000</v>
      </c>
      <c r="R123" s="27">
        <f>+F18</f>
        <v>0</v>
      </c>
      <c r="S123" s="27">
        <f>+G18</f>
        <v>4</v>
      </c>
      <c r="T123" s="27">
        <f>+H18</f>
        <v>22</v>
      </c>
      <c r="U123" s="27">
        <f>+SUM(R123:T123)</f>
        <v>26</v>
      </c>
      <c r="V123" s="6"/>
      <c r="W123" s="24">
        <f>-$Q123*R123*0/100</f>
        <v>0</v>
      </c>
      <c r="X123" s="24">
        <f>-$Q123*S123*0.4/100</f>
        <v>-112000</v>
      </c>
      <c r="Y123" s="24">
        <f>-$Q123*T123*0.9/100</f>
        <v>-1386000</v>
      </c>
      <c r="Z123" s="25">
        <f>+SUM(W123:Y123)</f>
        <v>-1498000</v>
      </c>
      <c r="AA123" s="13"/>
      <c r="AB123" s="23">
        <f>-Q123*U123*0.65/100</f>
        <v>-1183000</v>
      </c>
    </row>
    <row r="124" spans="14:28" x14ac:dyDescent="0.3">
      <c r="O124" s="7" t="s">
        <v>32</v>
      </c>
      <c r="Q124" s="15"/>
      <c r="R124" s="6"/>
      <c r="S124" s="6"/>
      <c r="T124" s="6"/>
      <c r="V124" s="6"/>
      <c r="Z124" s="41">
        <f>+SUM(Z120:Z123)</f>
        <v>-1798000</v>
      </c>
      <c r="AA124" s="13"/>
      <c r="AB124" s="45">
        <f>+SUM(AB120:AB123)</f>
        <v>-1768000</v>
      </c>
    </row>
    <row r="126" spans="14:28" x14ac:dyDescent="0.3">
      <c r="O126" s="48" t="s">
        <v>6</v>
      </c>
      <c r="P126" s="28"/>
      <c r="Q126" s="28"/>
      <c r="R126" s="28"/>
      <c r="S126" s="28"/>
      <c r="T126" s="28"/>
      <c r="U126" s="28"/>
      <c r="V126" s="28"/>
      <c r="W126" s="28"/>
      <c r="X126" s="28"/>
    </row>
    <row r="127" spans="14:28" x14ac:dyDescent="0.3">
      <c r="O127" s="28" t="s">
        <v>107</v>
      </c>
      <c r="P127" s="28"/>
      <c r="Q127" s="28"/>
      <c r="R127" s="28"/>
      <c r="S127" s="28"/>
      <c r="T127" s="28"/>
      <c r="U127" s="28"/>
      <c r="V127" s="28"/>
      <c r="W127" s="28"/>
      <c r="X127" s="28"/>
    </row>
    <row r="128" spans="14:28" x14ac:dyDescent="0.3">
      <c r="N128" s="7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spans="15:24" x14ac:dyDescent="0.3">
      <c r="O129" s="36" t="s">
        <v>132</v>
      </c>
      <c r="P129" s="28"/>
      <c r="Q129" s="28"/>
      <c r="R129" s="28"/>
      <c r="S129" s="28"/>
      <c r="T129" s="28"/>
      <c r="U129" s="28"/>
      <c r="V129" s="28"/>
      <c r="W129" s="28"/>
      <c r="X129" s="28"/>
    </row>
    <row r="130" spans="15:24" x14ac:dyDescent="0.3">
      <c r="O130" s="28" t="s">
        <v>67</v>
      </c>
      <c r="P130" s="28"/>
      <c r="Q130" s="28"/>
      <c r="R130" s="29" t="s">
        <v>71</v>
      </c>
      <c r="S130" s="28"/>
      <c r="T130" s="28"/>
      <c r="U130" s="28"/>
      <c r="V130" s="30"/>
      <c r="W130" s="33" t="s">
        <v>131</v>
      </c>
      <c r="X130" s="30">
        <f>-10000000 * (0 * 2 / 100 +  0.4 * 6 / 100 + 0.9 * 12/100)</f>
        <v>-1320000</v>
      </c>
    </row>
    <row r="131" spans="15:24" x14ac:dyDescent="0.3">
      <c r="O131" s="28" t="s">
        <v>68</v>
      </c>
      <c r="P131" s="28"/>
      <c r="Q131" s="28"/>
      <c r="R131" s="29" t="s">
        <v>72</v>
      </c>
      <c r="S131" s="28"/>
      <c r="T131" s="28"/>
      <c r="U131" s="28"/>
      <c r="V131" s="31"/>
      <c r="W131" s="33" t="s">
        <v>131</v>
      </c>
      <c r="X131" s="31">
        <f>-5000000 * (0 * 0 / 100 +  0.4 * 8 / 100 + 0.9 * 4/100)</f>
        <v>-340000</v>
      </c>
    </row>
    <row r="132" spans="15:24" ht="17.399999999999999" x14ac:dyDescent="0.45">
      <c r="O132" s="28" t="s">
        <v>69</v>
      </c>
      <c r="P132" s="28"/>
      <c r="Q132" s="28"/>
      <c r="R132" s="29" t="s">
        <v>73</v>
      </c>
      <c r="S132" s="28"/>
      <c r="T132" s="28"/>
      <c r="U132" s="28"/>
      <c r="V132" s="31"/>
      <c r="W132" s="33" t="s">
        <v>131</v>
      </c>
      <c r="X132" s="34">
        <f>-7000000 * (0 * 7 / 100 +  0.4 * 2 / 100 + 0.9 * 0/100)</f>
        <v>-56000</v>
      </c>
    </row>
    <row r="133" spans="15:24" x14ac:dyDescent="0.3">
      <c r="O133" s="28" t="s">
        <v>32</v>
      </c>
      <c r="P133" s="28"/>
      <c r="Q133" s="28"/>
      <c r="R133" s="28"/>
      <c r="S133" s="28"/>
      <c r="T133" s="28"/>
      <c r="U133" s="28"/>
      <c r="V133" s="32"/>
      <c r="W133" s="32"/>
      <c r="X133" s="32">
        <f>+SUM(X130:X132)</f>
        <v>-1716000</v>
      </c>
    </row>
    <row r="134" spans="15:24" x14ac:dyDescent="0.3">
      <c r="O134" s="28"/>
      <c r="P134" s="28"/>
      <c r="Q134" s="28"/>
      <c r="R134" s="28"/>
      <c r="S134" s="28"/>
      <c r="T134" s="28"/>
      <c r="U134" s="28"/>
      <c r="V134" s="28"/>
      <c r="W134" s="28"/>
      <c r="X134" s="28"/>
    </row>
    <row r="135" spans="15:24" x14ac:dyDescent="0.3">
      <c r="O135" s="28" t="s">
        <v>70</v>
      </c>
      <c r="P135" s="28"/>
      <c r="Q135" s="28"/>
      <c r="R135" s="28"/>
      <c r="S135" s="28"/>
      <c r="T135" s="28"/>
      <c r="U135" s="28"/>
      <c r="V135" s="28"/>
      <c r="W135" s="28"/>
      <c r="X135" s="28"/>
    </row>
    <row r="136" spans="15:24" x14ac:dyDescent="0.3">
      <c r="O136" s="28" t="s">
        <v>67</v>
      </c>
      <c r="P136" s="28"/>
      <c r="Q136" s="28"/>
      <c r="R136" s="29" t="s">
        <v>74</v>
      </c>
      <c r="S136" s="28"/>
      <c r="T136" s="28"/>
      <c r="U136" s="28"/>
      <c r="V136" s="30"/>
      <c r="W136" s="33" t="s">
        <v>131</v>
      </c>
      <c r="X136" s="31">
        <f>-10000000*(((1+2/100)^0-1)+((1+6/100)^0.4-1)+((1+12/100)^0.9-1))</f>
        <v>-1309601.4643714903</v>
      </c>
    </row>
    <row r="137" spans="15:24" x14ac:dyDescent="0.3">
      <c r="O137" s="28" t="s">
        <v>68</v>
      </c>
      <c r="P137" s="28"/>
      <c r="Q137" s="28"/>
      <c r="R137" s="29" t="s">
        <v>104</v>
      </c>
      <c r="S137" s="28"/>
      <c r="T137" s="28"/>
      <c r="U137" s="28"/>
      <c r="V137" s="31"/>
      <c r="W137" s="33" t="s">
        <v>131</v>
      </c>
      <c r="X137" s="31">
        <f>-5000000*(((1+0/100)^0-1)+((1+8/100)^0.4-1)+((1+4/100)^0.9-1))</f>
        <v>-335960.9545592246</v>
      </c>
    </row>
    <row r="138" spans="15:24" ht="17.399999999999999" x14ac:dyDescent="0.45">
      <c r="O138" s="28" t="s">
        <v>69</v>
      </c>
      <c r="P138" s="28"/>
      <c r="Q138" s="28"/>
      <c r="R138" s="29" t="s">
        <v>105</v>
      </c>
      <c r="S138" s="28"/>
      <c r="T138" s="28"/>
      <c r="U138" s="28"/>
      <c r="V138" s="31"/>
      <c r="W138" s="33" t="s">
        <v>131</v>
      </c>
      <c r="X138" s="34">
        <f>-7000000*(((1+7/100)^0-1)+((1+2/100)^0.4-1)+((1+0/100)^0.9-1))</f>
        <v>-55667.53806879987</v>
      </c>
    </row>
    <row r="139" spans="15:24" x14ac:dyDescent="0.3">
      <c r="O139" s="28" t="s">
        <v>32</v>
      </c>
      <c r="P139" s="28"/>
      <c r="Q139" s="28"/>
      <c r="R139" s="28"/>
      <c r="S139" s="28"/>
      <c r="T139" s="28"/>
      <c r="U139" s="28"/>
      <c r="V139" s="32"/>
      <c r="W139" s="32"/>
      <c r="X139" s="32">
        <f>+SUM(X136:X138)</f>
        <v>-1701229.9569995147</v>
      </c>
    </row>
    <row r="140" spans="15:24" x14ac:dyDescent="0.3">
      <c r="O140" s="28"/>
      <c r="P140" s="28"/>
      <c r="Q140" s="28"/>
      <c r="R140" s="28"/>
      <c r="S140" s="28"/>
      <c r="T140" s="28"/>
      <c r="U140" s="28"/>
      <c r="V140" s="28"/>
      <c r="W140" s="28"/>
      <c r="X140" s="28"/>
    </row>
    <row r="141" spans="15:24" x14ac:dyDescent="0.3">
      <c r="O141" s="36" t="s">
        <v>133</v>
      </c>
      <c r="P141" s="28"/>
      <c r="Q141" s="28"/>
      <c r="R141" s="28"/>
      <c r="S141" s="28"/>
      <c r="T141" s="28"/>
      <c r="U141" s="28"/>
      <c r="V141" s="28"/>
      <c r="W141" s="28"/>
      <c r="X141" s="28"/>
    </row>
    <row r="142" spans="15:24" x14ac:dyDescent="0.3">
      <c r="O142" s="28" t="s">
        <v>16</v>
      </c>
      <c r="P142" s="28"/>
      <c r="Q142" s="28"/>
      <c r="R142" s="29" t="s">
        <v>75</v>
      </c>
      <c r="S142" s="28"/>
      <c r="T142" s="28"/>
      <c r="U142" s="28"/>
      <c r="V142" s="30"/>
      <c r="W142" s="33" t="s">
        <v>131</v>
      </c>
      <c r="X142" s="30">
        <f>-12000000 * (0 * 0 / 100 +  0.4 * 0 / 100 + 0.9 * 0/100)</f>
        <v>0</v>
      </c>
    </row>
    <row r="143" spans="15:24" x14ac:dyDescent="0.3">
      <c r="O143" s="28" t="s">
        <v>14</v>
      </c>
      <c r="P143" s="28"/>
      <c r="Q143" s="28"/>
      <c r="R143" s="29" t="s">
        <v>76</v>
      </c>
      <c r="S143" s="28"/>
      <c r="T143" s="28"/>
      <c r="U143" s="28"/>
      <c r="V143" s="28"/>
      <c r="W143" s="33" t="s">
        <v>131</v>
      </c>
      <c r="X143" s="30">
        <f>-3000000 * (0 * 5 / 100 +  0.4 * 0 / 100 + 0.9 * 0/100)</f>
        <v>0</v>
      </c>
    </row>
    <row r="144" spans="15:24" x14ac:dyDescent="0.3">
      <c r="O144" s="28" t="s">
        <v>26</v>
      </c>
      <c r="P144" s="28"/>
      <c r="Q144" s="28"/>
      <c r="R144" s="29" t="s">
        <v>77</v>
      </c>
      <c r="S144" s="28"/>
      <c r="T144" s="28"/>
      <c r="U144" s="28"/>
      <c r="V144" s="28"/>
      <c r="W144" s="33" t="s">
        <v>131</v>
      </c>
      <c r="X144" s="30">
        <f>-5000000 * (0 * 0 / 100 +  0.4 * 15 / 100 + 0.9 * 0/100)</f>
        <v>-300000</v>
      </c>
    </row>
    <row r="145" spans="15:24" ht="17.399999999999999" x14ac:dyDescent="0.45">
      <c r="O145" s="28" t="s">
        <v>15</v>
      </c>
      <c r="P145" s="28"/>
      <c r="Q145" s="28"/>
      <c r="R145" s="29" t="s">
        <v>78</v>
      </c>
      <c r="S145" s="28"/>
      <c r="T145" s="28"/>
      <c r="U145" s="28"/>
      <c r="V145" s="28"/>
      <c r="W145" s="33" t="s">
        <v>131</v>
      </c>
      <c r="X145" s="35">
        <f>-7000000 * (0 * 0 / 100 +  0.4 * 4 / 100 + 0.9 * 22/100)</f>
        <v>-1498000.0000000002</v>
      </c>
    </row>
    <row r="146" spans="15:24" x14ac:dyDescent="0.3">
      <c r="O146" s="28" t="s">
        <v>32</v>
      </c>
      <c r="P146" s="28"/>
      <c r="Q146" s="28"/>
      <c r="R146" s="28"/>
      <c r="S146" s="28"/>
      <c r="T146" s="28"/>
      <c r="U146" s="28"/>
      <c r="V146" s="28"/>
      <c r="W146" s="32"/>
      <c r="X146" s="32">
        <f>+SUM(X142:X145)</f>
        <v>-1798000.0000000002</v>
      </c>
    </row>
    <row r="147" spans="15:24" x14ac:dyDescent="0.3">
      <c r="O147" s="28"/>
      <c r="P147" s="28"/>
      <c r="Q147" s="28"/>
      <c r="R147" s="28"/>
      <c r="S147" s="28"/>
      <c r="T147" s="28"/>
      <c r="U147" s="28"/>
      <c r="V147" s="28"/>
      <c r="W147" s="28"/>
      <c r="X147" s="28"/>
    </row>
    <row r="148" spans="15:24" x14ac:dyDescent="0.3">
      <c r="O148" s="28" t="s">
        <v>126</v>
      </c>
      <c r="P148" s="28"/>
      <c r="Q148" s="28"/>
      <c r="R148" s="28"/>
      <c r="S148" s="28"/>
      <c r="T148" s="28"/>
      <c r="U148" s="28"/>
      <c r="V148" s="28"/>
      <c r="W148" s="28"/>
      <c r="X148" s="28"/>
    </row>
    <row r="149" spans="15:24" x14ac:dyDescent="0.3">
      <c r="O149" s="28" t="s">
        <v>16</v>
      </c>
      <c r="P149" s="28"/>
      <c r="Q149" s="28"/>
      <c r="R149" s="29" t="s">
        <v>79</v>
      </c>
      <c r="S149" s="28"/>
      <c r="T149" s="28"/>
      <c r="U149" s="28"/>
      <c r="V149" s="30"/>
      <c r="W149" s="33" t="s">
        <v>131</v>
      </c>
      <c r="X149" s="31">
        <f>-12000000*(((1+0/100)^0-1)+((1+0/100)^0.4-1)+((1+0/100)^0.9-1))</f>
        <v>0</v>
      </c>
    </row>
    <row r="150" spans="15:24" x14ac:dyDescent="0.3">
      <c r="O150" s="28" t="s">
        <v>14</v>
      </c>
      <c r="P150" s="28"/>
      <c r="Q150" s="28"/>
      <c r="R150" s="29" t="s">
        <v>80</v>
      </c>
      <c r="S150" s="28"/>
      <c r="T150" s="28"/>
      <c r="U150" s="28"/>
      <c r="V150" s="31"/>
      <c r="W150" s="33" t="s">
        <v>131</v>
      </c>
      <c r="X150" s="31">
        <f>-3000000*(((1+5/100)^0-1)+((1+0/100)^0.4-1)+((1+0/100)^0.9-1))</f>
        <v>0</v>
      </c>
    </row>
    <row r="151" spans="15:24" x14ac:dyDescent="0.3">
      <c r="O151" s="28" t="s">
        <v>26</v>
      </c>
      <c r="P151" s="28"/>
      <c r="Q151" s="28"/>
      <c r="R151" s="29" t="s">
        <v>81</v>
      </c>
      <c r="S151" s="28"/>
      <c r="T151" s="28"/>
      <c r="U151" s="28"/>
      <c r="V151" s="31"/>
      <c r="W151" s="33" t="s">
        <v>131</v>
      </c>
      <c r="X151" s="31">
        <f>-5000000*(((1+0/100)^0-1)+((1+15/100)^0.4-1)+((1+0/100)^0.9-1))</f>
        <v>-287484.90427126904</v>
      </c>
    </row>
    <row r="152" spans="15:24" ht="17.399999999999999" x14ac:dyDescent="0.45">
      <c r="O152" s="28" t="s">
        <v>15</v>
      </c>
      <c r="P152" s="28"/>
      <c r="Q152" s="28"/>
      <c r="R152" s="29" t="s">
        <v>82</v>
      </c>
      <c r="S152" s="28"/>
      <c r="T152" s="28"/>
      <c r="U152" s="28"/>
      <c r="V152" s="32"/>
      <c r="W152" s="33" t="s">
        <v>131</v>
      </c>
      <c r="X152" s="34">
        <f>-7000000*(((1+0/100)^0-1)+((1+4/100)^0.4-1)+((1+22/100)^0.9-1))</f>
        <v>-1482542.6069416648</v>
      </c>
    </row>
    <row r="153" spans="15:24" x14ac:dyDescent="0.3">
      <c r="O153" s="28" t="s">
        <v>32</v>
      </c>
      <c r="P153" s="28"/>
      <c r="Q153" s="28"/>
      <c r="R153" s="28"/>
      <c r="S153" s="28"/>
      <c r="T153" s="28"/>
      <c r="U153" s="28"/>
      <c r="V153" s="28"/>
      <c r="W153" s="32"/>
      <c r="X153" s="32">
        <f>+SUM(X149:X152)</f>
        <v>-1770027.5112129338</v>
      </c>
    </row>
    <row r="154" spans="15:24" ht="15.45" customHeight="1" x14ac:dyDescent="0.3">
      <c r="O154" s="28"/>
      <c r="P154" s="28"/>
      <c r="Q154" s="28"/>
      <c r="R154" s="28"/>
      <c r="S154" s="28"/>
      <c r="T154" s="28"/>
      <c r="U154" s="28"/>
      <c r="V154" s="28"/>
      <c r="W154" s="28"/>
      <c r="X154" s="28"/>
    </row>
    <row r="155" spans="15:24" x14ac:dyDescent="0.3">
      <c r="O155" s="48" t="s">
        <v>134</v>
      </c>
      <c r="P155" s="28"/>
      <c r="Q155" s="28"/>
      <c r="R155" s="28"/>
      <c r="S155" s="28"/>
      <c r="T155" s="28"/>
      <c r="U155" s="28"/>
      <c r="V155" s="28"/>
      <c r="W155" s="28"/>
      <c r="X155" s="28"/>
    </row>
    <row r="156" spans="15:24" x14ac:dyDescent="0.3">
      <c r="O156" s="28"/>
      <c r="P156" s="28"/>
      <c r="Q156" s="28"/>
      <c r="R156" s="28"/>
      <c r="S156" s="28"/>
      <c r="T156" s="28"/>
      <c r="U156" s="28"/>
      <c r="V156" s="28"/>
      <c r="W156" s="28"/>
      <c r="X156" s="28"/>
    </row>
    <row r="157" spans="15:24" x14ac:dyDescent="0.3">
      <c r="O157" s="28" t="s">
        <v>107</v>
      </c>
      <c r="P157" s="28"/>
      <c r="Q157" s="28"/>
      <c r="R157" s="28"/>
      <c r="S157" s="28"/>
      <c r="T157" s="28"/>
      <c r="U157" s="28"/>
      <c r="V157" s="28"/>
      <c r="W157" s="28"/>
      <c r="X157" s="28"/>
    </row>
    <row r="158" spans="15:24" ht="15.45" customHeight="1" x14ac:dyDescent="0.3">
      <c r="O158" s="28" t="s">
        <v>22</v>
      </c>
      <c r="P158" s="28"/>
      <c r="Q158" s="28"/>
      <c r="R158" s="28"/>
      <c r="S158" s="28"/>
      <c r="T158" s="28"/>
      <c r="U158" s="28"/>
      <c r="V158" s="28"/>
      <c r="W158" s="28"/>
      <c r="X158" s="28"/>
    </row>
    <row r="159" spans="15:24" x14ac:dyDescent="0.3">
      <c r="O159" s="28"/>
      <c r="P159" s="28"/>
      <c r="Q159" s="28"/>
      <c r="R159" s="28"/>
      <c r="S159" s="28"/>
      <c r="T159" s="28"/>
      <c r="U159" s="28"/>
      <c r="V159" s="28"/>
      <c r="W159" s="28"/>
      <c r="X159" s="28"/>
    </row>
    <row r="160" spans="15:24" ht="15.45" customHeight="1" x14ac:dyDescent="0.3">
      <c r="O160" s="28" t="s">
        <v>135</v>
      </c>
      <c r="P160" s="28"/>
      <c r="Q160" s="28"/>
      <c r="R160" s="28"/>
      <c r="S160" s="28"/>
      <c r="T160" s="28"/>
      <c r="U160" s="28"/>
      <c r="V160" s="28"/>
      <c r="W160" s="28"/>
      <c r="X160" s="28"/>
    </row>
    <row r="161" spans="15:24" x14ac:dyDescent="0.3">
      <c r="O161" s="28" t="s">
        <v>67</v>
      </c>
      <c r="P161" s="28"/>
      <c r="Q161" s="28"/>
      <c r="R161" s="29" t="s">
        <v>97</v>
      </c>
      <c r="S161" s="46" t="s">
        <v>131</v>
      </c>
      <c r="T161" s="51">
        <f>2+6+12</f>
        <v>20</v>
      </c>
      <c r="U161" s="28"/>
      <c r="V161" s="28"/>
      <c r="W161" s="28"/>
      <c r="X161" s="28"/>
    </row>
    <row r="162" spans="15:24" x14ac:dyDescent="0.3">
      <c r="O162" s="28" t="s">
        <v>68</v>
      </c>
      <c r="P162" s="28"/>
      <c r="Q162" s="28"/>
      <c r="R162" s="29" t="s">
        <v>98</v>
      </c>
      <c r="S162" s="46" t="s">
        <v>131</v>
      </c>
      <c r="T162" s="51">
        <f>0+8+4</f>
        <v>12</v>
      </c>
      <c r="U162" s="28"/>
      <c r="V162" s="28"/>
      <c r="W162" s="28"/>
      <c r="X162" s="28"/>
    </row>
    <row r="163" spans="15:24" x14ac:dyDescent="0.3">
      <c r="O163" s="28" t="s">
        <v>69</v>
      </c>
      <c r="P163" s="28"/>
      <c r="Q163" s="28"/>
      <c r="R163" s="29" t="s">
        <v>99</v>
      </c>
      <c r="S163" s="46" t="s">
        <v>131</v>
      </c>
      <c r="T163" s="51">
        <f>7+2+0</f>
        <v>9</v>
      </c>
      <c r="U163" s="28"/>
      <c r="V163" s="28"/>
      <c r="W163" s="28"/>
    </row>
    <row r="164" spans="15:24" x14ac:dyDescent="0.3">
      <c r="O164" s="28"/>
      <c r="P164" s="28"/>
      <c r="Q164" s="28"/>
      <c r="R164" s="28"/>
      <c r="S164" s="28"/>
      <c r="T164" s="52"/>
      <c r="U164" s="28"/>
      <c r="V164" s="28"/>
      <c r="W164" s="28"/>
    </row>
    <row r="165" spans="15:24" x14ac:dyDescent="0.3">
      <c r="O165" s="28" t="s">
        <v>16</v>
      </c>
      <c r="P165" s="28"/>
      <c r="Q165" s="28"/>
      <c r="R165" s="29" t="s">
        <v>100</v>
      </c>
      <c r="S165" s="46" t="s">
        <v>131</v>
      </c>
      <c r="T165" s="51">
        <f>0+0+0</f>
        <v>0</v>
      </c>
      <c r="U165" s="28"/>
      <c r="V165" s="28"/>
      <c r="W165" s="28"/>
    </row>
    <row r="166" spans="15:24" x14ac:dyDescent="0.3">
      <c r="O166" s="28" t="s">
        <v>14</v>
      </c>
      <c r="P166" s="28"/>
      <c r="Q166" s="28"/>
      <c r="R166" s="29" t="s">
        <v>101</v>
      </c>
      <c r="S166" s="46" t="s">
        <v>131</v>
      </c>
      <c r="T166" s="51">
        <f>5+0+0</f>
        <v>5</v>
      </c>
      <c r="U166" s="28"/>
      <c r="V166" s="28"/>
      <c r="W166" s="28"/>
    </row>
    <row r="167" spans="15:24" x14ac:dyDescent="0.3">
      <c r="O167" s="28" t="s">
        <v>26</v>
      </c>
      <c r="P167" s="28"/>
      <c r="Q167" s="28"/>
      <c r="R167" s="29" t="s">
        <v>102</v>
      </c>
      <c r="S167" s="46" t="s">
        <v>131</v>
      </c>
      <c r="T167" s="51">
        <f>0+15+0</f>
        <v>15</v>
      </c>
      <c r="U167" s="28"/>
      <c r="V167" s="28"/>
      <c r="W167" s="28"/>
    </row>
    <row r="168" spans="15:24" x14ac:dyDescent="0.3">
      <c r="O168" s="28" t="s">
        <v>15</v>
      </c>
      <c r="P168" s="28"/>
      <c r="Q168" s="28"/>
      <c r="R168" s="29" t="s">
        <v>103</v>
      </c>
      <c r="S168" s="46" t="s">
        <v>131</v>
      </c>
      <c r="T168" s="51">
        <f>0+4+22</f>
        <v>26</v>
      </c>
      <c r="U168" s="28"/>
      <c r="V168" s="28"/>
      <c r="W168" s="28"/>
    </row>
    <row r="169" spans="15:24" x14ac:dyDescent="0.3">
      <c r="O169" s="28"/>
      <c r="P169" s="28"/>
      <c r="Q169" s="28"/>
      <c r="R169" s="28"/>
      <c r="S169" s="28"/>
      <c r="T169" s="28"/>
      <c r="U169" s="28"/>
      <c r="V169" s="28"/>
      <c r="W169" s="28"/>
    </row>
    <row r="170" spans="15:24" x14ac:dyDescent="0.3">
      <c r="O170" s="36" t="s">
        <v>132</v>
      </c>
      <c r="P170" s="28"/>
      <c r="Q170" s="28"/>
      <c r="R170" s="28"/>
      <c r="S170" s="28"/>
      <c r="T170" s="28"/>
      <c r="U170" s="28"/>
      <c r="V170" s="28"/>
      <c r="W170" s="28"/>
    </row>
    <row r="171" spans="15:24" x14ac:dyDescent="0.3">
      <c r="O171" s="28" t="s">
        <v>67</v>
      </c>
      <c r="P171" s="28"/>
      <c r="Q171" s="28"/>
      <c r="R171" s="29" t="s">
        <v>83</v>
      </c>
      <c r="S171" s="28"/>
      <c r="T171" s="46" t="s">
        <v>131</v>
      </c>
      <c r="U171" s="30">
        <f>-10000000 * (0.65 * 20 / 100)</f>
        <v>-1300000</v>
      </c>
      <c r="V171" s="30"/>
      <c r="W171" s="28"/>
      <c r="X171" s="28"/>
    </row>
    <row r="172" spans="15:24" x14ac:dyDescent="0.3">
      <c r="O172" s="28" t="s">
        <v>68</v>
      </c>
      <c r="P172" s="28"/>
      <c r="Q172" s="28"/>
      <c r="R172" s="29" t="s">
        <v>84</v>
      </c>
      <c r="S172" s="28"/>
      <c r="T172" s="46" t="s">
        <v>131</v>
      </c>
      <c r="U172" s="31">
        <f>-5000000 * (0.65 * 12 / 100)</f>
        <v>-390000.00000000006</v>
      </c>
      <c r="V172" s="31"/>
      <c r="W172" s="28"/>
      <c r="X172" s="28"/>
    </row>
    <row r="173" spans="15:24" ht="17.399999999999999" x14ac:dyDescent="0.45">
      <c r="O173" s="28" t="s">
        <v>69</v>
      </c>
      <c r="P173" s="28"/>
      <c r="Q173" s="28"/>
      <c r="R173" s="29" t="s">
        <v>85</v>
      </c>
      <c r="S173" s="28"/>
      <c r="T173" s="46" t="s">
        <v>131</v>
      </c>
      <c r="U173" s="34">
        <f>-7000000 * (0.65 * 9 / 100)</f>
        <v>-409500</v>
      </c>
      <c r="V173" s="31"/>
      <c r="W173" s="30"/>
    </row>
    <row r="174" spans="15:24" x14ac:dyDescent="0.3">
      <c r="O174" s="28" t="s">
        <v>32</v>
      </c>
      <c r="P174" s="28"/>
      <c r="Q174" s="28"/>
      <c r="R174" s="28"/>
      <c r="S174" s="28"/>
      <c r="T174" s="28"/>
      <c r="U174" s="47">
        <f>+SUM(U171:U173)</f>
        <v>-2099500</v>
      </c>
      <c r="V174" s="32"/>
      <c r="W174" s="31"/>
    </row>
    <row r="175" spans="15:24" x14ac:dyDescent="0.3">
      <c r="O175" s="28"/>
      <c r="P175" s="28"/>
      <c r="Q175" s="28"/>
      <c r="R175" s="28"/>
      <c r="S175" s="28"/>
      <c r="T175" s="28"/>
      <c r="U175" s="28"/>
      <c r="V175" s="28"/>
      <c r="W175" s="31"/>
    </row>
    <row r="176" spans="15:24" x14ac:dyDescent="0.3">
      <c r="O176" s="28" t="s">
        <v>126</v>
      </c>
      <c r="P176" s="28"/>
      <c r="Q176" s="28"/>
      <c r="R176" s="28"/>
      <c r="S176" s="28"/>
      <c r="T176" s="28"/>
      <c r="U176" s="28"/>
      <c r="V176" s="28"/>
      <c r="W176" s="32"/>
    </row>
    <row r="177" spans="15:24" x14ac:dyDescent="0.3">
      <c r="O177" s="28" t="s">
        <v>67</v>
      </c>
      <c r="P177" s="28"/>
      <c r="Q177" s="28"/>
      <c r="R177" s="29" t="s">
        <v>86</v>
      </c>
      <c r="S177" s="28"/>
      <c r="T177" s="46" t="s">
        <v>131</v>
      </c>
      <c r="U177" s="31">
        <f>-10000000*(((1+20/100)^0.65-1))</f>
        <v>-1258170.1982476257</v>
      </c>
      <c r="V177" s="30"/>
      <c r="W177" s="28"/>
      <c r="X177" s="28"/>
    </row>
    <row r="178" spans="15:24" x14ac:dyDescent="0.3">
      <c r="O178" s="28" t="s">
        <v>68</v>
      </c>
      <c r="P178" s="28"/>
      <c r="Q178" s="28"/>
      <c r="R178" s="29" t="s">
        <v>87</v>
      </c>
      <c r="S178" s="28"/>
      <c r="T178" s="46" t="s">
        <v>131</v>
      </c>
      <c r="U178" s="31">
        <f>-5000000*(((1+12/100)^0.65-1))</f>
        <v>-382223.38766173203</v>
      </c>
      <c r="V178" s="31"/>
      <c r="W178" s="28"/>
      <c r="X178" s="28"/>
    </row>
    <row r="179" spans="15:24" ht="17.399999999999999" x14ac:dyDescent="0.45">
      <c r="O179" s="28" t="s">
        <v>69</v>
      </c>
      <c r="P179" s="28"/>
      <c r="Q179" s="28"/>
      <c r="R179" s="29" t="s">
        <v>88</v>
      </c>
      <c r="S179" s="28"/>
      <c r="T179" s="46" t="s">
        <v>131</v>
      </c>
      <c r="U179" s="34">
        <f>-7000000*(((1+9/100)^0.65-1))</f>
        <v>-403298.55532217154</v>
      </c>
      <c r="V179" s="31"/>
      <c r="W179" s="31"/>
    </row>
    <row r="180" spans="15:24" x14ac:dyDescent="0.3">
      <c r="O180" s="28" t="s">
        <v>32</v>
      </c>
      <c r="P180" s="28"/>
      <c r="Q180" s="28"/>
      <c r="R180" s="28"/>
      <c r="S180" s="28"/>
      <c r="T180" s="28"/>
      <c r="U180" s="47">
        <f>+SUM(U177:U179)</f>
        <v>-2043692.1412315294</v>
      </c>
      <c r="V180" s="32"/>
      <c r="W180" s="31"/>
    </row>
    <row r="181" spans="15:24" x14ac:dyDescent="0.3">
      <c r="O181" s="28"/>
      <c r="P181" s="28"/>
      <c r="Q181" s="28"/>
      <c r="R181" s="28"/>
      <c r="S181" s="28"/>
      <c r="T181" s="28"/>
      <c r="U181" s="28"/>
      <c r="V181" s="28"/>
      <c r="W181" s="31"/>
    </row>
    <row r="182" spans="15:24" x14ac:dyDescent="0.3">
      <c r="O182" s="36" t="s">
        <v>133</v>
      </c>
      <c r="P182" s="28"/>
      <c r="Q182" s="28"/>
      <c r="R182" s="28"/>
      <c r="S182" s="28"/>
      <c r="T182" s="28"/>
      <c r="U182" s="28"/>
      <c r="V182" s="28"/>
      <c r="W182" s="32"/>
    </row>
    <row r="183" spans="15:24" x14ac:dyDescent="0.3">
      <c r="O183" s="28" t="s">
        <v>16</v>
      </c>
      <c r="P183" s="28"/>
      <c r="Q183" s="28"/>
      <c r="R183" s="29" t="s">
        <v>89</v>
      </c>
      <c r="S183" s="28"/>
      <c r="T183" s="46" t="s">
        <v>131</v>
      </c>
      <c r="U183" s="30">
        <f>-12000000 * (0.65 * 0 / 100)</f>
        <v>0</v>
      </c>
      <c r="V183" s="30"/>
      <c r="W183" s="28"/>
    </row>
    <row r="184" spans="15:24" x14ac:dyDescent="0.3">
      <c r="O184" s="28" t="s">
        <v>14</v>
      </c>
      <c r="P184" s="28"/>
      <c r="Q184" s="28"/>
      <c r="R184" s="29" t="s">
        <v>90</v>
      </c>
      <c r="S184" s="28"/>
      <c r="T184" s="46" t="s">
        <v>131</v>
      </c>
      <c r="U184" s="30">
        <f>-3000000 * (0.65 * 5 / 100)</f>
        <v>-97500</v>
      </c>
      <c r="V184" s="28"/>
      <c r="W184" s="28"/>
    </row>
    <row r="185" spans="15:24" x14ac:dyDescent="0.3">
      <c r="O185" s="28" t="s">
        <v>26</v>
      </c>
      <c r="P185" s="28"/>
      <c r="Q185" s="28"/>
      <c r="R185" s="29" t="s">
        <v>91</v>
      </c>
      <c r="S185" s="28"/>
      <c r="T185" s="46" t="s">
        <v>131</v>
      </c>
      <c r="U185" s="30">
        <f>-5000000 * (0.65 * 15 / 100)</f>
        <v>-487500</v>
      </c>
      <c r="V185" s="28"/>
      <c r="W185" s="30"/>
    </row>
    <row r="186" spans="15:24" ht="17.399999999999999" x14ac:dyDescent="0.45">
      <c r="O186" s="28" t="s">
        <v>15</v>
      </c>
      <c r="P186" s="28"/>
      <c r="Q186" s="28"/>
      <c r="R186" s="29" t="s">
        <v>92</v>
      </c>
      <c r="S186" s="28"/>
      <c r="T186" s="46" t="s">
        <v>131</v>
      </c>
      <c r="U186" s="35">
        <f>-7000000 * (0.65 * 26 / 100)</f>
        <v>-1183000</v>
      </c>
      <c r="V186" s="28"/>
      <c r="W186" s="30"/>
    </row>
    <row r="187" spans="15:24" x14ac:dyDescent="0.3">
      <c r="O187" s="28" t="s">
        <v>32</v>
      </c>
      <c r="P187" s="28"/>
      <c r="Q187" s="28"/>
      <c r="R187" s="28"/>
      <c r="S187" s="28"/>
      <c r="T187" s="28"/>
      <c r="U187" s="47">
        <f>+SUM(U183:U186)</f>
        <v>-1768000</v>
      </c>
      <c r="V187" s="28"/>
      <c r="W187" s="30"/>
    </row>
    <row r="188" spans="15:24" x14ac:dyDescent="0.3">
      <c r="O188" s="28"/>
      <c r="Q188" s="28"/>
      <c r="R188" s="28"/>
      <c r="S188" s="28"/>
      <c r="T188" s="28"/>
      <c r="U188" s="28"/>
      <c r="V188" s="28"/>
      <c r="W188" s="30"/>
    </row>
    <row r="189" spans="15:24" x14ac:dyDescent="0.3">
      <c r="O189" s="28" t="s">
        <v>126</v>
      </c>
      <c r="P189" s="28"/>
      <c r="Q189" s="28"/>
      <c r="R189" s="28"/>
      <c r="S189" s="28"/>
      <c r="T189" s="28"/>
      <c r="U189" s="28"/>
      <c r="V189" s="28"/>
      <c r="W189" s="32"/>
    </row>
    <row r="190" spans="15:24" x14ac:dyDescent="0.3">
      <c r="O190" s="28" t="s">
        <v>16</v>
      </c>
      <c r="P190" s="28"/>
      <c r="Q190" s="28"/>
      <c r="R190" s="29" t="s">
        <v>93</v>
      </c>
      <c r="S190" s="28"/>
      <c r="T190" s="46" t="s">
        <v>131</v>
      </c>
      <c r="U190" s="31">
        <f>-12000000*(((1+0/100)^0.65-1))</f>
        <v>0</v>
      </c>
      <c r="V190" s="30"/>
      <c r="W190" s="28"/>
    </row>
    <row r="191" spans="15:24" x14ac:dyDescent="0.3">
      <c r="O191" s="28" t="s">
        <v>14</v>
      </c>
      <c r="P191" s="28"/>
      <c r="Q191" s="28"/>
      <c r="R191" s="29" t="s">
        <v>94</v>
      </c>
      <c r="S191" s="28"/>
      <c r="T191" s="46" t="s">
        <v>131</v>
      </c>
      <c r="U191" s="31">
        <f>-3000000*(((1+5/100)^0.65-1))</f>
        <v>-96665.524680011222</v>
      </c>
      <c r="V191" s="31"/>
      <c r="W191" s="28"/>
    </row>
    <row r="192" spans="15:24" x14ac:dyDescent="0.3">
      <c r="O192" s="28" t="s">
        <v>26</v>
      </c>
      <c r="P192" s="28"/>
      <c r="Q192" s="28"/>
      <c r="R192" s="29" t="s">
        <v>95</v>
      </c>
      <c r="S192" s="28"/>
      <c r="T192" s="46" t="s">
        <v>131</v>
      </c>
      <c r="U192" s="31">
        <f>-5000000*(((1+15/100)^0.65-1))</f>
        <v>-475497.69615252147</v>
      </c>
      <c r="V192" s="31"/>
      <c r="W192" s="31"/>
    </row>
    <row r="193" spans="15:23" ht="17.399999999999999" x14ac:dyDescent="0.45">
      <c r="O193" s="28" t="s">
        <v>15</v>
      </c>
      <c r="P193" s="28"/>
      <c r="Q193" s="28"/>
      <c r="R193" s="29" t="s">
        <v>96</v>
      </c>
      <c r="S193" s="28"/>
      <c r="T193" s="46" t="s">
        <v>131</v>
      </c>
      <c r="U193" s="34">
        <f>-7000000*(((1+26/100)^0.65-1))</f>
        <v>-1134650.4222417811</v>
      </c>
      <c r="V193" s="32"/>
      <c r="W193" s="31"/>
    </row>
    <row r="194" spans="15:23" x14ac:dyDescent="0.3">
      <c r="O194" s="28" t="s">
        <v>32</v>
      </c>
      <c r="P194" s="28"/>
      <c r="Q194" s="28"/>
      <c r="R194" s="28"/>
      <c r="S194" s="28"/>
      <c r="T194" s="28"/>
      <c r="U194" s="47">
        <f>+SUM(U190:U193)</f>
        <v>-1706813.6430743139</v>
      </c>
      <c r="V194" s="28"/>
      <c r="W194" s="31"/>
    </row>
    <row r="195" spans="15:23" x14ac:dyDescent="0.3">
      <c r="O195" s="28"/>
      <c r="P195" s="28"/>
      <c r="Q195" s="28"/>
      <c r="R195" s="28"/>
      <c r="S195" s="28"/>
      <c r="T195" s="28"/>
      <c r="U195" s="28"/>
      <c r="V195" s="28"/>
      <c r="W195" s="32"/>
    </row>
    <row r="196" spans="15:23" x14ac:dyDescent="0.3">
      <c r="O196" s="28" t="s">
        <v>138</v>
      </c>
      <c r="W196" s="32"/>
    </row>
    <row r="197" spans="15:23" x14ac:dyDescent="0.3">
      <c r="O197" s="18" t="s">
        <v>136</v>
      </c>
      <c r="R197" s="47">
        <f>SUM(Q113:Q115)*U60/100*-0.65</f>
        <v>-2099500</v>
      </c>
      <c r="W197" s="28"/>
    </row>
    <row r="198" spans="15:23" x14ac:dyDescent="0.3">
      <c r="O198" s="18" t="s">
        <v>137</v>
      </c>
      <c r="R198" s="47">
        <f>SUM(Q120:Q123)*V107/100*-0.65</f>
        <v>-1767999.9999999998</v>
      </c>
    </row>
  </sheetData>
  <mergeCells count="11">
    <mergeCell ref="D7:D8"/>
    <mergeCell ref="E7:E8"/>
    <mergeCell ref="D13:D14"/>
    <mergeCell ref="E13:E14"/>
    <mergeCell ref="F7:H7"/>
    <mergeCell ref="F13:H13"/>
    <mergeCell ref="D22:L22"/>
    <mergeCell ref="D26:L26"/>
    <mergeCell ref="D42:L42"/>
    <mergeCell ref="D30:L30"/>
    <mergeCell ref="D38:L38"/>
  </mergeCells>
  <pageMargins left="0.7" right="0.7" top="0.75" bottom="0.75" header="0.3" footer="0.3"/>
  <pageSetup scale="48" orientation="portrait" r:id="rId1"/>
  <colBreaks count="1" manualBreakCount="1">
    <brk id="13" max="22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0543E7-7F5B-432B-9382-B9A291318F1B}"/>
</file>

<file path=customXml/itemProps2.xml><?xml version="1.0" encoding="utf-8"?>
<ds:datastoreItem xmlns:ds="http://schemas.openxmlformats.org/officeDocument/2006/customXml" ds:itemID="{E9951BA0-D725-46CB-92B4-B24B13691FE3}"/>
</file>

<file path=customXml/itemProps3.xml><?xml version="1.0" encoding="utf-8"?>
<ds:datastoreItem xmlns:ds="http://schemas.openxmlformats.org/officeDocument/2006/customXml" ds:itemID="{FA402C01-0D64-4964-8E9F-6DA141CCF841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 1</vt:lpstr>
      <vt:lpstr>'Question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Azari</dc:creator>
  <cp:lastModifiedBy>Mark Dulceak</cp:lastModifiedBy>
  <dcterms:created xsi:type="dcterms:W3CDTF">2023-05-19T17:49:55Z</dcterms:created>
  <dcterms:modified xsi:type="dcterms:W3CDTF">2025-07-22T19:00:20Z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0x010100A13D16CE4023BB4BB4110DFC2802C897</vt:lpwstr>
  </property>
</Properties>
</file>