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ALTAM\"/>
    </mc:Choice>
  </mc:AlternateContent>
  <xr:revisionPtr revIDLastSave="0" documentId="8_{DB1C0E89-ECF8-44B3-BE0D-8781E7A18CAD}" xr6:coauthVersionLast="47" xr6:coauthVersionMax="47" xr10:uidLastSave="{00000000-0000-0000-0000-000000000000}"/>
  <bookViews>
    <workbookView xWindow="-120" yWindow="-120" windowWidth="20730" windowHeight="11040" xr2:uid="{768C92FF-21E1-694F-9A04-0B206F3F028C}"/>
  </bookViews>
  <sheets>
    <sheet name="Question 1" sheetId="16" r:id="rId1"/>
  </sheets>
  <definedNames>
    <definedName name="ADB">'Question 1'!$F$13</definedName>
    <definedName name="asset_rate">'Question 1'!$E$43</definedName>
    <definedName name="flat_fee">'Question 1'!$F$19</definedName>
    <definedName name="flat_maint_exp">'Question 1'!$I$41</definedName>
    <definedName name="hurdle">'Question 1'!$E$39</definedName>
    <definedName name="ic">'Question 1'!$F$15</definedName>
    <definedName name="iq">'Question 1'!$F$16</definedName>
    <definedName name="maint_exp">'Question 1'!$E$42</definedName>
    <definedName name="pct_prem_chg">'Question 1'!$F$18</definedName>
    <definedName name="pct_prem_exp">'Question 1'!#REF!</definedName>
    <definedName name="precont_exp">'Question 1'!$E$40</definedName>
    <definedName name="prem">'Question 1'!$F$14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6" i="16" l="1"/>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25"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2" i="16"/>
  <c r="AK73" i="16"/>
  <c r="AK74" i="16"/>
  <c r="AK24" i="16"/>
  <c r="AJ26" i="16"/>
  <c r="AJ27" i="16" s="1"/>
  <c r="AJ28" i="16" s="1"/>
  <c r="AJ29" i="16" s="1"/>
  <c r="AJ30" i="16" s="1"/>
  <c r="AJ31" i="16" s="1"/>
  <c r="AJ32" i="16" s="1"/>
  <c r="AJ33" i="16" s="1"/>
  <c r="AJ34" i="16" s="1"/>
  <c r="AJ35" i="16" s="1"/>
  <c r="AJ36" i="16" s="1"/>
  <c r="AJ37" i="16" s="1"/>
  <c r="AJ38" i="16" s="1"/>
  <c r="AJ39" i="16" s="1"/>
  <c r="AJ40" i="16" s="1"/>
  <c r="AJ41" i="16" s="1"/>
  <c r="AJ42" i="16" s="1"/>
  <c r="AJ43" i="16" s="1"/>
  <c r="AJ44" i="16" s="1"/>
  <c r="AJ45" i="16" s="1"/>
  <c r="AJ46" i="16" s="1"/>
  <c r="AJ47" i="16" s="1"/>
  <c r="AJ48" i="16" s="1"/>
  <c r="AJ49" i="16" s="1"/>
  <c r="AJ50" i="16" s="1"/>
  <c r="AJ51" i="16" s="1"/>
  <c r="AJ52" i="16" s="1"/>
  <c r="AJ53" i="16" s="1"/>
  <c r="AJ54" i="16" s="1"/>
  <c r="AJ55" i="16" s="1"/>
  <c r="AJ56" i="16" s="1"/>
  <c r="AJ57" i="16" s="1"/>
  <c r="AJ58" i="16" s="1"/>
  <c r="AJ59" i="16" s="1"/>
  <c r="AJ60" i="16" s="1"/>
  <c r="AJ61" i="16" s="1"/>
  <c r="AJ62" i="16" s="1"/>
  <c r="AJ63" i="16" s="1"/>
  <c r="AJ64" i="16" s="1"/>
  <c r="AJ65" i="16" s="1"/>
  <c r="AJ66" i="16" s="1"/>
  <c r="AJ67" i="16" s="1"/>
  <c r="AJ68" i="16" s="1"/>
  <c r="AJ69" i="16" s="1"/>
  <c r="AJ70" i="16" s="1"/>
  <c r="AJ71" i="16" s="1"/>
  <c r="AJ72" i="16" s="1"/>
  <c r="AJ73" i="16" s="1"/>
  <c r="AJ74" i="16" s="1"/>
  <c r="AG24" i="16"/>
  <c r="AH24" i="16" s="1"/>
  <c r="S26" i="16"/>
  <c r="S27" i="16"/>
  <c r="S28" i="16"/>
  <c r="S29" i="16"/>
  <c r="S30" i="16"/>
  <c r="S31" i="16"/>
  <c r="S32" i="16"/>
  <c r="S33" i="16"/>
  <c r="S34" i="16"/>
  <c r="S35" i="16"/>
  <c r="S36" i="16"/>
  <c r="S37" i="16"/>
  <c r="S38" i="16"/>
  <c r="S39" i="16"/>
  <c r="S40" i="16"/>
  <c r="S41" i="16"/>
  <c r="S42" i="16"/>
  <c r="S43" i="16"/>
  <c r="S44" i="16"/>
  <c r="S45" i="16"/>
  <c r="S46" i="16"/>
  <c r="S47" i="16"/>
  <c r="S48" i="16"/>
  <c r="S49" i="16"/>
  <c r="S50" i="16"/>
  <c r="S51" i="16"/>
  <c r="S52" i="16"/>
  <c r="S53" i="16"/>
  <c r="S54" i="16"/>
  <c r="S55" i="16"/>
  <c r="S56" i="16"/>
  <c r="S57" i="16"/>
  <c r="S58" i="16"/>
  <c r="S59" i="16"/>
  <c r="S60" i="16"/>
  <c r="S61" i="16"/>
  <c r="S62" i="16"/>
  <c r="S63" i="16"/>
  <c r="S64" i="16"/>
  <c r="S65" i="16"/>
  <c r="S66" i="16"/>
  <c r="S67" i="16"/>
  <c r="S68" i="16"/>
  <c r="S69" i="16"/>
  <c r="S70" i="16"/>
  <c r="S71" i="16"/>
  <c r="S72" i="16"/>
  <c r="S73" i="16"/>
  <c r="S74" i="16"/>
  <c r="S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25" i="16"/>
  <c r="AI24" i="16" l="1"/>
  <c r="AC25" i="16"/>
  <c r="T25" i="16"/>
  <c r="U25" i="16" s="1"/>
  <c r="AD25" i="16" s="1"/>
  <c r="W25" i="16" l="1"/>
  <c r="AE25" i="16" s="1"/>
  <c r="AF25" i="16"/>
  <c r="O26" i="16"/>
  <c r="AG25" i="16" l="1"/>
  <c r="AH25" i="16" s="1"/>
  <c r="AI25" i="16" s="1"/>
  <c r="AC26" i="16"/>
  <c r="T26" i="16"/>
  <c r="U26" i="16" s="1"/>
  <c r="AD26" i="16" s="1"/>
  <c r="AF26" i="16" l="1"/>
  <c r="O27" i="16"/>
  <c r="W26" i="16"/>
  <c r="AE26" i="16" s="1"/>
  <c r="AG26" i="16" l="1"/>
  <c r="AH26" i="16" s="1"/>
  <c r="AI26" i="16" s="1"/>
  <c r="T27" i="16"/>
  <c r="U27" i="16" s="1"/>
  <c r="AD27" i="16" s="1"/>
  <c r="AC27" i="16"/>
  <c r="O28" i="16" l="1"/>
  <c r="W27" i="16"/>
  <c r="AE27" i="16" s="1"/>
  <c r="AF27" i="16"/>
  <c r="AG27" i="16" l="1"/>
  <c r="AH27" i="16" s="1"/>
  <c r="AI27" i="16" s="1"/>
  <c r="T28" i="16"/>
  <c r="U28" i="16" s="1"/>
  <c r="AD28" i="16" s="1"/>
  <c r="AC28" i="16"/>
  <c r="O29" i="16" l="1"/>
  <c r="W28" i="16"/>
  <c r="AE28" i="16" s="1"/>
  <c r="AF28" i="16"/>
  <c r="AG28" i="16" l="1"/>
  <c r="AH28" i="16" s="1"/>
  <c r="AI28" i="16" s="1"/>
  <c r="AC29" i="16"/>
  <c r="T29" i="16"/>
  <c r="U29" i="16" s="1"/>
  <c r="AD29" i="16" s="1"/>
  <c r="O30" i="16" l="1"/>
  <c r="W29" i="16"/>
  <c r="AF29" i="16"/>
  <c r="C28" i="16"/>
  <c r="AE29" i="16" l="1"/>
  <c r="AG29" i="16" s="1"/>
  <c r="AH29" i="16" s="1"/>
  <c r="AI29" i="16" s="1"/>
  <c r="C31" i="16"/>
  <c r="AC30" i="16"/>
  <c r="T30" i="16"/>
  <c r="U30" i="16" s="1"/>
  <c r="AD30" i="16" s="1"/>
  <c r="O31" i="16" l="1"/>
  <c r="W30" i="16"/>
  <c r="AE30" i="16" s="1"/>
  <c r="AF30" i="16"/>
  <c r="AG30" i="16" l="1"/>
  <c r="AH30" i="16" s="1"/>
  <c r="AI30" i="16" s="1"/>
  <c r="AC31" i="16"/>
  <c r="T31" i="16"/>
  <c r="U31" i="16" s="1"/>
  <c r="AD31" i="16" s="1"/>
  <c r="O32" i="16" l="1"/>
  <c r="W31" i="16"/>
  <c r="AE31" i="16" s="1"/>
  <c r="AF31" i="16"/>
  <c r="AG31" i="16" l="1"/>
  <c r="AH31" i="16" s="1"/>
  <c r="AI31" i="16" s="1"/>
  <c r="AC32" i="16"/>
  <c r="T32" i="16"/>
  <c r="U32" i="16" s="1"/>
  <c r="AD32" i="16" s="1"/>
  <c r="O33" i="16" l="1"/>
  <c r="AF32" i="16"/>
  <c r="W32" i="16"/>
  <c r="AE32" i="16" s="1"/>
  <c r="AG32" i="16" l="1"/>
  <c r="AH32" i="16" s="1"/>
  <c r="AI32" i="16" s="1"/>
  <c r="AC33" i="16"/>
  <c r="T33" i="16"/>
  <c r="U33" i="16" s="1"/>
  <c r="AD33" i="16" s="1"/>
  <c r="O34" i="16" l="1"/>
  <c r="W33" i="16"/>
  <c r="AE33" i="16" s="1"/>
  <c r="AF33" i="16"/>
  <c r="AG33" i="16" l="1"/>
  <c r="AH33" i="16" s="1"/>
  <c r="AI33" i="16" s="1"/>
  <c r="AC34" i="16"/>
  <c r="T34" i="16"/>
  <c r="U34" i="16" s="1"/>
  <c r="AD34" i="16" s="1"/>
  <c r="O35" i="16" l="1"/>
  <c r="AF34" i="16"/>
  <c r="W34" i="16"/>
  <c r="AE34" i="16" s="1"/>
  <c r="AG34" i="16" l="1"/>
  <c r="AH34" i="16" s="1"/>
  <c r="AI34" i="16" s="1"/>
  <c r="AC35" i="16"/>
  <c r="T35" i="16"/>
  <c r="U35" i="16" s="1"/>
  <c r="AD35" i="16" s="1"/>
  <c r="O36" i="16" l="1"/>
  <c r="AF35" i="16"/>
  <c r="W35" i="16"/>
  <c r="AE35" i="16" s="1"/>
  <c r="AG35" i="16" l="1"/>
  <c r="AH35" i="16" s="1"/>
  <c r="AI35" i="16" s="1"/>
  <c r="AC36" i="16"/>
  <c r="T36" i="16"/>
  <c r="U36" i="16" s="1"/>
  <c r="AD36" i="16" s="1"/>
  <c r="O37" i="16" l="1"/>
  <c r="W36" i="16"/>
  <c r="AE36" i="16" s="1"/>
  <c r="AF36" i="16"/>
  <c r="AG36" i="16" l="1"/>
  <c r="AH36" i="16" s="1"/>
  <c r="AI36" i="16" s="1"/>
  <c r="AC37" i="16"/>
  <c r="T37" i="16"/>
  <c r="U37" i="16" s="1"/>
  <c r="AD37" i="16" s="1"/>
  <c r="O38" i="16" l="1"/>
  <c r="AF37" i="16"/>
  <c r="W37" i="16"/>
  <c r="AE37" i="16" s="1"/>
  <c r="AG37" i="16" l="1"/>
  <c r="AH37" i="16" s="1"/>
  <c r="AI37" i="16" s="1"/>
  <c r="AC38" i="16"/>
  <c r="T38" i="16"/>
  <c r="U38" i="16" s="1"/>
  <c r="AD38" i="16" s="1"/>
  <c r="O39" i="16" l="1"/>
  <c r="W38" i="16"/>
  <c r="AE38" i="16" s="1"/>
  <c r="AF38" i="16"/>
  <c r="AG38" i="16" l="1"/>
  <c r="AH38" i="16" s="1"/>
  <c r="AI38" i="16" s="1"/>
  <c r="AC39" i="16"/>
  <c r="T39" i="16"/>
  <c r="U39" i="16" s="1"/>
  <c r="AD39" i="16" s="1"/>
  <c r="O40" i="16" l="1"/>
  <c r="AF39" i="16"/>
  <c r="W39" i="16"/>
  <c r="AE39" i="16" s="1"/>
  <c r="AG39" i="16" l="1"/>
  <c r="AH39" i="16" s="1"/>
  <c r="AI39" i="16" s="1"/>
  <c r="AC40" i="16"/>
  <c r="T40" i="16"/>
  <c r="U40" i="16" s="1"/>
  <c r="AD40" i="16" s="1"/>
  <c r="O41" i="16" l="1"/>
  <c r="AF40" i="16"/>
  <c r="W40" i="16"/>
  <c r="AE40" i="16" s="1"/>
  <c r="AG40" i="16" l="1"/>
  <c r="AH40" i="16" s="1"/>
  <c r="AI40" i="16" s="1"/>
  <c r="AC41" i="16"/>
  <c r="T41" i="16"/>
  <c r="U41" i="16" s="1"/>
  <c r="AD41" i="16" s="1"/>
  <c r="O42" i="16" l="1"/>
  <c r="W41" i="16"/>
  <c r="AE41" i="16" s="1"/>
  <c r="AF41" i="16"/>
  <c r="AG41" i="16" l="1"/>
  <c r="AH41" i="16" s="1"/>
  <c r="AI41" i="16" s="1"/>
  <c r="AC42" i="16"/>
  <c r="T42" i="16"/>
  <c r="U42" i="16" s="1"/>
  <c r="AD42" i="16" s="1"/>
  <c r="O43" i="16" l="1"/>
  <c r="AF42" i="16"/>
  <c r="W42" i="16"/>
  <c r="AE42" i="16" s="1"/>
  <c r="AG42" i="16" l="1"/>
  <c r="AH42" i="16" s="1"/>
  <c r="AI42" i="16" s="1"/>
  <c r="AC43" i="16"/>
  <c r="T43" i="16"/>
  <c r="U43" i="16" s="1"/>
  <c r="AD43" i="16" s="1"/>
  <c r="O44" i="16" l="1"/>
  <c r="W43" i="16"/>
  <c r="AE43" i="16" s="1"/>
  <c r="AF43" i="16"/>
  <c r="AG43" i="16" l="1"/>
  <c r="AH43" i="16" s="1"/>
  <c r="AI43" i="16" s="1"/>
  <c r="AC44" i="16"/>
  <c r="T44" i="16"/>
  <c r="U44" i="16" s="1"/>
  <c r="AD44" i="16" s="1"/>
  <c r="O45" i="16" l="1"/>
  <c r="W44" i="16"/>
  <c r="AE44" i="16" s="1"/>
  <c r="AF44" i="16"/>
  <c r="AG44" i="16" l="1"/>
  <c r="AH44" i="16" s="1"/>
  <c r="AI44" i="16" s="1"/>
  <c r="AC45" i="16"/>
  <c r="T45" i="16"/>
  <c r="U45" i="16" s="1"/>
  <c r="AD45" i="16" s="1"/>
  <c r="O46" i="16" l="1"/>
  <c r="AF45" i="16"/>
  <c r="W45" i="16"/>
  <c r="AE45" i="16" s="1"/>
  <c r="AG45" i="16" l="1"/>
  <c r="AH45" i="16" s="1"/>
  <c r="AI45" i="16" s="1"/>
  <c r="AC46" i="16"/>
  <c r="T46" i="16"/>
  <c r="U46" i="16" s="1"/>
  <c r="AD46" i="16" s="1"/>
  <c r="O47" i="16" l="1"/>
  <c r="W46" i="16"/>
  <c r="AE46" i="16" s="1"/>
  <c r="AF46" i="16"/>
  <c r="AG46" i="16" l="1"/>
  <c r="AH46" i="16" s="1"/>
  <c r="AI46" i="16" s="1"/>
  <c r="AC47" i="16"/>
  <c r="T47" i="16"/>
  <c r="U47" i="16" s="1"/>
  <c r="AD47" i="16" s="1"/>
  <c r="O48" i="16" l="1"/>
  <c r="AF47" i="16"/>
  <c r="W47" i="16"/>
  <c r="AE47" i="16" s="1"/>
  <c r="AG47" i="16" l="1"/>
  <c r="AH47" i="16" s="1"/>
  <c r="AI47" i="16" s="1"/>
  <c r="AC48" i="16"/>
  <c r="T48" i="16"/>
  <c r="U48" i="16" s="1"/>
  <c r="AD48" i="16" s="1"/>
  <c r="O49" i="16" l="1"/>
  <c r="AF48" i="16"/>
  <c r="W48" i="16"/>
  <c r="AE48" i="16" s="1"/>
  <c r="AG48" i="16" l="1"/>
  <c r="AH48" i="16" s="1"/>
  <c r="AI48" i="16" s="1"/>
  <c r="AC49" i="16"/>
  <c r="T49" i="16"/>
  <c r="U49" i="16" s="1"/>
  <c r="AD49" i="16" s="1"/>
  <c r="O50" i="16" l="1"/>
  <c r="AF49" i="16"/>
  <c r="W49" i="16"/>
  <c r="AE49" i="16" s="1"/>
  <c r="AG49" i="16" l="1"/>
  <c r="AH49" i="16" s="1"/>
  <c r="AI49" i="16" s="1"/>
  <c r="AC50" i="16"/>
  <c r="T50" i="16"/>
  <c r="U50" i="16" s="1"/>
  <c r="AD50" i="16" s="1"/>
  <c r="O51" i="16" l="1"/>
  <c r="AF50" i="16"/>
  <c r="W50" i="16"/>
  <c r="AE50" i="16" s="1"/>
  <c r="AG50" i="16" l="1"/>
  <c r="AH50" i="16" s="1"/>
  <c r="AI50" i="16" s="1"/>
  <c r="AC51" i="16"/>
  <c r="T51" i="16"/>
  <c r="U51" i="16" s="1"/>
  <c r="AD51" i="16" s="1"/>
  <c r="O52" i="16" l="1"/>
  <c r="AF51" i="16"/>
  <c r="W51" i="16"/>
  <c r="AE51" i="16" s="1"/>
  <c r="AG51" i="16" l="1"/>
  <c r="AH51" i="16" s="1"/>
  <c r="AI51" i="16" s="1"/>
  <c r="AC52" i="16"/>
  <c r="T52" i="16"/>
  <c r="U52" i="16" s="1"/>
  <c r="AD52" i="16" s="1"/>
  <c r="O53" i="16" l="1"/>
  <c r="W52" i="16"/>
  <c r="AE52" i="16" s="1"/>
  <c r="AF52" i="16"/>
  <c r="AG52" i="16" l="1"/>
  <c r="AH52" i="16" s="1"/>
  <c r="AI52" i="16" s="1"/>
  <c r="AC53" i="16"/>
  <c r="T53" i="16"/>
  <c r="U53" i="16" s="1"/>
  <c r="AD53" i="16" s="1"/>
  <c r="O54" i="16" l="1"/>
  <c r="AF53" i="16"/>
  <c r="W53" i="16"/>
  <c r="AE53" i="16" s="1"/>
  <c r="AG53" i="16" l="1"/>
  <c r="AH53" i="16" s="1"/>
  <c r="AI53" i="16" s="1"/>
  <c r="AC54" i="16"/>
  <c r="T54" i="16"/>
  <c r="U54" i="16" s="1"/>
  <c r="AD54" i="16" s="1"/>
  <c r="O55" i="16" l="1"/>
  <c r="W54" i="16"/>
  <c r="AE54" i="16" s="1"/>
  <c r="AF54" i="16"/>
  <c r="AG54" i="16" l="1"/>
  <c r="AH54" i="16" s="1"/>
  <c r="AI54" i="16" s="1"/>
  <c r="AC55" i="16"/>
  <c r="T55" i="16"/>
  <c r="U55" i="16" s="1"/>
  <c r="AD55" i="16" s="1"/>
  <c r="O56" i="16" l="1"/>
  <c r="W55" i="16"/>
  <c r="AE55" i="16" s="1"/>
  <c r="AF55" i="16"/>
  <c r="AG55" i="16" l="1"/>
  <c r="AH55" i="16" s="1"/>
  <c r="AI55" i="16" s="1"/>
  <c r="AC56" i="16"/>
  <c r="T56" i="16"/>
  <c r="U56" i="16" s="1"/>
  <c r="AD56" i="16" s="1"/>
  <c r="O57" i="16" l="1"/>
  <c r="AF56" i="16"/>
  <c r="W56" i="16"/>
  <c r="AE56" i="16" s="1"/>
  <c r="AG56" i="16" l="1"/>
  <c r="AH56" i="16" s="1"/>
  <c r="AI56" i="16" s="1"/>
  <c r="AC57" i="16"/>
  <c r="T57" i="16"/>
  <c r="U57" i="16" s="1"/>
  <c r="AD57" i="16" s="1"/>
  <c r="O58" i="16" l="1"/>
  <c r="W57" i="16"/>
  <c r="AE57" i="16" s="1"/>
  <c r="AF57" i="16"/>
  <c r="AG57" i="16" l="1"/>
  <c r="AH57" i="16" s="1"/>
  <c r="AI57" i="16" s="1"/>
  <c r="AC58" i="16"/>
  <c r="T58" i="16"/>
  <c r="U58" i="16" s="1"/>
  <c r="AD58" i="16" s="1"/>
  <c r="O59" i="16" l="1"/>
  <c r="AF58" i="16"/>
  <c r="W58" i="16"/>
  <c r="AE58" i="16" s="1"/>
  <c r="AG58" i="16" l="1"/>
  <c r="AH58" i="16" s="1"/>
  <c r="AI58" i="16" s="1"/>
  <c r="AC59" i="16"/>
  <c r="T59" i="16"/>
  <c r="U59" i="16" s="1"/>
  <c r="AD59" i="16" s="1"/>
  <c r="O60" i="16" l="1"/>
  <c r="W59" i="16"/>
  <c r="AE59" i="16" s="1"/>
  <c r="AF59" i="16"/>
  <c r="AG59" i="16" l="1"/>
  <c r="AH59" i="16" s="1"/>
  <c r="AI59" i="16" s="1"/>
  <c r="AC60" i="16"/>
  <c r="T60" i="16"/>
  <c r="U60" i="16" s="1"/>
  <c r="AD60" i="16" s="1"/>
  <c r="O61" i="16" l="1"/>
  <c r="W60" i="16"/>
  <c r="AE60" i="16" s="1"/>
  <c r="AF60" i="16"/>
  <c r="AG60" i="16" l="1"/>
  <c r="AH60" i="16" s="1"/>
  <c r="AI60" i="16" s="1"/>
  <c r="AC61" i="16"/>
  <c r="T61" i="16"/>
  <c r="U61" i="16" s="1"/>
  <c r="AD61" i="16" s="1"/>
  <c r="O62" i="16" l="1"/>
  <c r="AF61" i="16"/>
  <c r="W61" i="16"/>
  <c r="AE61" i="16" s="1"/>
  <c r="AG61" i="16" l="1"/>
  <c r="AH61" i="16" s="1"/>
  <c r="AI61" i="16" s="1"/>
  <c r="AC62" i="16"/>
  <c r="T62" i="16"/>
  <c r="U62" i="16" s="1"/>
  <c r="AD62" i="16" s="1"/>
  <c r="O63" i="16" l="1"/>
  <c r="W62" i="16"/>
  <c r="AE62" i="16" s="1"/>
  <c r="AF62" i="16"/>
  <c r="AG62" i="16" l="1"/>
  <c r="AH62" i="16" s="1"/>
  <c r="AI62" i="16" s="1"/>
  <c r="AC63" i="16"/>
  <c r="T63" i="16"/>
  <c r="U63" i="16" s="1"/>
  <c r="AD63" i="16" s="1"/>
  <c r="O64" i="16" l="1"/>
  <c r="AF63" i="16"/>
  <c r="W63" i="16"/>
  <c r="AE63" i="16" s="1"/>
  <c r="AG63" i="16" l="1"/>
  <c r="AH63" i="16" s="1"/>
  <c r="AI63" i="16" s="1"/>
  <c r="AC64" i="16"/>
  <c r="T64" i="16"/>
  <c r="U64" i="16" s="1"/>
  <c r="AD64" i="16" s="1"/>
  <c r="O65" i="16" l="1"/>
  <c r="AF64" i="16"/>
  <c r="W64" i="16"/>
  <c r="AE64" i="16" s="1"/>
  <c r="AG64" i="16" l="1"/>
  <c r="AH64" i="16" s="1"/>
  <c r="AI64" i="16" s="1"/>
  <c r="AC65" i="16"/>
  <c r="T65" i="16"/>
  <c r="U65" i="16" s="1"/>
  <c r="AD65" i="16" s="1"/>
  <c r="O66" i="16" l="1"/>
  <c r="W65" i="16"/>
  <c r="AE65" i="16" s="1"/>
  <c r="AF65" i="16"/>
  <c r="AG65" i="16" l="1"/>
  <c r="AH65" i="16" s="1"/>
  <c r="AI65" i="16" s="1"/>
  <c r="AC66" i="16"/>
  <c r="T66" i="16"/>
  <c r="U66" i="16" s="1"/>
  <c r="AD66" i="16" s="1"/>
  <c r="O67" i="16" l="1"/>
  <c r="AF66" i="16"/>
  <c r="W66" i="16"/>
  <c r="AE66" i="16" s="1"/>
  <c r="AG66" i="16" l="1"/>
  <c r="AH66" i="16" s="1"/>
  <c r="AI66" i="16" s="1"/>
  <c r="AC67" i="16"/>
  <c r="T67" i="16"/>
  <c r="U67" i="16" s="1"/>
  <c r="AD67" i="16" s="1"/>
  <c r="O68" i="16" l="1"/>
  <c r="AF67" i="16"/>
  <c r="W67" i="16"/>
  <c r="AE67" i="16" s="1"/>
  <c r="AG67" i="16" l="1"/>
  <c r="AH67" i="16" s="1"/>
  <c r="AI67" i="16" s="1"/>
  <c r="AC68" i="16"/>
  <c r="T68" i="16"/>
  <c r="U68" i="16" s="1"/>
  <c r="AD68" i="16" s="1"/>
  <c r="O69" i="16" l="1"/>
  <c r="W68" i="16"/>
  <c r="AE68" i="16" s="1"/>
  <c r="AF68" i="16"/>
  <c r="AG68" i="16" l="1"/>
  <c r="AH68" i="16" s="1"/>
  <c r="AI68" i="16" s="1"/>
  <c r="AC69" i="16"/>
  <c r="T69" i="16"/>
  <c r="U69" i="16" s="1"/>
  <c r="AD69" i="16" s="1"/>
  <c r="O70" i="16" l="1"/>
  <c r="AF69" i="16"/>
  <c r="W69" i="16"/>
  <c r="AE69" i="16" s="1"/>
  <c r="AG69" i="16" l="1"/>
  <c r="AH69" i="16" s="1"/>
  <c r="AI69" i="16" s="1"/>
  <c r="AC70" i="16"/>
  <c r="T70" i="16"/>
  <c r="U70" i="16" s="1"/>
  <c r="AD70" i="16" s="1"/>
  <c r="O71" i="16" l="1"/>
  <c r="W70" i="16"/>
  <c r="AE70" i="16" s="1"/>
  <c r="AF70" i="16"/>
  <c r="AG70" i="16" l="1"/>
  <c r="AH70" i="16" s="1"/>
  <c r="AI70" i="16" s="1"/>
  <c r="AC71" i="16"/>
  <c r="T71" i="16"/>
  <c r="U71" i="16" s="1"/>
  <c r="AD71" i="16" s="1"/>
  <c r="O72" i="16" l="1"/>
  <c r="W71" i="16"/>
  <c r="AE71" i="16" s="1"/>
  <c r="AF71" i="16"/>
  <c r="AG71" i="16" l="1"/>
  <c r="AH71" i="16" s="1"/>
  <c r="AI71" i="16" s="1"/>
  <c r="AC72" i="16"/>
  <c r="T72" i="16"/>
  <c r="U72" i="16" s="1"/>
  <c r="AD72" i="16" s="1"/>
  <c r="O73" i="16" l="1"/>
  <c r="AF72" i="16"/>
  <c r="W72" i="16"/>
  <c r="AE72" i="16" s="1"/>
  <c r="AG72" i="16" l="1"/>
  <c r="AH72" i="16" s="1"/>
  <c r="AI72" i="16" s="1"/>
  <c r="AC73" i="16"/>
  <c r="T73" i="16"/>
  <c r="U73" i="16" s="1"/>
  <c r="AD73" i="16" s="1"/>
  <c r="O74" i="16" l="1"/>
  <c r="AF73" i="16"/>
  <c r="W73" i="16"/>
  <c r="AE73" i="16" s="1"/>
  <c r="AG73" i="16" l="1"/>
  <c r="AH73" i="16" s="1"/>
  <c r="AI73" i="16" s="1"/>
  <c r="AC74" i="16"/>
  <c r="T74" i="16"/>
  <c r="U74" i="16" s="1"/>
  <c r="AD74" i="16" s="1"/>
  <c r="AF74" i="16" l="1"/>
  <c r="W74" i="16"/>
  <c r="AE74" i="16" s="1"/>
  <c r="AG74" i="16" l="1"/>
  <c r="AH74" i="16" s="1"/>
  <c r="AI74" i="16" s="1"/>
  <c r="C53" i="16" s="1"/>
  <c r="AL24" i="16"/>
  <c r="C59" i="16" s="1"/>
</calcChain>
</file>

<file path=xl/sharedStrings.xml><?xml version="1.0" encoding="utf-8"?>
<sst xmlns="http://schemas.openxmlformats.org/spreadsheetml/2006/main" count="103" uniqueCount="94">
  <si>
    <t>NOTE TO CANDIDATES:</t>
  </si>
  <si>
    <t xml:space="preserve">This tab is to be used for answering question 1. </t>
  </si>
  <si>
    <t xml:space="preserve">(ii) </t>
  </si>
  <si>
    <t>Answer:</t>
  </si>
  <si>
    <t>(i)</t>
  </si>
  <si>
    <t>(ii)</t>
  </si>
  <si>
    <t>(iii)</t>
  </si>
  <si>
    <r>
      <t>Responses to this question in the written answer booklet</t>
    </r>
    <r>
      <rPr>
        <b/>
        <sz val="14"/>
        <color theme="1"/>
        <rFont val="Calibri"/>
        <family val="2"/>
        <scheme val="minor"/>
      </rPr>
      <t xml:space="preserve"> will not</t>
    </r>
    <r>
      <rPr>
        <sz val="14"/>
        <color theme="1"/>
        <rFont val="Calibri"/>
        <family val="2"/>
        <scheme val="minor"/>
      </rPr>
      <t xml:space="preserve"> be graded.</t>
    </r>
  </si>
  <si>
    <r>
      <t xml:space="preserve">This tab </t>
    </r>
    <r>
      <rPr>
        <b/>
        <sz val="14"/>
        <color theme="1"/>
        <rFont val="Calibri"/>
        <family val="2"/>
        <scheme val="minor"/>
      </rPr>
      <t>will</t>
    </r>
    <r>
      <rPr>
        <sz val="14"/>
        <color theme="1"/>
        <rFont val="Calibri"/>
        <family val="2"/>
        <scheme val="minor"/>
      </rPr>
      <t xml:space="preserve"> be graded.</t>
    </r>
  </si>
  <si>
    <t>Year (k)</t>
  </si>
  <si>
    <t xml:space="preserve">(iii) </t>
  </si>
  <si>
    <t>You are given the following information regarding the profit test basis:</t>
  </si>
  <si>
    <t>Hurdle rate:</t>
  </si>
  <si>
    <t>Precontract expense:</t>
  </si>
  <si>
    <t>Earned asset rate:</t>
  </si>
  <si>
    <t>Determine the breakeven year for this policy.</t>
  </si>
  <si>
    <t>Calculate the profit margin for this policy.</t>
  </si>
  <si>
    <t>The insurer holds the account value as the policy's reserve.</t>
  </si>
  <si>
    <t xml:space="preserve">The annual credited interest rate is </t>
  </si>
  <si>
    <t>This question has parts (a), (b), (c), and (d).</t>
  </si>
  <si>
    <t>Percent of premium charge:</t>
  </si>
  <si>
    <t>You are tasked with conducting a profit test of a Type B Universal Life policy issued to (50).</t>
  </si>
  <si>
    <t xml:space="preserve">The Additional Death Benefit (ADB) is </t>
  </si>
  <si>
    <t>Interest Credited</t>
  </si>
  <si>
    <t>Surrender Charge</t>
  </si>
  <si>
    <t>Calculate the Account Value (AV) for the policy at the end of the 5th year.</t>
  </si>
  <si>
    <t>Calculate the Cash Value (CV) for the policy at the end of the 5th year.</t>
  </si>
  <si>
    <t>CoI Rates</t>
  </si>
  <si>
    <t>Mortality Rates</t>
  </si>
  <si>
    <t>Lapse Rates</t>
  </si>
  <si>
    <t>You should find the answer is 13000 to the nearest 100.</t>
  </si>
  <si>
    <t>You should find the answer is 5200 to the nearest 100.</t>
  </si>
  <si>
    <t>Your colleague notes that higher premium levels will result in increased profitability, and hence suggests obtaining the required profit margin by changing the annual premium from 2500 to 3000. Critique your colleague's suggestion.</t>
  </si>
  <si>
    <r>
      <rPr>
        <i/>
        <sz val="14"/>
        <color theme="1"/>
        <rFont val="Calibri"/>
        <family val="2"/>
        <scheme val="minor"/>
      </rPr>
      <t>i</t>
    </r>
    <r>
      <rPr>
        <i/>
        <vertAlign val="subscript"/>
        <sz val="14"/>
        <color theme="1"/>
        <rFont val="Calibri (Body)"/>
      </rPr>
      <t>c</t>
    </r>
    <r>
      <rPr>
        <sz val="14"/>
        <color theme="1"/>
        <rFont val="Calibri"/>
        <family val="2"/>
        <scheme val="minor"/>
      </rPr>
      <t xml:space="preserve"> =</t>
    </r>
  </si>
  <si>
    <r>
      <rPr>
        <i/>
        <sz val="14"/>
        <color theme="1"/>
        <rFont val="Calibri"/>
        <family val="2"/>
        <scheme val="minor"/>
      </rPr>
      <t>i</t>
    </r>
    <r>
      <rPr>
        <i/>
        <vertAlign val="subscript"/>
        <sz val="14"/>
        <color theme="1"/>
        <rFont val="Calibri (Body)"/>
      </rPr>
      <t>q</t>
    </r>
    <r>
      <rPr>
        <sz val="14"/>
        <color theme="1"/>
        <rFont val="Calibri"/>
        <family val="2"/>
        <scheme val="minor"/>
      </rPr>
      <t xml:space="preserve"> =</t>
    </r>
  </si>
  <si>
    <t>Briefly describe the main purpose of the insurer including a surrender charge in a Universal Life policy.</t>
  </si>
  <si>
    <r>
      <t>I</t>
    </r>
    <r>
      <rPr>
        <b/>
        <i/>
        <vertAlign val="subscript"/>
        <sz val="14"/>
        <color theme="1"/>
        <rFont val="Calibri"/>
        <family val="2"/>
        <scheme val="minor"/>
      </rPr>
      <t>k</t>
    </r>
  </si>
  <si>
    <t>Percent of premium expense</t>
  </si>
  <si>
    <t>Before submitting your worksheet you should reset the premium expense charge to 2%</t>
  </si>
  <si>
    <t>Candidate ID</t>
  </si>
  <si>
    <r>
      <t xml:space="preserve">Assume that the policyholder pays an annual premium  of </t>
    </r>
    <r>
      <rPr>
        <i/>
        <sz val="14"/>
        <color theme="1"/>
        <rFont val="Calibri"/>
        <family val="2"/>
        <scheme val="minor"/>
      </rPr>
      <t>P</t>
    </r>
    <r>
      <rPr>
        <sz val="14"/>
        <color theme="1"/>
        <rFont val="Calibri"/>
        <family val="2"/>
        <scheme val="minor"/>
      </rPr>
      <t xml:space="preserve"> =</t>
    </r>
  </si>
  <si>
    <r>
      <t>The expense charges (</t>
    </r>
    <r>
      <rPr>
        <i/>
        <sz val="14"/>
        <color theme="1"/>
        <rFont val="Calibri"/>
        <family val="2"/>
        <scheme val="minor"/>
      </rPr>
      <t>EC</t>
    </r>
    <r>
      <rPr>
        <sz val="14"/>
        <color theme="1"/>
        <rFont val="Calibri"/>
        <family val="2"/>
        <scheme val="minor"/>
      </rPr>
      <t>) consist of:</t>
    </r>
  </si>
  <si>
    <t>Annual flat fee (charged at the start of each year):</t>
  </si>
  <si>
    <t>Goal Seek</t>
  </si>
  <si>
    <t>Set Cell</t>
  </si>
  <si>
    <t>To Value</t>
  </si>
  <si>
    <t>By Changing cell</t>
  </si>
  <si>
    <t>v^t</t>
  </si>
  <si>
    <t>Policyholders have the option as to how much premium to pay, subject to a minimum. The premium paid is an input assumption, not a policy parameter, unless the insurer changes the minimum premium. Changing the minimum premium would likely significantly reduce the marketability of the policy.</t>
  </si>
  <si>
    <t>_tp^tau_x</t>
  </si>
  <si>
    <t>To recover acquisition expenses from policies that surrender early.</t>
  </si>
  <si>
    <t>The interest rate used to discount the CoI is</t>
  </si>
  <si>
    <t>All policyholders surviving to age 100 are assumed to surrender their policies at this time.</t>
  </si>
  <si>
    <t>Yearly maintenance expense incurred at the start of each year including the first:</t>
  </si>
  <si>
    <t>(i) Use Goal Seek to determine the minimum percent of premium charge required to obtain a profit margin of 5%, holding everything else constant. You should show the parameters you used for the Goal Seek below.</t>
  </si>
  <si>
    <t>Question 1 (11 points)</t>
  </si>
  <si>
    <r>
      <t>(a) (</t>
    </r>
    <r>
      <rPr>
        <i/>
        <sz val="14"/>
        <color theme="1"/>
        <rFont val="Calibri"/>
        <family val="2"/>
        <scheme val="minor"/>
      </rPr>
      <t>4 points</t>
    </r>
    <r>
      <rPr>
        <sz val="14"/>
        <color theme="1"/>
        <rFont val="Calibri"/>
        <family val="2"/>
        <scheme val="minor"/>
      </rPr>
      <t>)</t>
    </r>
  </si>
  <si>
    <r>
      <t>(b) (</t>
    </r>
    <r>
      <rPr>
        <i/>
        <sz val="14"/>
        <color theme="1"/>
        <rFont val="Calibri"/>
        <family val="2"/>
        <scheme val="minor"/>
      </rPr>
      <t>1 point</t>
    </r>
    <r>
      <rPr>
        <sz val="14"/>
        <color theme="1"/>
        <rFont val="Calibri"/>
        <family val="2"/>
        <scheme val="minor"/>
      </rPr>
      <t>)</t>
    </r>
  </si>
  <si>
    <t>Expected surrender rates, per policyholder in force at year end, are given in column AA.</t>
  </si>
  <si>
    <t>Expected mortality rates are given in column  Z.</t>
  </si>
  <si>
    <t>Surrender charges, as a percent of account value, are given in column V.</t>
  </si>
  <si>
    <t>CoI rates are given in Column S.</t>
  </si>
  <si>
    <t>Complete the table in columns O  to W  of this worksheet.</t>
  </si>
  <si>
    <t>C59</t>
  </si>
  <si>
    <t>F18</t>
  </si>
  <si>
    <t>These cell references are not consistent with the exam as the solution has a changed format</t>
  </si>
  <si>
    <t>(d) (2 points) Your supervisor has asked you to explore ways to increase the profit margin of this product to at least 5%.</t>
  </si>
  <si>
    <r>
      <t>(c) (</t>
    </r>
    <r>
      <rPr>
        <i/>
        <sz val="14"/>
        <color theme="1"/>
        <rFont val="Calibri"/>
        <family val="2"/>
        <scheme val="minor"/>
      </rPr>
      <t>4 points</t>
    </r>
    <r>
      <rPr>
        <sz val="14"/>
        <color theme="1"/>
        <rFont val="Calibri"/>
        <family val="2"/>
        <scheme val="minor"/>
      </rPr>
      <t>)</t>
    </r>
  </si>
  <si>
    <t>(i) Calculate the NPV for this policy. You may add columns to the right of the table for additional work. You should find       that the answer is 950 to the nearest 10.</t>
  </si>
  <si>
    <t>Examiners' Comments:</t>
  </si>
  <si>
    <r>
      <t>1.</t>
    </r>
    <r>
      <rPr>
        <sz val="7"/>
        <color theme="1"/>
        <rFont val="Aptos"/>
        <family val="2"/>
      </rPr>
      <t xml:space="preserve">      </t>
    </r>
    <r>
      <rPr>
        <sz val="12"/>
        <color theme="1"/>
        <rFont val="Aptos"/>
        <family val="2"/>
      </rPr>
      <t>In general candidates did well on this question.</t>
    </r>
  </si>
  <si>
    <r>
      <t>2.</t>
    </r>
    <r>
      <rPr>
        <sz val="7"/>
        <color theme="1"/>
        <rFont val="Aptos"/>
        <family val="2"/>
      </rPr>
      <t xml:space="preserve">      </t>
    </r>
    <r>
      <rPr>
        <sz val="12"/>
        <color theme="1"/>
        <rFont val="Aptos"/>
        <family val="2"/>
      </rPr>
      <t>General pointers for excel questions.</t>
    </r>
  </si>
  <si>
    <r>
      <t>a.</t>
    </r>
    <r>
      <rPr>
        <sz val="7"/>
        <color theme="1"/>
        <rFont val="Aptos"/>
        <family val="2"/>
      </rPr>
      <t xml:space="preserve">      </t>
    </r>
    <r>
      <rPr>
        <sz val="12"/>
        <color theme="1"/>
        <rFont val="Aptos"/>
        <family val="2"/>
      </rPr>
      <t xml:space="preserve">It is worthwhile to spot check answers with a calculator.   For example, several candidates mistyped </t>
    </r>
    <r>
      <rPr>
        <i/>
        <sz val="12"/>
        <color theme="1"/>
        <rFont val="Aptos"/>
        <family val="2"/>
      </rPr>
      <t>v</t>
    </r>
    <r>
      <rPr>
        <sz val="12"/>
        <color theme="1"/>
        <rFont val="Aptos"/>
        <family val="2"/>
      </rPr>
      <t xml:space="preserve"> as (1/</t>
    </r>
    <r>
      <rPr>
        <i/>
        <sz val="12"/>
        <color theme="1"/>
        <rFont val="Aptos"/>
        <family val="2"/>
      </rPr>
      <t>i</t>
    </r>
    <r>
      <rPr>
        <sz val="12"/>
        <color theme="1"/>
        <rFont val="Aptos"/>
        <family val="2"/>
      </rPr>
      <t>+1) instead of 1/(1+</t>
    </r>
    <r>
      <rPr>
        <i/>
        <sz val="12"/>
        <color theme="1"/>
        <rFont val="Aptos"/>
        <family val="2"/>
      </rPr>
      <t>i</t>
    </r>
    <r>
      <rPr>
        <sz val="12"/>
        <color theme="1"/>
        <rFont val="Aptos"/>
        <family val="2"/>
      </rPr>
      <t>).</t>
    </r>
  </si>
  <si>
    <r>
      <t>a.</t>
    </r>
    <r>
      <rPr>
        <sz val="7"/>
        <color theme="1"/>
        <rFont val="Aptos"/>
        <family val="2"/>
      </rPr>
      <t xml:space="preserve">      </t>
    </r>
    <r>
      <rPr>
        <sz val="12"/>
        <color theme="1"/>
        <rFont val="Aptos"/>
        <family val="2"/>
      </rPr>
      <t>The death benefit included both the Account Value and Additional Death Benefit.</t>
    </r>
  </si>
  <si>
    <r>
      <t>b.</t>
    </r>
    <r>
      <rPr>
        <sz val="7"/>
        <color theme="1"/>
        <rFont val="Aptos"/>
        <family val="2"/>
      </rPr>
      <t xml:space="preserve">      </t>
    </r>
    <r>
      <rPr>
        <sz val="12"/>
        <color theme="1"/>
        <rFont val="Aptos"/>
        <family val="2"/>
      </rPr>
      <t>Please do not hide, insert or delete columns.  This makes it harder for graders to follow your answer and give you appropriate</t>
    </r>
  </si>
  <si>
    <t xml:space="preserve">        points for your work.</t>
  </si>
  <si>
    <t xml:space="preserve">        ALTAM excel question.</t>
  </si>
  <si>
    <r>
      <t>3.</t>
    </r>
    <r>
      <rPr>
        <sz val="7"/>
        <color theme="1"/>
        <rFont val="Aptos"/>
        <family val="2"/>
      </rPr>
      <t xml:space="preserve">      </t>
    </r>
    <r>
      <rPr>
        <sz val="12"/>
        <color theme="1"/>
        <rFont val="Aptos"/>
        <family val="2"/>
      </rPr>
      <t>In general candidates did well filling in the columns for part a).  This question followed naturally from examples in the text and a sample</t>
    </r>
  </si>
  <si>
    <t>4.   For part a), (ii), there was a typo.  The question should have stated that the answer was to the nearest 1000.  This did not seem to cause</t>
  </si>
  <si>
    <t xml:space="preserve">       any issues for the candidates.</t>
  </si>
  <si>
    <r>
      <t>5.</t>
    </r>
    <r>
      <rPr>
        <sz val="7"/>
        <color theme="1"/>
        <rFont val="Aptos"/>
        <family val="2"/>
      </rPr>
      <t xml:space="preserve">      </t>
    </r>
    <r>
      <rPr>
        <sz val="12"/>
        <color theme="1"/>
        <rFont val="Aptos"/>
        <family val="2"/>
      </rPr>
      <t xml:space="preserve">For part b) candidates received no points for saying that Surrender Charges were used to discourage policyholders surrenders.  </t>
    </r>
  </si>
  <si>
    <t xml:space="preserve">       We required candidates to give a reason why early surrender was a problem for the insurance company.</t>
  </si>
  <si>
    <t xml:space="preserve">             7.  Very few candidates noted the issue with part d that the premiums in UL are determined by the policyholder, though many pointed out </t>
  </si>
  <si>
    <t xml:space="preserve">                   that enforcing a high minimum premium would turn policyholders away. </t>
  </si>
  <si>
    <t xml:space="preserve">             8.  On the goal seek, some candidates tried to achieve the goal by changing the premium or actual expense incurred, rather than the expense</t>
  </si>
  <si>
    <t>charge. Only one of those (the one we asked for) is a policy design decision that the insurer makes.</t>
  </si>
  <si>
    <r>
      <t>d.</t>
    </r>
    <r>
      <rPr>
        <sz val="7"/>
        <color theme="1"/>
        <rFont val="Aptos"/>
        <family val="2"/>
      </rPr>
      <t xml:space="preserve">     </t>
    </r>
    <r>
      <rPr>
        <sz val="12"/>
        <color theme="1"/>
        <rFont val="Aptos"/>
        <family val="2"/>
      </rPr>
      <t>The mortality and lapse rates are independent probabilities so this needs to be reflected appropriately.  Some candidates treated</t>
    </r>
  </si>
  <si>
    <t xml:space="preserve">        them as dependent decrements.</t>
  </si>
  <si>
    <r>
      <t>6.</t>
    </r>
    <r>
      <rPr>
        <sz val="7"/>
        <color theme="1"/>
        <rFont val="Aptos"/>
        <family val="2"/>
      </rPr>
      <t xml:space="preserve">      </t>
    </r>
    <r>
      <rPr>
        <sz val="12"/>
        <color theme="1"/>
        <rFont val="Aptos"/>
        <family val="2"/>
      </rPr>
      <t xml:space="preserve">Once again, the columns for part c) followed on from the sample question.  However, more candidates had errors in completing this part.   </t>
    </r>
  </si>
  <si>
    <t xml:space="preserve">        Common errors  included:</t>
  </si>
  <si>
    <r>
      <t>b.</t>
    </r>
    <r>
      <rPr>
        <sz val="7"/>
        <color theme="1"/>
        <rFont val="Aptos"/>
        <family val="2"/>
      </rPr>
      <t xml:space="preserve">     </t>
    </r>
    <r>
      <rPr>
        <sz val="12"/>
        <color theme="1"/>
        <rFont val="Aptos"/>
        <family val="2"/>
      </rPr>
      <t>Including the COI and/or Expense charges to policyholders in the insurer’s profit calculations.  These are already accounted for</t>
    </r>
  </si>
  <si>
    <t xml:space="preserve">        the Account Values from part a)</t>
  </si>
  <si>
    <r>
      <t>c.</t>
    </r>
    <r>
      <rPr>
        <sz val="7"/>
        <color theme="1"/>
        <rFont val="Aptos"/>
        <family val="2"/>
      </rPr>
      <t xml:space="preserve">      </t>
    </r>
    <r>
      <rPr>
        <sz val="12"/>
        <color theme="1"/>
        <rFont val="Aptos"/>
        <family val="2"/>
      </rPr>
      <t>Surrenders take effect only at the end of each year, while deaths are distributed throughout the year.  Therefore, the Expected CSV</t>
    </r>
  </si>
  <si>
    <t xml:space="preserve">        should be calculated after the deaths for the year are taken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</si>
</sst>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00"/>
    <numFmt numFmtId="166" formatCode="_-* #,##0_-;\-* #,##0_-;_-* &quot;-&quot;??_-;_-@_-"/>
    <numFmt numFmtId="167" formatCode="0.000%"/>
    <numFmt numFmtId="168" formatCode="0.0000%"/>
  </numFmts>
  <fonts count="15">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i/>
      <sz val="14"/>
      <color theme="1"/>
      <name val="Calibri"/>
      <family val="2"/>
      <scheme val="minor"/>
    </font>
    <font>
      <sz val="12"/>
      <color theme="1"/>
      <name val="Calibri"/>
      <family val="2"/>
      <scheme val="minor"/>
    </font>
    <font>
      <b/>
      <sz val="16"/>
      <color theme="1"/>
      <name val="Calibri"/>
      <family val="2"/>
      <scheme val="minor"/>
    </font>
    <font>
      <i/>
      <vertAlign val="subscript"/>
      <sz val="14"/>
      <color theme="1"/>
      <name val="Calibri (Body)"/>
    </font>
    <font>
      <b/>
      <i/>
      <vertAlign val="subscript"/>
      <sz val="14"/>
      <color theme="1"/>
      <name val="Calibri"/>
      <family val="2"/>
      <scheme val="minor"/>
    </font>
    <font>
      <b/>
      <sz val="20"/>
      <color theme="1"/>
      <name val="Calibri"/>
      <family val="2"/>
      <scheme val="minor"/>
    </font>
    <font>
      <i/>
      <sz val="12"/>
      <color theme="1"/>
      <name val="Calibri"/>
      <family val="2"/>
      <scheme val="minor"/>
    </font>
    <font>
      <sz val="12"/>
      <color theme="1"/>
      <name val="Aptos"/>
      <family val="2"/>
    </font>
    <font>
      <i/>
      <sz val="12"/>
      <color theme="1"/>
      <name val="Aptos"/>
      <family val="2"/>
    </font>
    <font>
      <sz val="7"/>
      <color theme="1"/>
      <name val="Aptos"/>
      <family val="2"/>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s>
  <cellStyleXfs count="2">
    <xf numFmtId="0" fontId="0" fillId="0" borderId="0"/>
    <xf numFmtId="164" fontId="6" fillId="0" borderId="0" applyFont="0" applyFill="0" applyBorder="0" applyAlignment="0" applyProtection="0"/>
  </cellStyleXfs>
  <cellXfs count="146">
    <xf numFmtId="0" fontId="0" fillId="0" borderId="0" xfId="0"/>
    <xf numFmtId="0" fontId="3" fillId="0" borderId="0" xfId="0" applyFont="1"/>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center"/>
    </xf>
    <xf numFmtId="0" fontId="3"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1" fillId="2" borderId="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left"/>
    </xf>
    <xf numFmtId="0" fontId="0" fillId="2" borderId="0" xfId="0" applyFill="1"/>
    <xf numFmtId="0" fontId="3" fillId="2" borderId="0" xfId="0" applyFont="1" applyFill="1" applyAlignment="1">
      <alignment horizontal="left"/>
    </xf>
    <xf numFmtId="0" fontId="0" fillId="2" borderId="0" xfId="0" applyFill="1" applyAlignment="1">
      <alignment horizontal="left"/>
    </xf>
    <xf numFmtId="0" fontId="3" fillId="2" borderId="0" xfId="0" applyFont="1" applyFill="1"/>
    <xf numFmtId="166" fontId="3" fillId="2" borderId="0" xfId="1" applyNumberFormat="1" applyFont="1" applyFill="1" applyAlignment="1">
      <alignment horizontal="right"/>
    </xf>
    <xf numFmtId="2" fontId="3" fillId="2" borderId="0" xfId="0" applyNumberFormat="1" applyFont="1" applyFill="1" applyAlignment="1">
      <alignment vertical="center"/>
    </xf>
    <xf numFmtId="0" fontId="3" fillId="0" borderId="8" xfId="0" applyFont="1" applyBorder="1" applyAlignment="1">
      <alignment vertical="center" wrapText="1"/>
    </xf>
    <xf numFmtId="1" fontId="0" fillId="2" borderId="4" xfId="0" applyNumberFormat="1" applyFill="1" applyBorder="1" applyAlignment="1">
      <alignment horizontal="center" vertical="center"/>
    </xf>
    <xf numFmtId="165" fontId="7" fillId="0" borderId="0" xfId="0" applyNumberFormat="1" applyFont="1" applyAlignment="1">
      <alignment horizontal="center"/>
    </xf>
    <xf numFmtId="9" fontId="3" fillId="2" borderId="0" xfId="0" applyNumberFormat="1" applyFont="1" applyFill="1"/>
    <xf numFmtId="0" fontId="1" fillId="2" borderId="4" xfId="0" applyFont="1" applyFill="1" applyBorder="1" applyAlignment="1">
      <alignment horizontal="center" vertical="center"/>
    </xf>
    <xf numFmtId="0" fontId="3" fillId="2" borderId="0" xfId="0" applyFont="1" applyFill="1" applyAlignment="1">
      <alignment horizontal="right"/>
    </xf>
    <xf numFmtId="0" fontId="1" fillId="2" borderId="3" xfId="0" applyFont="1" applyFill="1" applyBorder="1" applyAlignment="1">
      <alignment horizontal="center" vertical="center" wrapText="1"/>
    </xf>
    <xf numFmtId="0" fontId="0" fillId="2" borderId="4" xfId="0" applyFill="1" applyBorder="1" applyAlignment="1">
      <alignment horizontal="center" vertical="center"/>
    </xf>
    <xf numFmtId="0" fontId="1" fillId="3" borderId="2" xfId="0" applyFont="1" applyFill="1" applyBorder="1" applyAlignment="1">
      <alignment vertical="center"/>
    </xf>
    <xf numFmtId="0" fontId="1" fillId="3" borderId="16" xfId="0" applyFont="1" applyFill="1" applyBorder="1" applyAlignment="1">
      <alignment vertical="center"/>
    </xf>
    <xf numFmtId="165" fontId="0" fillId="3" borderId="4" xfId="0" applyNumberFormat="1" applyFill="1" applyBorder="1" applyAlignment="1">
      <alignment horizontal="center" vertical="center"/>
    </xf>
    <xf numFmtId="165" fontId="0" fillId="3" borderId="4" xfId="0" applyNumberFormat="1" applyFill="1" applyBorder="1" applyAlignment="1">
      <alignment horizontal="center"/>
    </xf>
    <xf numFmtId="2" fontId="0" fillId="0" borderId="6" xfId="0" applyNumberFormat="1" applyBorder="1" applyAlignment="1">
      <alignment horizontal="center" vertical="center"/>
    </xf>
    <xf numFmtId="2" fontId="0" fillId="0" borderId="0" xfId="0" applyNumberFormat="1"/>
    <xf numFmtId="2" fontId="0" fillId="0" borderId="0" xfId="0" applyNumberFormat="1" applyAlignment="1">
      <alignment vertical="center"/>
    </xf>
    <xf numFmtId="1" fontId="0" fillId="2" borderId="5" xfId="0" applyNumberFormat="1" applyFill="1" applyBorder="1" applyAlignment="1">
      <alignment horizontal="center" vertical="center"/>
    </xf>
    <xf numFmtId="165" fontId="0" fillId="3" borderId="5" xfId="0" applyNumberFormat="1" applyFill="1" applyBorder="1" applyAlignment="1">
      <alignment horizontal="center"/>
    </xf>
    <xf numFmtId="0" fontId="0" fillId="2" borderId="5" xfId="0" applyFill="1" applyBorder="1" applyAlignment="1">
      <alignment horizontal="center"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2" fontId="0" fillId="0" borderId="19" xfId="0" applyNumberFormat="1" applyBorder="1" applyAlignment="1">
      <alignment horizontal="center" vertical="center"/>
    </xf>
    <xf numFmtId="0" fontId="0" fillId="2" borderId="0" xfId="0" applyFill="1" applyAlignment="1">
      <alignment horizontal="center"/>
    </xf>
    <xf numFmtId="0" fontId="3" fillId="2" borderId="0" xfId="0" applyFont="1" applyFill="1" applyAlignment="1">
      <alignment horizontal="center"/>
    </xf>
    <xf numFmtId="9" fontId="3" fillId="2" borderId="0" xfId="0" applyNumberFormat="1" applyFont="1" applyFill="1" applyAlignment="1">
      <alignment horizont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0" fillId="0" borderId="0" xfId="0" applyFont="1"/>
    <xf numFmtId="0" fontId="3" fillId="2" borderId="0" xfId="0" applyFont="1" applyFill="1" applyAlignment="1">
      <alignment vertical="top" wrapText="1"/>
    </xf>
    <xf numFmtId="0" fontId="3" fillId="2" borderId="20" xfId="0" applyFont="1" applyFill="1" applyBorder="1" applyAlignment="1">
      <alignment horizontal="center"/>
    </xf>
    <xf numFmtId="9" fontId="3" fillId="2" borderId="20" xfId="0" applyNumberFormat="1" applyFont="1" applyFill="1" applyBorder="1" applyAlignment="1">
      <alignment horizontal="center"/>
    </xf>
    <xf numFmtId="168" fontId="3" fillId="2" borderId="20" xfId="0" applyNumberFormat="1" applyFont="1" applyFill="1" applyBorder="1" applyAlignment="1">
      <alignment horizontal="center"/>
    </xf>
    <xf numFmtId="9" fontId="3" fillId="2" borderId="20" xfId="0" applyNumberFormat="1" applyFont="1" applyFill="1" applyBorder="1"/>
    <xf numFmtId="0" fontId="3" fillId="2" borderId="20" xfId="0" applyFont="1" applyFill="1" applyBorder="1"/>
    <xf numFmtId="0" fontId="0" fillId="2" borderId="20" xfId="0" applyFill="1" applyBorder="1"/>
    <xf numFmtId="10" fontId="3" fillId="2" borderId="20" xfId="0" applyNumberFormat="1" applyFont="1" applyFill="1" applyBorder="1"/>
    <xf numFmtId="0" fontId="3" fillId="2" borderId="0" xfId="0" applyFont="1" applyFill="1" applyAlignment="1">
      <alignment horizontal="right" vertical="center"/>
    </xf>
    <xf numFmtId="0" fontId="3" fillId="2" borderId="0" xfId="0" applyFont="1" applyFill="1" applyAlignment="1">
      <alignment wrapText="1"/>
    </xf>
    <xf numFmtId="165" fontId="0" fillId="0" borderId="0" xfId="0" applyNumberFormat="1" applyAlignment="1">
      <alignment vertical="center"/>
    </xf>
    <xf numFmtId="0" fontId="1" fillId="4" borderId="17" xfId="0" applyFont="1" applyFill="1" applyBorder="1" applyAlignment="1">
      <alignment vertical="center"/>
    </xf>
    <xf numFmtId="165" fontId="0" fillId="4" borderId="6" xfId="0" applyNumberFormat="1" applyFill="1" applyBorder="1" applyAlignment="1">
      <alignment horizontal="center" vertical="center"/>
    </xf>
    <xf numFmtId="165" fontId="0" fillId="4" borderId="6" xfId="0" applyNumberFormat="1" applyFill="1" applyBorder="1" applyAlignment="1">
      <alignment horizontal="center"/>
    </xf>
    <xf numFmtId="165" fontId="0" fillId="4" borderId="9" xfId="0" applyNumberFormat="1" applyFill="1" applyBorder="1" applyAlignment="1">
      <alignment horizontal="center"/>
    </xf>
    <xf numFmtId="9" fontId="0" fillId="4" borderId="6" xfId="0" applyNumberFormat="1" applyFill="1" applyBorder="1" applyAlignment="1">
      <alignment horizontal="center" vertical="center"/>
    </xf>
    <xf numFmtId="9" fontId="0" fillId="4" borderId="6" xfId="0" applyNumberFormat="1" applyFill="1" applyBorder="1" applyAlignment="1">
      <alignment horizontal="center"/>
    </xf>
    <xf numFmtId="9" fontId="0" fillId="4" borderId="9" xfId="0" applyNumberFormat="1" applyFill="1" applyBorder="1" applyAlignment="1">
      <alignment horizontal="center"/>
    </xf>
    <xf numFmtId="0" fontId="3" fillId="0" borderId="3" xfId="0" applyFont="1" applyBorder="1" applyAlignment="1">
      <alignment horizontal="left"/>
    </xf>
    <xf numFmtId="0" fontId="0" fillId="0" borderId="0" xfId="0" applyAlignment="1">
      <alignment horizontal="left"/>
    </xf>
    <xf numFmtId="0" fontId="3" fillId="0" borderId="0" xfId="0" applyFont="1" applyAlignment="1">
      <alignment horizontal="center"/>
    </xf>
    <xf numFmtId="165" fontId="7" fillId="0" borderId="0" xfId="0" applyNumberFormat="1" applyFont="1" applyAlignment="1">
      <alignment vertical="center"/>
    </xf>
    <xf numFmtId="0" fontId="3" fillId="0" borderId="8" xfId="0" applyFont="1" applyBorder="1" applyAlignment="1">
      <alignment vertical="center"/>
    </xf>
    <xf numFmtId="9" fontId="3" fillId="0" borderId="0" xfId="0" applyNumberFormat="1" applyFont="1"/>
    <xf numFmtId="9" fontId="3" fillId="0" borderId="0" xfId="0" applyNumberFormat="1" applyFont="1" applyAlignment="1">
      <alignment horizontal="center"/>
    </xf>
    <xf numFmtId="165" fontId="7" fillId="0" borderId="0" xfId="0" applyNumberFormat="1" applyFont="1" applyAlignment="1">
      <alignment vertical="top" wrapText="1"/>
    </xf>
    <xf numFmtId="0" fontId="1" fillId="2" borderId="5" xfId="0" applyFont="1" applyFill="1" applyBorder="1" applyAlignment="1">
      <alignment vertical="center"/>
    </xf>
    <xf numFmtId="0" fontId="1" fillId="2" borderId="13" xfId="0" applyFont="1" applyFill="1" applyBorder="1" applyAlignment="1">
      <alignment vertical="center"/>
    </xf>
    <xf numFmtId="2" fontId="0" fillId="0" borderId="21" xfId="0" applyNumberFormat="1" applyBorder="1" applyAlignment="1">
      <alignment horizontal="center" vertical="center"/>
    </xf>
    <xf numFmtId="2" fontId="0" fillId="0" borderId="20" xfId="0" applyNumberFormat="1" applyBorder="1" applyAlignment="1">
      <alignment vertical="center"/>
    </xf>
    <xf numFmtId="0" fontId="4" fillId="2" borderId="13" xfId="0" applyFont="1" applyFill="1" applyBorder="1" applyAlignment="1">
      <alignment horizontal="center" vertical="center"/>
    </xf>
    <xf numFmtId="0" fontId="3" fillId="2" borderId="0" xfId="0" applyFont="1" applyFill="1" applyAlignment="1">
      <alignment horizontal="left" wrapText="1"/>
    </xf>
    <xf numFmtId="1" fontId="3" fillId="0" borderId="0" xfId="0" applyNumberFormat="1" applyFont="1" applyAlignment="1">
      <alignment horizontal="left"/>
    </xf>
    <xf numFmtId="1" fontId="0" fillId="0" borderId="0" xfId="0" applyNumberFormat="1"/>
    <xf numFmtId="0" fontId="3" fillId="2" borderId="0" xfId="0" applyFont="1" applyFill="1" applyAlignment="1">
      <alignment horizontal="left" vertical="center" wrapText="1"/>
    </xf>
    <xf numFmtId="0" fontId="11" fillId="5" borderId="0" xfId="0" applyFont="1" applyFill="1" applyAlignment="1">
      <alignment horizontal="left" vertical="top" wrapText="1"/>
    </xf>
    <xf numFmtId="0" fontId="3" fillId="2" borderId="0" xfId="0" applyFont="1" applyFill="1" applyAlignment="1">
      <alignment horizontal="left" vertical="top" wrapText="1"/>
    </xf>
    <xf numFmtId="0" fontId="0" fillId="5" borderId="2" xfId="0" applyFill="1" applyBorder="1" applyAlignment="1">
      <alignment horizontal="center"/>
    </xf>
    <xf numFmtId="0" fontId="0" fillId="5" borderId="1" xfId="0" applyFill="1" applyBorder="1" applyAlignment="1">
      <alignment horizontal="center"/>
    </xf>
    <xf numFmtId="0" fontId="3" fillId="2" borderId="0" xfId="0" applyFont="1" applyFill="1" applyAlignment="1">
      <alignment horizontal="left" wrapText="1"/>
    </xf>
    <xf numFmtId="0" fontId="11" fillId="0" borderId="0" xfId="0" quotePrefix="1" applyFont="1" applyFill="1" applyBorder="1" applyAlignment="1">
      <alignment horizontal="center"/>
    </xf>
    <xf numFmtId="0" fontId="11" fillId="0" borderId="0" xfId="0" applyFont="1" applyFill="1" applyBorder="1" applyAlignment="1">
      <alignment horizontal="center"/>
    </xf>
    <xf numFmtId="0" fontId="0" fillId="0" borderId="0" xfId="0" applyFill="1" applyBorder="1" applyAlignment="1">
      <alignment horizont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0" fillId="0" borderId="14" xfId="0" quotePrefix="1" applyFill="1" applyBorder="1" applyAlignment="1">
      <alignment horizontal="center"/>
    </xf>
    <xf numFmtId="0" fontId="1" fillId="0" borderId="0" xfId="0" quotePrefix="1" applyFont="1" applyFill="1" applyBorder="1" applyAlignment="1">
      <alignment horizontal="center"/>
    </xf>
    <xf numFmtId="0" fontId="1" fillId="0" borderId="0" xfId="0" applyFont="1" applyFill="1" applyBorder="1" applyAlignment="1">
      <alignment horizontal="center"/>
    </xf>
    <xf numFmtId="0" fontId="0" fillId="0" borderId="0" xfId="0" quotePrefix="1" applyFill="1" applyBorder="1" applyAlignment="1">
      <alignment horizontal="center"/>
    </xf>
    <xf numFmtId="0" fontId="3" fillId="0" borderId="0" xfId="0" applyFont="1" applyFill="1" applyAlignment="1">
      <alignment horizontal="left" vertical="center"/>
    </xf>
    <xf numFmtId="2" fontId="7" fillId="5" borderId="7" xfId="0" applyNumberFormat="1" applyFont="1" applyFill="1" applyBorder="1"/>
    <xf numFmtId="0" fontId="3" fillId="0" borderId="0" xfId="0" applyFont="1" applyFill="1" applyAlignment="1">
      <alignment horizontal="left" vertical="center" wrapText="1"/>
    </xf>
    <xf numFmtId="165" fontId="7" fillId="5" borderId="10" xfId="0" applyNumberFormat="1" applyFont="1" applyFill="1" applyBorder="1" applyAlignment="1">
      <alignment vertical="top"/>
    </xf>
    <xf numFmtId="165" fontId="7" fillId="5" borderId="11" xfId="0" applyNumberFormat="1" applyFont="1" applyFill="1" applyBorder="1" applyAlignment="1">
      <alignment vertical="top"/>
    </xf>
    <xf numFmtId="165" fontId="7" fillId="5" borderId="12" xfId="0" applyNumberFormat="1" applyFont="1" applyFill="1" applyBorder="1" applyAlignment="1">
      <alignment vertical="top"/>
    </xf>
    <xf numFmtId="165" fontId="7" fillId="5" borderId="13" xfId="0" applyNumberFormat="1" applyFont="1" applyFill="1" applyBorder="1" applyAlignment="1">
      <alignment vertical="top"/>
    </xf>
    <xf numFmtId="165" fontId="7" fillId="5" borderId="14" xfId="0" applyNumberFormat="1" applyFont="1" applyFill="1" applyBorder="1" applyAlignment="1">
      <alignment vertical="top"/>
    </xf>
    <xf numFmtId="165" fontId="7" fillId="5" borderId="15" xfId="0" applyNumberFormat="1" applyFont="1" applyFill="1" applyBorder="1" applyAlignment="1">
      <alignment vertical="top"/>
    </xf>
    <xf numFmtId="0" fontId="3" fillId="2" borderId="0" xfId="0" applyFont="1" applyFill="1" applyBorder="1" applyAlignment="1">
      <alignment horizontal="left" vertical="top" wrapText="1"/>
    </xf>
    <xf numFmtId="2" fontId="7" fillId="5" borderId="3" xfId="0" applyNumberFormat="1" applyFont="1" applyFill="1" applyBorder="1"/>
    <xf numFmtId="1" fontId="7" fillId="5" borderId="3" xfId="0" applyNumberFormat="1" applyFont="1" applyFill="1" applyBorder="1"/>
    <xf numFmtId="167" fontId="7" fillId="5" borderId="3" xfId="0" applyNumberFormat="1" applyFont="1" applyFill="1" applyBorder="1"/>
    <xf numFmtId="0" fontId="3" fillId="0" borderId="0" xfId="0" applyFont="1" applyFill="1"/>
    <xf numFmtId="0" fontId="3" fillId="0" borderId="0" xfId="0" applyFont="1" applyFill="1" applyAlignment="1">
      <alignment horizontal="left" wrapText="1"/>
    </xf>
    <xf numFmtId="0" fontId="0" fillId="0" borderId="0" xfId="0" applyFill="1"/>
    <xf numFmtId="0" fontId="3" fillId="5" borderId="3" xfId="0" applyFont="1" applyFill="1" applyBorder="1" applyAlignment="1">
      <alignment horizontal="center"/>
    </xf>
    <xf numFmtId="9" fontId="3" fillId="5" borderId="3" xfId="0" applyNumberFormat="1" applyFont="1" applyFill="1" applyBorder="1" applyAlignment="1">
      <alignment horizontal="center"/>
    </xf>
    <xf numFmtId="165" fontId="7" fillId="5" borderId="10" xfId="0" applyNumberFormat="1" applyFont="1" applyFill="1" applyBorder="1" applyAlignment="1">
      <alignment horizontal="left" vertical="top" wrapText="1"/>
    </xf>
    <xf numFmtId="165" fontId="7" fillId="5" borderId="11" xfId="0" applyNumberFormat="1" applyFont="1" applyFill="1" applyBorder="1" applyAlignment="1">
      <alignment horizontal="left" vertical="top" wrapText="1"/>
    </xf>
    <xf numFmtId="165" fontId="7" fillId="5" borderId="12" xfId="0" applyNumberFormat="1" applyFont="1" applyFill="1" applyBorder="1" applyAlignment="1">
      <alignment horizontal="left" vertical="top" wrapText="1"/>
    </xf>
    <xf numFmtId="165" fontId="7" fillId="5" borderId="13" xfId="0" applyNumberFormat="1" applyFont="1" applyFill="1" applyBorder="1" applyAlignment="1">
      <alignment horizontal="left" vertical="top" wrapText="1"/>
    </xf>
    <xf numFmtId="165" fontId="7" fillId="5" borderId="14" xfId="0" applyNumberFormat="1" applyFont="1" applyFill="1" applyBorder="1" applyAlignment="1">
      <alignment horizontal="left" vertical="top" wrapText="1"/>
    </xf>
    <xf numFmtId="165" fontId="7" fillId="5" borderId="15" xfId="0" applyNumberFormat="1" applyFont="1" applyFill="1" applyBorder="1" applyAlignment="1">
      <alignment horizontal="left" vertical="top" wrapText="1"/>
    </xf>
    <xf numFmtId="0" fontId="11" fillId="0" borderId="0" xfId="0" applyFont="1" applyFill="1" applyBorder="1" applyAlignment="1">
      <alignment horizontal="left" wrapText="1"/>
    </xf>
    <xf numFmtId="0" fontId="12" fillId="0" borderId="0" xfId="0" applyFont="1" applyAlignment="1">
      <alignment vertical="center"/>
    </xf>
    <xf numFmtId="0" fontId="12" fillId="0" borderId="0" xfId="0" applyFont="1"/>
    <xf numFmtId="0" fontId="12" fillId="0" borderId="0" xfId="0" applyFont="1" applyAlignment="1">
      <alignment horizontal="left" vertical="center" indent="8"/>
    </xf>
    <xf numFmtId="2" fontId="12" fillId="0" borderId="0" xfId="0" applyNumberFormat="1" applyFont="1"/>
    <xf numFmtId="2" fontId="12" fillId="0" borderId="0" xfId="0" applyNumberFormat="1" applyFont="1" applyAlignment="1">
      <alignment vertical="center"/>
    </xf>
    <xf numFmtId="0" fontId="12" fillId="6" borderId="10" xfId="0" applyFont="1" applyFill="1" applyBorder="1" applyAlignment="1">
      <alignment vertical="center"/>
    </xf>
    <xf numFmtId="0" fontId="12" fillId="6" borderId="11" xfId="0" applyFont="1" applyFill="1" applyBorder="1"/>
    <xf numFmtId="0" fontId="12" fillId="6" borderId="11" xfId="0" applyFont="1" applyFill="1" applyBorder="1" applyAlignment="1">
      <alignment horizontal="center"/>
    </xf>
    <xf numFmtId="0" fontId="12" fillId="6" borderId="12" xfId="0" applyFont="1" applyFill="1" applyBorder="1"/>
    <xf numFmtId="0" fontId="12" fillId="6" borderId="16" xfId="0" applyFont="1" applyFill="1" applyBorder="1" applyAlignment="1">
      <alignment horizontal="left" vertical="center" indent="4"/>
    </xf>
    <xf numFmtId="0" fontId="12" fillId="6" borderId="0" xfId="0" applyFont="1" applyFill="1" applyBorder="1"/>
    <xf numFmtId="0" fontId="12" fillId="6" borderId="0" xfId="0" applyFont="1" applyFill="1" applyBorder="1" applyAlignment="1">
      <alignment horizontal="center"/>
    </xf>
    <xf numFmtId="0" fontId="12" fillId="6" borderId="22" xfId="0" applyFont="1" applyFill="1" applyBorder="1"/>
    <xf numFmtId="0" fontId="12" fillId="6" borderId="16" xfId="0" applyFont="1" applyFill="1" applyBorder="1" applyAlignment="1">
      <alignment horizontal="left" vertical="center" indent="8"/>
    </xf>
    <xf numFmtId="0" fontId="12" fillId="6" borderId="0" xfId="0" applyFont="1" applyFill="1" applyBorder="1" applyAlignment="1">
      <alignment horizontal="left" vertical="center" indent="8"/>
    </xf>
    <xf numFmtId="0" fontId="12" fillId="6" borderId="16" xfId="0" applyFont="1" applyFill="1" applyBorder="1" applyAlignment="1">
      <alignment vertical="center"/>
    </xf>
    <xf numFmtId="0" fontId="12" fillId="6" borderId="13" xfId="0" applyFont="1" applyFill="1" applyBorder="1" applyAlignment="1">
      <alignment horizontal="left" vertical="center" indent="8"/>
    </xf>
    <xf numFmtId="0" fontId="0" fillId="6" borderId="14" xfId="0" applyFill="1" applyBorder="1"/>
    <xf numFmtId="0" fontId="0" fillId="6" borderId="14" xfId="0" applyFill="1" applyBorder="1" applyAlignment="1">
      <alignment horizontal="center"/>
    </xf>
    <xf numFmtId="0" fontId="0" fillId="6" borderId="15" xfId="0"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101600</xdr:colOff>
      <xdr:row>22</xdr:row>
      <xdr:rowOff>76200</xdr:rowOff>
    </xdr:from>
    <xdr:ext cx="533400" cy="2286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A9047E8-1EB4-FB40-A506-567D3CB9A888}"/>
                </a:ext>
              </a:extLst>
            </xdr:cNvPr>
            <xdr:cNvSpPr txBox="1"/>
          </xdr:nvSpPr>
          <xdr:spPr>
            <a:xfrm>
              <a:off x="145542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𝑨</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r>
                          <a:rPr lang="en-US" sz="1200" b="1" i="1">
                            <a:latin typeface="Cambria Math" panose="02040503050406030204" pitchFamily="18" charset="0"/>
                          </a:rPr>
                          <m:t>−</m:t>
                        </m:r>
                        <m:r>
                          <a:rPr lang="en-US" sz="1200" b="1" i="1">
                            <a:latin typeface="Cambria Math" panose="02040503050406030204" pitchFamily="18" charset="0"/>
                          </a:rPr>
                          <m:t>𝟏</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 name="TextBox 1">
              <a:extLst>
                <a:ext uri="{FF2B5EF4-FFF2-40B4-BE49-F238E27FC236}">
                  <a16:creationId xmlns:a16="http://schemas.microsoft.com/office/drawing/2014/main" id="{9A9047E8-1EB4-FB40-A506-567D3CB9A888}"/>
                </a:ext>
              </a:extLst>
            </xdr:cNvPr>
            <xdr:cNvSpPr txBox="1"/>
          </xdr:nvSpPr>
          <xdr:spPr>
            <a:xfrm>
              <a:off x="145542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𝑨𝑽_(𝒌−𝟏)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15</xdr:col>
      <xdr:colOff>127000</xdr:colOff>
      <xdr:row>22</xdr:row>
      <xdr:rowOff>63500</xdr:rowOff>
    </xdr:from>
    <xdr:ext cx="533400" cy="2286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8AC670B5-F25D-C44C-AD9A-B72BC70FF653}"/>
                </a:ext>
              </a:extLst>
            </xdr:cNvPr>
            <xdr:cNvSpPr txBox="1"/>
          </xdr:nvSpPr>
          <xdr:spPr>
            <a:xfrm>
              <a:off x="154178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CA" sz="1200" b="1" i="1">
                        <a:latin typeface="Cambria Math" panose="02040503050406030204" pitchFamily="18" charset="0"/>
                      </a:rPr>
                      <m:t>𝑷</m:t>
                    </m:r>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3" name="TextBox 2">
              <a:extLst>
                <a:ext uri="{FF2B5EF4-FFF2-40B4-BE49-F238E27FC236}">
                  <a16:creationId xmlns:a16="http://schemas.microsoft.com/office/drawing/2014/main" id="{8AC670B5-F25D-C44C-AD9A-B72BC70FF653}"/>
                </a:ext>
              </a:extLst>
            </xdr:cNvPr>
            <xdr:cNvSpPr txBox="1"/>
          </xdr:nvSpPr>
          <xdr:spPr>
            <a:xfrm>
              <a:off x="154178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CA" sz="1200" b="1" i="0">
                  <a:latin typeface="Cambria Math" panose="02040503050406030204" pitchFamily="18" charset="0"/>
                </a:rPr>
                <a:t>𝑷</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16</xdr:col>
      <xdr:colOff>266700</xdr:colOff>
      <xdr:row>22</xdr:row>
      <xdr:rowOff>76200</xdr:rowOff>
    </xdr:from>
    <xdr:ext cx="533400" cy="22860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AE7F2DC-5329-234C-AFCB-3EC1662643D0}"/>
                </a:ext>
              </a:extLst>
            </xdr:cNvPr>
            <xdr:cNvSpPr txBox="1"/>
          </xdr:nvSpPr>
          <xdr:spPr>
            <a:xfrm>
              <a:off x="16395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1">
                  <a:latin typeface="+mn-lt"/>
                </a:rPr>
                <a:t>E</a:t>
              </a:r>
              <a14:m>
                <m:oMath xmlns:m="http://schemas.openxmlformats.org/officeDocument/2006/math">
                  <m:r>
                    <a:rPr lang="en-CA" sz="1200" b="1" i="1">
                      <a:latin typeface="Cambria Math" panose="02040503050406030204" pitchFamily="18" charset="0"/>
                    </a:rPr>
                    <m:t>𝑪</m:t>
                  </m:r>
                </m:oMath>
              </a14:m>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4" name="TextBox 3">
              <a:extLst>
                <a:ext uri="{FF2B5EF4-FFF2-40B4-BE49-F238E27FC236}">
                  <a16:creationId xmlns:a16="http://schemas.microsoft.com/office/drawing/2014/main" id="{2AE7F2DC-5329-234C-AFCB-3EC1662643D0}"/>
                </a:ext>
              </a:extLst>
            </xdr:cNvPr>
            <xdr:cNvSpPr txBox="1"/>
          </xdr:nvSpPr>
          <xdr:spPr>
            <a:xfrm>
              <a:off x="16395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1">
                  <a:latin typeface="+mn-lt"/>
                </a:rPr>
                <a:t>E</a:t>
              </a:r>
              <a:r>
                <a:rPr lang="en-CA" sz="1200" b="1" i="0">
                  <a:latin typeface="Cambria Math" panose="02040503050406030204" pitchFamily="18" charset="0"/>
                </a:rPr>
                <a:t>𝑪</a:t>
              </a:r>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18</xdr:col>
      <xdr:colOff>165100</xdr:colOff>
      <xdr:row>22</xdr:row>
      <xdr:rowOff>88900</xdr:rowOff>
    </xdr:from>
    <xdr:ext cx="533400" cy="228600"/>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FB7CE35-1BC1-9A44-BA6C-D993C661B3A8}"/>
                </a:ext>
              </a:extLst>
            </xdr:cNvPr>
            <xdr:cNvSpPr txBox="1"/>
          </xdr:nvSpPr>
          <xdr:spPr>
            <a:xfrm>
              <a:off x="17132300" y="71374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𝑪𝒐𝑰</m:t>
                        </m:r>
                      </m:e>
                      <m:sub>
                        <m:r>
                          <a:rPr lang="en-US" sz="1200" b="1" i="1">
                            <a:latin typeface="Cambria Math" panose="02040503050406030204" pitchFamily="18" charset="0"/>
                          </a:rPr>
                          <m:t>𝒌</m:t>
                        </m:r>
                      </m:sub>
                    </m:sSub>
                  </m:oMath>
                </m:oMathPara>
              </a14:m>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5" name="TextBox 4">
              <a:extLst>
                <a:ext uri="{FF2B5EF4-FFF2-40B4-BE49-F238E27FC236}">
                  <a16:creationId xmlns:a16="http://schemas.microsoft.com/office/drawing/2014/main" id="{FFB7CE35-1BC1-9A44-BA6C-D993C661B3A8}"/>
                </a:ext>
              </a:extLst>
            </xdr:cNvPr>
            <xdr:cNvSpPr txBox="1"/>
          </xdr:nvSpPr>
          <xdr:spPr>
            <a:xfrm>
              <a:off x="17132300" y="71374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〖𝑪𝒐𝑰〗_𝒌</a:t>
              </a:r>
              <a:endParaRPr lang="en-US" sz="1200" b="1" i="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20</xdr:col>
      <xdr:colOff>127000</xdr:colOff>
      <xdr:row>22</xdr:row>
      <xdr:rowOff>63500</xdr:rowOff>
    </xdr:from>
    <xdr:ext cx="533400" cy="2286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FD988915-ABE4-534E-9454-3F44E4198B4E}"/>
                </a:ext>
              </a:extLst>
            </xdr:cNvPr>
            <xdr:cNvSpPr txBox="1"/>
          </xdr:nvSpPr>
          <xdr:spPr>
            <a:xfrm>
              <a:off x="187706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𝑨</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6" name="TextBox 5">
              <a:extLst>
                <a:ext uri="{FF2B5EF4-FFF2-40B4-BE49-F238E27FC236}">
                  <a16:creationId xmlns:a16="http://schemas.microsoft.com/office/drawing/2014/main" id="{FD988915-ABE4-534E-9454-3F44E4198B4E}"/>
                </a:ext>
              </a:extLst>
            </xdr:cNvPr>
            <xdr:cNvSpPr txBox="1"/>
          </xdr:nvSpPr>
          <xdr:spPr>
            <a:xfrm>
              <a:off x="18770600" y="71120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𝑨𝑽_𝒌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22</xdr:col>
      <xdr:colOff>139700</xdr:colOff>
      <xdr:row>22</xdr:row>
      <xdr:rowOff>76200</xdr:rowOff>
    </xdr:from>
    <xdr:ext cx="533400" cy="2286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21CF8985-E8E9-424A-86DA-02C50B5340A0}"/>
                </a:ext>
              </a:extLst>
            </xdr:cNvPr>
            <xdr:cNvSpPr txBox="1"/>
          </xdr:nvSpPr>
          <xdr:spPr>
            <a:xfrm>
              <a:off x="20459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1200" b="1" i="1">
                        <a:latin typeface="Cambria Math" panose="02040503050406030204" pitchFamily="18" charset="0"/>
                      </a:rPr>
                      <m:t>𝑪</m:t>
                    </m:r>
                    <m:sSub>
                      <m:sSubPr>
                        <m:ctrlPr>
                          <a:rPr lang="en-US" sz="1200" b="1" i="1">
                            <a:latin typeface="Cambria Math" panose="02040503050406030204" pitchFamily="18" charset="0"/>
                          </a:rPr>
                        </m:ctrlPr>
                      </m:sSubPr>
                      <m:e>
                        <m:r>
                          <a:rPr lang="en-US" sz="1200" b="1" i="1">
                            <a:latin typeface="Cambria Math" panose="02040503050406030204" pitchFamily="18" charset="0"/>
                          </a:rPr>
                          <m:t>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7" name="TextBox 6">
              <a:extLst>
                <a:ext uri="{FF2B5EF4-FFF2-40B4-BE49-F238E27FC236}">
                  <a16:creationId xmlns:a16="http://schemas.microsoft.com/office/drawing/2014/main" id="{21CF8985-E8E9-424A-86DA-02C50B5340A0}"/>
                </a:ext>
              </a:extLst>
            </xdr:cNvPr>
            <xdr:cNvSpPr txBox="1"/>
          </xdr:nvSpPr>
          <xdr:spPr>
            <a:xfrm>
              <a:off x="20459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𝑪𝑽_𝒌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27</xdr:col>
      <xdr:colOff>139700</xdr:colOff>
      <xdr:row>22</xdr:row>
      <xdr:rowOff>76200</xdr:rowOff>
    </xdr:from>
    <xdr:ext cx="533400" cy="228600"/>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3BA10128-6E4B-974F-BCBC-3B1B4138698D}"/>
                </a:ext>
              </a:extLst>
            </xdr:cNvPr>
            <xdr:cNvSpPr txBox="1"/>
          </xdr:nvSpPr>
          <xdr:spPr>
            <a:xfrm>
              <a:off x="21297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8" name="TextBox 7">
              <a:extLst>
                <a:ext uri="{FF2B5EF4-FFF2-40B4-BE49-F238E27FC236}">
                  <a16:creationId xmlns:a16="http://schemas.microsoft.com/office/drawing/2014/main" id="{3BA10128-6E4B-974F-BCBC-3B1B4138698D}"/>
                </a:ext>
              </a:extLst>
            </xdr:cNvPr>
            <xdr:cNvSpPr txBox="1"/>
          </xdr:nvSpPr>
          <xdr:spPr>
            <a:xfrm>
              <a:off x="21297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29</xdr:col>
      <xdr:colOff>139700</xdr:colOff>
      <xdr:row>22</xdr:row>
      <xdr:rowOff>76200</xdr:rowOff>
    </xdr:from>
    <xdr:ext cx="533400" cy="2286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CD2906F2-41CD-5447-B056-734A706BE046}"/>
                </a:ext>
              </a:extLst>
            </xdr:cNvPr>
            <xdr:cNvSpPr txBox="1"/>
          </xdr:nvSpPr>
          <xdr:spPr>
            <a:xfrm>
              <a:off x="2465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𝑬𝑫𝑩</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9" name="TextBox 8">
              <a:extLst>
                <a:ext uri="{FF2B5EF4-FFF2-40B4-BE49-F238E27FC236}">
                  <a16:creationId xmlns:a16="http://schemas.microsoft.com/office/drawing/2014/main" id="{CD2906F2-41CD-5447-B056-734A706BE046}"/>
                </a:ext>
              </a:extLst>
            </xdr:cNvPr>
            <xdr:cNvSpPr txBox="1"/>
          </xdr:nvSpPr>
          <xdr:spPr>
            <a:xfrm>
              <a:off x="2465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〖𝑬𝑫𝑩〗_𝒌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30</xdr:col>
      <xdr:colOff>139700</xdr:colOff>
      <xdr:row>22</xdr:row>
      <xdr:rowOff>76200</xdr:rowOff>
    </xdr:from>
    <xdr:ext cx="533400" cy="22860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7655DEC7-EABD-8748-8E21-569F11685C20}"/>
                </a:ext>
              </a:extLst>
            </xdr:cNvPr>
            <xdr:cNvSpPr txBox="1"/>
          </xdr:nvSpPr>
          <xdr:spPr>
            <a:xfrm>
              <a:off x="25488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𝑬𝑺𝑩</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0" name="TextBox 9">
              <a:extLst>
                <a:ext uri="{FF2B5EF4-FFF2-40B4-BE49-F238E27FC236}">
                  <a16:creationId xmlns:a16="http://schemas.microsoft.com/office/drawing/2014/main" id="{7655DEC7-EABD-8748-8E21-569F11685C20}"/>
                </a:ext>
              </a:extLst>
            </xdr:cNvPr>
            <xdr:cNvSpPr txBox="1"/>
          </xdr:nvSpPr>
          <xdr:spPr>
            <a:xfrm>
              <a:off x="254889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〖𝑬𝑺𝑩〗_𝒌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31</xdr:col>
      <xdr:colOff>165100</xdr:colOff>
      <xdr:row>22</xdr:row>
      <xdr:rowOff>76200</xdr:rowOff>
    </xdr:from>
    <xdr:ext cx="533400" cy="228600"/>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1FE6408E-440A-9A49-8853-00C39FBE139A}"/>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𝑬𝑨𝑽</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0" name="TextBox 19">
              <a:extLst>
                <a:ext uri="{FF2B5EF4-FFF2-40B4-BE49-F238E27FC236}">
                  <a16:creationId xmlns:a16="http://schemas.microsoft.com/office/drawing/2014/main" id="{1FE6408E-440A-9A49-8853-00C39FBE139A}"/>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〖𝑬𝑨𝑽〗_𝒌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32</xdr:col>
      <xdr:colOff>139700</xdr:colOff>
      <xdr:row>22</xdr:row>
      <xdr:rowOff>76200</xdr:rowOff>
    </xdr:from>
    <xdr:ext cx="533400" cy="228600"/>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7147BA-DF5E-0244-A73D-C7FB65394678}"/>
                </a:ext>
              </a:extLst>
            </xdr:cNvPr>
            <xdr:cNvSpPr txBox="1"/>
          </xdr:nvSpPr>
          <xdr:spPr>
            <a:xfrm>
              <a:off x="263271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rPr>
                          <m:t>𝑷𝒓</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1" name="TextBox 20">
              <a:extLst>
                <a:ext uri="{FF2B5EF4-FFF2-40B4-BE49-F238E27FC236}">
                  <a16:creationId xmlns:a16="http://schemas.microsoft.com/office/drawing/2014/main" id="{527147BA-DF5E-0244-A73D-C7FB65394678}"/>
                </a:ext>
              </a:extLst>
            </xdr:cNvPr>
            <xdr:cNvSpPr txBox="1"/>
          </xdr:nvSpPr>
          <xdr:spPr>
            <a:xfrm>
              <a:off x="263271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〖𝑷𝒓〗_𝒌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33</xdr:col>
      <xdr:colOff>165100</xdr:colOff>
      <xdr:row>22</xdr:row>
      <xdr:rowOff>76200</xdr:rowOff>
    </xdr:from>
    <xdr:ext cx="533400" cy="228600"/>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D78F7846-0113-DA47-BC23-E6F584A0E1C0}"/>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200" b="1" i="1">
                            <a:latin typeface="Cambria Math" panose="02040503050406030204" pitchFamily="18" charset="0"/>
                          </a:rPr>
                        </m:ctrlPr>
                      </m:sSubPr>
                      <m:e>
                        <m:r>
                          <a:rPr lang="en-US" sz="1200" b="1" i="1">
                            <a:latin typeface="Cambria Math" panose="02040503050406030204" pitchFamily="18" charset="0"/>
                            <a:ea typeface="Cambria Math" panose="02040503050406030204" pitchFamily="18" charset="0"/>
                          </a:rPr>
                          <m:t>𝚷</m:t>
                        </m:r>
                      </m:e>
                      <m:sub>
                        <m:r>
                          <a:rPr lang="en-US" sz="1200" b="1" i="1">
                            <a:latin typeface="Cambria Math" panose="02040503050406030204" pitchFamily="18" charset="0"/>
                          </a:rPr>
                          <m:t>𝒌</m:t>
                        </m:r>
                      </m:sub>
                    </m:sSub>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22" name="TextBox 21">
              <a:extLst>
                <a:ext uri="{FF2B5EF4-FFF2-40B4-BE49-F238E27FC236}">
                  <a16:creationId xmlns:a16="http://schemas.microsoft.com/office/drawing/2014/main" id="{D78F7846-0113-DA47-BC23-E6F584A0E1C0}"/>
                </a:ext>
              </a:extLst>
            </xdr:cNvPr>
            <xdr:cNvSpPr txBox="1"/>
          </xdr:nvSpPr>
          <xdr:spPr>
            <a:xfrm>
              <a:off x="271907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ea typeface="Cambria Math" panose="02040503050406030204" pitchFamily="18" charset="0"/>
                </a:rPr>
                <a:t>𝚷_</a:t>
              </a:r>
              <a:r>
                <a:rPr lang="en-US" sz="1200" b="1" i="0">
                  <a:latin typeface="Cambria Math" panose="02040503050406030204" pitchFamily="18" charset="0"/>
                </a:rPr>
                <a:t>𝒌</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34</xdr:col>
      <xdr:colOff>165100</xdr:colOff>
      <xdr:row>22</xdr:row>
      <xdr:rowOff>76200</xdr:rowOff>
    </xdr:from>
    <xdr:ext cx="533400" cy="228600"/>
    <xdr:sp macro="" textlink="">
      <xdr:nvSpPr>
        <xdr:cNvPr id="23" name="TextBox 22">
          <a:extLst>
            <a:ext uri="{FF2B5EF4-FFF2-40B4-BE49-F238E27FC236}">
              <a16:creationId xmlns:a16="http://schemas.microsoft.com/office/drawing/2014/main" id="{176BF843-FC66-6649-B2FD-12A6AADEF582}"/>
            </a:ext>
          </a:extLst>
        </xdr:cNvPr>
        <xdr:cNvSpPr txBox="1"/>
      </xdr:nvSpPr>
      <xdr:spPr>
        <a:xfrm>
          <a:off x="28867100" y="7124700"/>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t>NPV(k)</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B97B4-0328-4D12-9E50-B899B9637EE4}">
  <dimension ref="A1:BJ131"/>
  <sheetViews>
    <sheetView tabSelected="1" zoomScale="86" zoomScaleNormal="86" workbookViewId="0"/>
  </sheetViews>
  <sheetFormatPr defaultColWidth="11" defaultRowHeight="18.75"/>
  <cols>
    <col min="1" max="1" width="13.625" style="3" customWidth="1"/>
    <col min="2" max="2" width="16.125" customWidth="1"/>
    <col min="3" max="3" width="12.625" customWidth="1"/>
    <col min="4" max="4" width="11.625" customWidth="1"/>
    <col min="5" max="5" width="14.625" customWidth="1"/>
    <col min="6" max="6" width="11.625" style="5" customWidth="1"/>
    <col min="7" max="7" width="11.625" customWidth="1"/>
    <col min="8" max="9" width="10.5" customWidth="1"/>
    <col min="10" max="11" width="7.125" customWidth="1"/>
    <col min="12" max="13" width="5.125" customWidth="1"/>
    <col min="15" max="17" width="11" style="36"/>
    <col min="19" max="21" width="11" style="36"/>
    <col min="23" max="23" width="11" style="36"/>
    <col min="24" max="24" width="0.5" customWidth="1"/>
    <col min="25" max="26" width="11" customWidth="1"/>
    <col min="28" max="33" width="11" style="36"/>
    <col min="34" max="35" width="12.375" style="36" bestFit="1" customWidth="1"/>
    <col min="36" max="37" width="11" style="61"/>
    <col min="38" max="38" width="13.875" bestFit="1" customWidth="1"/>
  </cols>
  <sheetData>
    <row r="1" spans="1:35" ht="23.45" customHeight="1">
      <c r="A1" s="83"/>
      <c r="B1" s="84"/>
      <c r="C1" s="84"/>
      <c r="D1" s="84"/>
      <c r="E1" s="84"/>
    </row>
    <row r="2" spans="1:35">
      <c r="A2" s="16" t="s">
        <v>0</v>
      </c>
      <c r="B2" s="17"/>
      <c r="C2" s="17"/>
      <c r="D2" s="17"/>
      <c r="E2" s="17"/>
      <c r="F2" s="44"/>
      <c r="G2" s="17"/>
      <c r="H2" s="17"/>
      <c r="I2" s="17"/>
      <c r="O2"/>
      <c r="P2"/>
      <c r="Q2"/>
      <c r="S2"/>
      <c r="T2"/>
      <c r="U2"/>
      <c r="W2"/>
      <c r="AB2"/>
      <c r="AC2"/>
      <c r="AD2"/>
      <c r="AE2"/>
      <c r="AF2"/>
      <c r="AG2"/>
      <c r="AH2"/>
      <c r="AI2"/>
    </row>
    <row r="3" spans="1:35">
      <c r="A3" s="18" t="s">
        <v>1</v>
      </c>
      <c r="B3" s="17"/>
      <c r="C3" s="17"/>
      <c r="D3" s="17"/>
      <c r="E3" s="17"/>
      <c r="F3" s="44"/>
      <c r="G3" s="17"/>
      <c r="H3" s="17"/>
      <c r="I3" s="17"/>
      <c r="O3"/>
      <c r="P3"/>
      <c r="Q3"/>
      <c r="S3"/>
      <c r="T3"/>
      <c r="U3"/>
      <c r="W3"/>
      <c r="AB3"/>
      <c r="AC3"/>
      <c r="AD3"/>
      <c r="AE3"/>
      <c r="AF3"/>
      <c r="AG3"/>
      <c r="AH3"/>
      <c r="AI3"/>
    </row>
    <row r="4" spans="1:35">
      <c r="A4" s="18" t="s">
        <v>8</v>
      </c>
      <c r="B4" s="17"/>
      <c r="C4" s="17"/>
      <c r="D4" s="17"/>
      <c r="E4" s="17"/>
      <c r="F4" s="44"/>
      <c r="G4" s="17"/>
      <c r="H4" s="17"/>
      <c r="I4" s="17"/>
      <c r="O4"/>
      <c r="P4"/>
      <c r="Q4"/>
      <c r="S4"/>
      <c r="T4"/>
      <c r="U4"/>
      <c r="W4"/>
      <c r="AB4"/>
      <c r="AC4"/>
      <c r="AD4"/>
      <c r="AE4"/>
      <c r="AF4"/>
      <c r="AG4"/>
      <c r="AH4"/>
      <c r="AI4"/>
    </row>
    <row r="5" spans="1:35">
      <c r="A5" s="18" t="s">
        <v>7</v>
      </c>
      <c r="B5" s="17"/>
      <c r="C5" s="17"/>
      <c r="D5" s="17"/>
      <c r="E5" s="17"/>
      <c r="F5" s="44"/>
      <c r="G5" s="17"/>
      <c r="H5" s="17"/>
      <c r="I5" s="17"/>
      <c r="O5"/>
      <c r="P5"/>
      <c r="Q5"/>
      <c r="S5"/>
      <c r="T5"/>
      <c r="U5"/>
      <c r="W5"/>
      <c r="AB5"/>
      <c r="AC5"/>
      <c r="AD5"/>
      <c r="AE5"/>
      <c r="AF5"/>
      <c r="AG5"/>
      <c r="AH5"/>
      <c r="AI5"/>
    </row>
    <row r="6" spans="1:35" ht="27.75" customHeight="1">
      <c r="A6" s="18" t="s">
        <v>19</v>
      </c>
      <c r="B6" s="18"/>
      <c r="C6" s="18"/>
      <c r="D6" s="18"/>
      <c r="E6" s="19"/>
      <c r="F6" s="44"/>
      <c r="G6" s="17"/>
      <c r="H6" s="17"/>
      <c r="I6" s="17"/>
      <c r="O6"/>
      <c r="P6"/>
      <c r="Q6"/>
      <c r="S6"/>
      <c r="T6"/>
      <c r="U6"/>
      <c r="W6"/>
      <c r="AB6"/>
      <c r="AC6"/>
      <c r="AD6"/>
      <c r="AE6"/>
      <c r="AF6"/>
      <c r="AG6"/>
      <c r="AH6"/>
      <c r="AI6"/>
    </row>
    <row r="7" spans="1:35">
      <c r="B7" s="3"/>
      <c r="C7" s="3"/>
      <c r="D7" s="3"/>
      <c r="E7" s="70"/>
      <c r="O7"/>
      <c r="P7"/>
      <c r="Q7"/>
      <c r="S7"/>
      <c r="T7"/>
      <c r="U7"/>
      <c r="W7"/>
      <c r="AB7"/>
      <c r="AC7"/>
      <c r="AD7"/>
      <c r="AE7"/>
      <c r="AF7"/>
      <c r="AG7"/>
      <c r="AH7"/>
      <c r="AI7"/>
    </row>
    <row r="8" spans="1:35" ht="19.5" thickBot="1">
      <c r="A8" s="16" t="s">
        <v>55</v>
      </c>
      <c r="B8" s="17"/>
      <c r="C8" s="17"/>
      <c r="D8" s="17"/>
      <c r="E8" s="17"/>
      <c r="F8" s="44"/>
      <c r="G8" s="17"/>
      <c r="H8" s="17"/>
      <c r="I8" s="17"/>
      <c r="O8"/>
      <c r="P8"/>
      <c r="Q8"/>
      <c r="S8"/>
      <c r="T8"/>
      <c r="U8"/>
      <c r="W8"/>
      <c r="AB8"/>
      <c r="AC8"/>
      <c r="AD8"/>
      <c r="AE8"/>
      <c r="AF8"/>
      <c r="AG8"/>
      <c r="AH8"/>
      <c r="AI8"/>
    </row>
    <row r="9" spans="1:35" ht="19.5" thickBot="1">
      <c r="A9" s="69" t="s">
        <v>39</v>
      </c>
      <c r="B9" s="88"/>
      <c r="C9" s="89"/>
      <c r="D9" s="20"/>
      <c r="E9" s="20"/>
      <c r="F9" s="45"/>
      <c r="G9" s="20"/>
      <c r="H9" s="20"/>
      <c r="I9" s="20"/>
      <c r="O9"/>
      <c r="P9"/>
      <c r="Q9"/>
      <c r="S9"/>
      <c r="T9"/>
      <c r="U9"/>
      <c r="W9"/>
      <c r="AB9"/>
      <c r="AC9"/>
      <c r="AD9"/>
      <c r="AE9"/>
      <c r="AF9"/>
      <c r="AG9"/>
      <c r="AH9"/>
      <c r="AI9"/>
    </row>
    <row r="10" spans="1:35">
      <c r="B10" s="5"/>
      <c r="C10" s="5"/>
      <c r="D10" s="1"/>
      <c r="E10" s="1"/>
      <c r="F10" s="71"/>
      <c r="G10" s="1"/>
      <c r="H10" s="1"/>
      <c r="I10" s="1"/>
      <c r="O10"/>
      <c r="P10"/>
      <c r="Q10"/>
      <c r="S10"/>
      <c r="T10"/>
      <c r="U10"/>
      <c r="W10"/>
      <c r="AB10"/>
      <c r="AC10"/>
      <c r="AD10"/>
      <c r="AE10"/>
      <c r="AF10"/>
      <c r="AG10"/>
      <c r="AH10"/>
      <c r="AI10"/>
    </row>
    <row r="11" spans="1:35" ht="19.350000000000001" customHeight="1">
      <c r="A11" s="20" t="s">
        <v>21</v>
      </c>
      <c r="B11" s="20"/>
      <c r="C11" s="20"/>
      <c r="D11" s="20"/>
      <c r="E11" s="20"/>
      <c r="F11" s="45"/>
      <c r="G11" s="20"/>
      <c r="H11" s="20"/>
      <c r="I11" s="20"/>
      <c r="O11"/>
      <c r="P11"/>
      <c r="Q11"/>
      <c r="S11"/>
      <c r="T11"/>
      <c r="U11"/>
      <c r="W11"/>
      <c r="AB11"/>
      <c r="AC11"/>
      <c r="AD11"/>
      <c r="AE11"/>
      <c r="AF11"/>
      <c r="AG11"/>
      <c r="AH11"/>
      <c r="AI11"/>
    </row>
    <row r="12" spans="1:35" ht="19.350000000000001" customHeight="1">
      <c r="A12" s="20" t="s">
        <v>61</v>
      </c>
      <c r="B12" s="20"/>
      <c r="C12" s="20"/>
      <c r="D12" s="20"/>
      <c r="E12" s="20"/>
      <c r="F12" s="45"/>
      <c r="G12" s="20"/>
      <c r="H12" s="20"/>
      <c r="I12" s="20"/>
      <c r="O12"/>
      <c r="P12"/>
      <c r="Q12"/>
      <c r="S12"/>
      <c r="T12"/>
      <c r="U12"/>
      <c r="W12"/>
      <c r="AB12"/>
      <c r="AC12"/>
      <c r="AD12"/>
      <c r="AE12"/>
      <c r="AF12"/>
      <c r="AG12"/>
      <c r="AH12"/>
      <c r="AI12"/>
    </row>
    <row r="13" spans="1:35" ht="19.350000000000001" customHeight="1">
      <c r="A13" s="20" t="s">
        <v>22</v>
      </c>
      <c r="B13" s="20"/>
      <c r="C13" s="20"/>
      <c r="D13" s="26"/>
      <c r="E13" s="26"/>
      <c r="F13" s="52">
        <v>100000</v>
      </c>
      <c r="G13" s="20"/>
      <c r="H13" s="20"/>
      <c r="I13" s="20"/>
      <c r="O13"/>
      <c r="P13"/>
      <c r="Q13"/>
      <c r="S13"/>
      <c r="T13"/>
      <c r="U13"/>
      <c r="W13"/>
      <c r="AB13"/>
      <c r="AC13"/>
      <c r="AD13"/>
      <c r="AE13"/>
      <c r="AF13"/>
      <c r="AG13"/>
      <c r="AH13"/>
      <c r="AI13"/>
    </row>
    <row r="14" spans="1:35" ht="19.350000000000001" customHeight="1">
      <c r="A14" s="20" t="s">
        <v>40</v>
      </c>
      <c r="B14" s="20"/>
      <c r="C14" s="20"/>
      <c r="D14" s="20"/>
      <c r="E14" s="20"/>
      <c r="F14" s="52">
        <v>2500</v>
      </c>
      <c r="G14" s="20"/>
      <c r="H14" s="20"/>
      <c r="I14" s="20"/>
      <c r="O14"/>
      <c r="P14"/>
      <c r="Q14"/>
      <c r="S14"/>
      <c r="T14"/>
      <c r="U14"/>
      <c r="W14"/>
      <c r="AB14"/>
      <c r="AC14"/>
      <c r="AD14"/>
      <c r="AE14"/>
      <c r="AF14"/>
      <c r="AG14"/>
      <c r="AH14"/>
      <c r="AI14"/>
    </row>
    <row r="15" spans="1:35" ht="19.350000000000001" customHeight="1">
      <c r="A15" s="20" t="s">
        <v>18</v>
      </c>
      <c r="B15" s="20"/>
      <c r="C15" s="20"/>
      <c r="D15" s="26"/>
      <c r="E15" s="28" t="s">
        <v>33</v>
      </c>
      <c r="F15" s="53">
        <v>0.05</v>
      </c>
      <c r="G15" s="20"/>
      <c r="H15" s="20"/>
      <c r="I15" s="20"/>
      <c r="O15"/>
      <c r="P15"/>
      <c r="Q15"/>
      <c r="S15"/>
      <c r="T15"/>
      <c r="U15"/>
      <c r="W15"/>
      <c r="AB15"/>
      <c r="AC15"/>
      <c r="AD15"/>
      <c r="AE15"/>
      <c r="AF15"/>
      <c r="AG15"/>
      <c r="AH15"/>
      <c r="AI15"/>
    </row>
    <row r="16" spans="1:35" ht="22.5" customHeight="1">
      <c r="A16" s="20" t="s">
        <v>51</v>
      </c>
      <c r="B16" s="20"/>
      <c r="C16" s="20"/>
      <c r="D16" s="20"/>
      <c r="E16" s="59" t="s">
        <v>34</v>
      </c>
      <c r="F16" s="53">
        <v>0.04</v>
      </c>
      <c r="G16" s="20"/>
      <c r="H16" s="20"/>
      <c r="I16" s="20"/>
      <c r="O16"/>
      <c r="P16"/>
      <c r="Q16"/>
      <c r="S16"/>
      <c r="T16"/>
      <c r="U16"/>
      <c r="W16"/>
      <c r="AB16"/>
      <c r="AC16"/>
      <c r="AD16"/>
      <c r="AE16"/>
      <c r="AF16"/>
      <c r="AG16"/>
      <c r="AH16"/>
      <c r="AI16"/>
    </row>
    <row r="17" spans="1:62" ht="22.35" customHeight="1">
      <c r="A17" s="20" t="s">
        <v>41</v>
      </c>
      <c r="B17" s="20"/>
      <c r="C17" s="20"/>
      <c r="D17" s="20"/>
      <c r="E17" s="20"/>
      <c r="F17" s="45"/>
      <c r="G17" s="20"/>
      <c r="H17" s="20"/>
      <c r="I17" s="20"/>
      <c r="O17"/>
      <c r="P17"/>
      <c r="Q17"/>
      <c r="S17"/>
      <c r="T17"/>
      <c r="U17"/>
      <c r="W17"/>
      <c r="AB17"/>
      <c r="AC17"/>
      <c r="AD17"/>
      <c r="AE17"/>
      <c r="AF17"/>
      <c r="AG17"/>
      <c r="AH17"/>
      <c r="AI17"/>
    </row>
    <row r="18" spans="1:62" ht="22.35" customHeight="1">
      <c r="A18" s="20"/>
      <c r="B18" s="20" t="s">
        <v>20</v>
      </c>
      <c r="C18" s="20"/>
      <c r="D18" s="20"/>
      <c r="E18" s="20"/>
      <c r="F18" s="54">
        <v>0.02</v>
      </c>
      <c r="G18" s="20"/>
      <c r="H18" s="20"/>
      <c r="I18" s="20"/>
      <c r="O18"/>
      <c r="P18"/>
      <c r="Q18"/>
      <c r="S18"/>
      <c r="T18"/>
      <c r="U18"/>
      <c r="W18"/>
      <c r="AB18"/>
      <c r="AC18"/>
      <c r="AD18"/>
      <c r="AE18"/>
      <c r="AF18"/>
      <c r="AG18"/>
      <c r="AH18"/>
      <c r="AI18"/>
    </row>
    <row r="19" spans="1:62" ht="22.35" customHeight="1">
      <c r="A19" s="20"/>
      <c r="B19" s="20" t="s">
        <v>42</v>
      </c>
      <c r="C19" s="20"/>
      <c r="D19" s="20"/>
      <c r="E19" s="20"/>
      <c r="F19" s="52">
        <v>50</v>
      </c>
      <c r="G19" s="20"/>
      <c r="H19" s="20"/>
      <c r="I19" s="20"/>
      <c r="O19"/>
      <c r="P19"/>
      <c r="Q19"/>
      <c r="S19"/>
      <c r="T19"/>
      <c r="U19"/>
      <c r="W19"/>
      <c r="AB19"/>
      <c r="AC19"/>
      <c r="AD19"/>
      <c r="AE19"/>
      <c r="AF19"/>
      <c r="AG19"/>
      <c r="AH19"/>
      <c r="AI19"/>
    </row>
    <row r="20" spans="1:62">
      <c r="A20" s="20" t="s">
        <v>60</v>
      </c>
      <c r="B20" s="20"/>
      <c r="C20" s="20"/>
      <c r="D20" s="20"/>
      <c r="E20" s="20"/>
      <c r="F20" s="45"/>
      <c r="G20" s="20"/>
      <c r="H20" s="20"/>
      <c r="I20" s="20"/>
      <c r="O20"/>
      <c r="P20"/>
      <c r="Q20"/>
      <c r="S20"/>
      <c r="T20"/>
      <c r="U20"/>
      <c r="W20"/>
      <c r="AB20"/>
      <c r="AC20"/>
      <c r="AD20"/>
      <c r="AE20"/>
      <c r="AF20"/>
      <c r="AG20"/>
      <c r="AH20"/>
      <c r="AI20"/>
    </row>
    <row r="21" spans="1:62" ht="41.25" customHeight="1">
      <c r="A21" s="20"/>
      <c r="B21" s="20"/>
      <c r="C21" s="20"/>
      <c r="D21" s="20"/>
      <c r="E21" s="20"/>
      <c r="F21" s="45"/>
      <c r="G21" s="20"/>
      <c r="H21" s="20"/>
      <c r="I21" s="20"/>
      <c r="O21" s="91"/>
      <c r="P21" s="92"/>
      <c r="Q21" s="92"/>
      <c r="R21" s="92"/>
      <c r="S21" s="92"/>
      <c r="T21" s="92"/>
      <c r="U21" s="92"/>
      <c r="V21" s="92"/>
      <c r="W21" s="92"/>
      <c r="AB21" s="98"/>
      <c r="AC21" s="99"/>
      <c r="AD21" s="99"/>
      <c r="AE21" s="99"/>
      <c r="AF21" s="99"/>
      <c r="AG21" s="99"/>
      <c r="AH21" s="99"/>
      <c r="AI21" s="99"/>
      <c r="AJ21" s="99"/>
    </row>
    <row r="22" spans="1:62" s="8" customFormat="1" ht="33" customHeight="1" thickBot="1">
      <c r="A22" s="23"/>
      <c r="B22" s="9"/>
      <c r="C22" s="9"/>
      <c r="D22" s="9"/>
      <c r="E22" s="9"/>
      <c r="F22" s="47"/>
      <c r="G22" s="9"/>
      <c r="H22" s="9"/>
      <c r="I22" s="9"/>
      <c r="J22" s="9"/>
      <c r="K22" s="9"/>
      <c r="L22"/>
      <c r="M22"/>
      <c r="N22"/>
      <c r="O22" s="93"/>
      <c r="P22" s="93"/>
      <c r="Q22" s="93"/>
      <c r="R22" s="93"/>
      <c r="S22" s="93"/>
      <c r="T22" s="93"/>
      <c r="U22" s="93"/>
      <c r="V22" s="93"/>
      <c r="W22" s="93"/>
      <c r="X22"/>
      <c r="Y22"/>
      <c r="Z22"/>
      <c r="AA22"/>
      <c r="AB22" s="97"/>
      <c r="AC22" s="97"/>
      <c r="AD22" s="97"/>
      <c r="AE22" s="97"/>
      <c r="AF22" s="97"/>
      <c r="AG22" s="97"/>
      <c r="AH22" s="97"/>
      <c r="AI22" s="97"/>
      <c r="AJ22" s="97"/>
      <c r="AK22" s="61"/>
      <c r="AL22"/>
      <c r="AM22"/>
      <c r="AN22"/>
      <c r="AO22"/>
      <c r="AP22"/>
      <c r="AQ22"/>
      <c r="AR22"/>
      <c r="AS22"/>
      <c r="AT22"/>
      <c r="AU22"/>
      <c r="AV22"/>
      <c r="AW22"/>
      <c r="AX22"/>
      <c r="AY22"/>
      <c r="AZ22"/>
      <c r="BA22"/>
      <c r="BB22"/>
      <c r="BC22"/>
      <c r="BD22"/>
      <c r="BE22"/>
      <c r="BF22"/>
      <c r="BG22"/>
      <c r="BH22"/>
      <c r="BI22"/>
      <c r="BJ22"/>
    </row>
    <row r="23" spans="1:62" s="8" customFormat="1" ht="34.5" customHeight="1" thickBot="1">
      <c r="A23" s="101" t="s">
        <v>56</v>
      </c>
      <c r="B23" s="9"/>
      <c r="C23" s="9"/>
      <c r="D23" s="9"/>
      <c r="E23" s="9"/>
      <c r="F23" s="47"/>
      <c r="G23" s="9"/>
      <c r="H23" s="9"/>
      <c r="I23" s="9"/>
      <c r="J23" s="9"/>
      <c r="K23" s="9"/>
      <c r="M23" s="7"/>
      <c r="N23" s="11" t="s">
        <v>9</v>
      </c>
      <c r="O23" s="94"/>
      <c r="P23" s="95"/>
      <c r="Q23" s="95"/>
      <c r="R23" s="29" t="s">
        <v>27</v>
      </c>
      <c r="S23" s="95"/>
      <c r="T23" s="29" t="s">
        <v>23</v>
      </c>
      <c r="U23" s="96"/>
      <c r="V23" s="29" t="s">
        <v>24</v>
      </c>
      <c r="W23" s="95"/>
      <c r="X23" s="31"/>
      <c r="Y23" s="11" t="s">
        <v>9</v>
      </c>
      <c r="Z23" s="29" t="s">
        <v>28</v>
      </c>
      <c r="AA23" s="29" t="s">
        <v>29</v>
      </c>
      <c r="AB23" s="78"/>
      <c r="AC23" s="81" t="s">
        <v>36</v>
      </c>
      <c r="AD23" s="78"/>
      <c r="AE23" s="78"/>
      <c r="AF23" s="78"/>
      <c r="AG23" s="78"/>
      <c r="AH23" s="78"/>
      <c r="AI23" s="77"/>
      <c r="AJ23" s="61" t="s">
        <v>49</v>
      </c>
      <c r="AK23" s="61" t="s">
        <v>47</v>
      </c>
    </row>
    <row r="24" spans="1:62" s="8" customFormat="1" ht="17.45" customHeight="1">
      <c r="A24" s="10" t="s">
        <v>4</v>
      </c>
      <c r="B24" s="85" t="s">
        <v>62</v>
      </c>
      <c r="C24" s="85"/>
      <c r="D24" s="85"/>
      <c r="E24" s="85"/>
      <c r="F24" s="85"/>
      <c r="G24" s="85"/>
      <c r="H24" s="85"/>
      <c r="I24" s="13"/>
      <c r="J24" s="13"/>
      <c r="K24" s="13"/>
      <c r="M24" s="7"/>
      <c r="N24" s="27"/>
      <c r="O24" s="41"/>
      <c r="P24" s="41"/>
      <c r="Q24" s="41"/>
      <c r="R24" s="62"/>
      <c r="S24" s="41"/>
      <c r="T24" s="41"/>
      <c r="U24" s="42"/>
      <c r="V24" s="41"/>
      <c r="W24" s="41"/>
      <c r="X24" s="32"/>
      <c r="Y24" s="30">
        <v>0</v>
      </c>
      <c r="Z24" s="62"/>
      <c r="AA24" s="62"/>
      <c r="AB24" s="35">
        <v>1200</v>
      </c>
      <c r="AC24" s="43"/>
      <c r="AD24" s="42"/>
      <c r="AE24" s="42"/>
      <c r="AF24" s="42"/>
      <c r="AG24" s="35">
        <f>-AB24</f>
        <v>-1200</v>
      </c>
      <c r="AH24" s="35">
        <f>AG24*AJ24</f>
        <v>-1200</v>
      </c>
      <c r="AI24" s="35">
        <f>AH24*AK24</f>
        <v>-1200</v>
      </c>
      <c r="AJ24" s="61">
        <v>1</v>
      </c>
      <c r="AK24" s="61">
        <f t="shared" ref="AK24:AK55" si="0">(1+hurdle)^-Y24</f>
        <v>1</v>
      </c>
      <c r="AL24" s="37">
        <f>SUMPRODUCT(AH24:AH74,AK24:AK74)</f>
        <v>950.81157256839674</v>
      </c>
    </row>
    <row r="25" spans="1:62" s="8" customFormat="1">
      <c r="M25" s="7"/>
      <c r="N25" s="24">
        <v>1</v>
      </c>
      <c r="O25" s="35">
        <v>0</v>
      </c>
      <c r="P25" s="35">
        <v>2500</v>
      </c>
      <c r="Q25" s="35">
        <f t="shared" ref="Q25:Q56" si="1">flat_fee+pct_prem_chg*P25</f>
        <v>100</v>
      </c>
      <c r="R25" s="63">
        <v>1.2689999999999999E-3</v>
      </c>
      <c r="S25" s="35">
        <f t="shared" ref="S25:S56" si="2">R25*ADB*(1+iq)^-1</f>
        <v>122.01923076923075</v>
      </c>
      <c r="T25" s="35">
        <f t="shared" ref="T25:T56" si="3">ic*(O25+P25-Q25-S25)</f>
        <v>113.89903846153845</v>
      </c>
      <c r="U25" s="35">
        <f>O25+P25-Q25-S25+T25</f>
        <v>2391.8798076923076</v>
      </c>
      <c r="V25" s="66">
        <v>1</v>
      </c>
      <c r="W25" s="35">
        <f>(1-V25)*U25</f>
        <v>0</v>
      </c>
      <c r="X25" s="33"/>
      <c r="Y25" s="24">
        <v>1</v>
      </c>
      <c r="Z25" s="63">
        <v>1.1420999999999998E-3</v>
      </c>
      <c r="AA25" s="66">
        <v>0</v>
      </c>
      <c r="AB25" s="35">
        <f t="shared" ref="AB25:AB56" si="4">flat_maint_exp+maint_exp*P25</f>
        <v>255</v>
      </c>
      <c r="AC25" s="35">
        <f t="shared" ref="AC25:AC56" si="5">asset_rate*(O25+P25-AB25)</f>
        <v>145.92500000000001</v>
      </c>
      <c r="AD25" s="35">
        <f t="shared" ref="AD25:AD56" si="6">Z25*(ADB+U25)</f>
        <v>116.94176592836537</v>
      </c>
      <c r="AE25" s="35">
        <f>(1-Z25)*AA25*W25</f>
        <v>0</v>
      </c>
      <c r="AF25" s="43">
        <f>(1-Z25)*(1-AA25)*U25</f>
        <v>2389.1480417639423</v>
      </c>
      <c r="AG25" s="80">
        <f>O25+P25-AB25+AC25-AD25-AE25-AF25</f>
        <v>-115.16480769230748</v>
      </c>
      <c r="AH25" s="79">
        <f t="shared" ref="AH25:AH74" si="7">AG25*AJ25</f>
        <v>-115.16480769230748</v>
      </c>
      <c r="AI25" s="35">
        <f>AI24+AH25*AK25</f>
        <v>-1304.6952797202796</v>
      </c>
      <c r="AJ25" s="61">
        <v>1</v>
      </c>
      <c r="AK25" s="61">
        <f t="shared" si="0"/>
        <v>0.90909090909090906</v>
      </c>
    </row>
    <row r="26" spans="1:62" s="8" customFormat="1">
      <c r="A26" s="6" t="s">
        <v>2</v>
      </c>
      <c r="B26" s="12" t="s">
        <v>25</v>
      </c>
      <c r="C26" s="20"/>
      <c r="D26" s="20"/>
      <c r="E26" s="20"/>
      <c r="F26" s="45"/>
      <c r="G26" s="20"/>
      <c r="H26" s="20"/>
      <c r="I26" s="20"/>
      <c r="J26" s="20"/>
      <c r="K26" s="20"/>
      <c r="M26" s="7"/>
      <c r="N26" s="24">
        <v>2</v>
      </c>
      <c r="O26" s="35">
        <f>U25</f>
        <v>2391.8798076923076</v>
      </c>
      <c r="P26" s="35">
        <v>2500</v>
      </c>
      <c r="Q26" s="35">
        <f t="shared" si="1"/>
        <v>100</v>
      </c>
      <c r="R26" s="63">
        <v>1.3980000000000002E-3</v>
      </c>
      <c r="S26" s="35">
        <f t="shared" si="2"/>
        <v>134.42307692307693</v>
      </c>
      <c r="T26" s="35">
        <f t="shared" si="3"/>
        <v>232.87283653846154</v>
      </c>
      <c r="U26" s="35">
        <f t="shared" ref="U26:U74" si="8">O26+P26-Q26-S26+T26</f>
        <v>4890.3295673076918</v>
      </c>
      <c r="V26" s="66">
        <v>0.9</v>
      </c>
      <c r="W26" s="35">
        <f t="shared" ref="W26:W74" si="9">(1-V26)*U26</f>
        <v>489.03295673076906</v>
      </c>
      <c r="X26" s="33"/>
      <c r="Y26" s="30">
        <v>2</v>
      </c>
      <c r="Z26" s="63">
        <v>1.2582000000000001E-3</v>
      </c>
      <c r="AA26" s="66">
        <v>0</v>
      </c>
      <c r="AB26" s="35">
        <f t="shared" si="4"/>
        <v>255</v>
      </c>
      <c r="AC26" s="35">
        <f t="shared" si="5"/>
        <v>301.39718750000003</v>
      </c>
      <c r="AD26" s="35">
        <f t="shared" si="6"/>
        <v>131.97301266158655</v>
      </c>
      <c r="AE26" s="35">
        <f t="shared" ref="AE26:AE74" si="10">(1-Z26)*AA26*W26</f>
        <v>0</v>
      </c>
      <c r="AF26" s="43">
        <f t="shared" ref="AF26:AF74" si="11">(1-Z26)*(1-AA26)*U26</f>
        <v>4884.1765546461056</v>
      </c>
      <c r="AG26" s="80">
        <f t="shared" ref="AG26:AG74" si="12">O26+P26-AB26+AC26-AD26-AE26-AF26</f>
        <v>-77.872572115385083</v>
      </c>
      <c r="AH26" s="79">
        <f t="shared" si="7"/>
        <v>-77.783633850772105</v>
      </c>
      <c r="AI26" s="35">
        <f>AI25+AH26*AK26</f>
        <v>-1368.979274638273</v>
      </c>
      <c r="AJ26" s="61">
        <f>AJ25*(1-Z25)*(1-AA25)</f>
        <v>0.99885789999999997</v>
      </c>
      <c r="AK26" s="61">
        <f t="shared" si="0"/>
        <v>0.82644628099173545</v>
      </c>
    </row>
    <row r="27" spans="1:62" ht="19.5" thickBot="1">
      <c r="A27" s="8"/>
      <c r="B27" s="20" t="s">
        <v>30</v>
      </c>
      <c r="C27" s="13"/>
      <c r="D27" s="13"/>
      <c r="E27" s="13"/>
      <c r="F27" s="48"/>
      <c r="G27" s="13"/>
      <c r="H27" s="13"/>
      <c r="I27" s="13"/>
      <c r="J27" s="13"/>
      <c r="K27" s="13"/>
      <c r="L27" s="8"/>
      <c r="M27" s="7"/>
      <c r="N27" s="24">
        <v>3</v>
      </c>
      <c r="O27" s="35">
        <f t="shared" ref="O27:O74" si="13">U26</f>
        <v>4890.3295673076918</v>
      </c>
      <c r="P27" s="35">
        <v>2500</v>
      </c>
      <c r="Q27" s="35">
        <f t="shared" si="1"/>
        <v>100</v>
      </c>
      <c r="R27" s="63">
        <v>1.542E-3</v>
      </c>
      <c r="S27" s="35">
        <f t="shared" si="2"/>
        <v>148.26923076923075</v>
      </c>
      <c r="T27" s="35">
        <f t="shared" si="3"/>
        <v>357.10301682692307</v>
      </c>
      <c r="U27" s="35">
        <f t="shared" si="8"/>
        <v>7499.163353365384</v>
      </c>
      <c r="V27" s="66">
        <v>0.8</v>
      </c>
      <c r="W27" s="35">
        <f t="shared" si="9"/>
        <v>1499.8326706730766</v>
      </c>
      <c r="X27" s="33"/>
      <c r="Y27" s="24">
        <v>3</v>
      </c>
      <c r="Z27" s="63">
        <v>1.3878000000000002E-3</v>
      </c>
      <c r="AA27" s="66">
        <v>0</v>
      </c>
      <c r="AB27" s="35">
        <f t="shared" si="4"/>
        <v>255</v>
      </c>
      <c r="AC27" s="35">
        <f t="shared" si="5"/>
        <v>463.79642187499996</v>
      </c>
      <c r="AD27" s="35">
        <f t="shared" si="6"/>
        <v>149.1873389018005</v>
      </c>
      <c r="AE27" s="35">
        <f t="shared" si="10"/>
        <v>0</v>
      </c>
      <c r="AF27" s="43">
        <f t="shared" si="11"/>
        <v>7488.7560144635827</v>
      </c>
      <c r="AG27" s="80">
        <f t="shared" si="12"/>
        <v>-38.817364182690653</v>
      </c>
      <c r="AH27" s="79">
        <f t="shared" si="7"/>
        <v>-38.724246643615636</v>
      </c>
      <c r="AI27" s="35">
        <f t="shared" ref="AI27:AI74" si="14">AI26+AH27*AK27</f>
        <v>-1398.0733742953846</v>
      </c>
      <c r="AJ27" s="61">
        <f t="shared" ref="AJ27:AJ74" si="15">AJ26*(1-Z26)*(1-AA26)</f>
        <v>0.99760113699022002</v>
      </c>
      <c r="AK27" s="61">
        <f t="shared" si="0"/>
        <v>0.75131480090157754</v>
      </c>
      <c r="AL27" s="8"/>
      <c r="AM27" s="8"/>
      <c r="AN27" s="8"/>
      <c r="AO27" s="8"/>
      <c r="AP27" s="8"/>
      <c r="AQ27" s="8"/>
      <c r="AR27" s="8"/>
      <c r="AS27" s="8"/>
      <c r="AT27" s="8"/>
      <c r="AU27" s="8"/>
      <c r="AV27" s="8"/>
      <c r="AW27" s="8"/>
      <c r="AX27" s="8"/>
      <c r="AY27" s="8"/>
      <c r="AZ27" s="8"/>
      <c r="BA27" s="8"/>
      <c r="BB27" s="8"/>
      <c r="BC27" s="8"/>
      <c r="BD27" s="8"/>
      <c r="BE27" s="8"/>
      <c r="BF27" s="8"/>
      <c r="BG27" s="8"/>
      <c r="BH27" s="8"/>
      <c r="BI27" s="8"/>
      <c r="BJ27" s="8"/>
    </row>
    <row r="28" spans="1:62" ht="21.75" thickBot="1">
      <c r="B28" s="6" t="s">
        <v>3</v>
      </c>
      <c r="C28" s="102">
        <f>U29</f>
        <v>13062.672789393027</v>
      </c>
      <c r="I28" s="9"/>
      <c r="M28" s="1"/>
      <c r="N28" s="24">
        <v>4</v>
      </c>
      <c r="O28" s="35">
        <f t="shared" si="13"/>
        <v>7499.163353365384</v>
      </c>
      <c r="P28" s="35">
        <v>2500</v>
      </c>
      <c r="Q28" s="35">
        <f t="shared" si="1"/>
        <v>100</v>
      </c>
      <c r="R28" s="63">
        <v>1.7039999999999998E-3</v>
      </c>
      <c r="S28" s="35">
        <f t="shared" si="2"/>
        <v>163.84615384615381</v>
      </c>
      <c r="T28" s="35">
        <f t="shared" si="3"/>
        <v>486.76585997596152</v>
      </c>
      <c r="U28" s="35">
        <f t="shared" si="8"/>
        <v>10222.083059495191</v>
      </c>
      <c r="V28" s="66">
        <v>0.7</v>
      </c>
      <c r="W28" s="35">
        <f t="shared" si="9"/>
        <v>3066.6249178485577</v>
      </c>
      <c r="X28" s="33"/>
      <c r="Y28" s="30">
        <v>4</v>
      </c>
      <c r="Z28" s="63">
        <v>1.5335999999999998E-3</v>
      </c>
      <c r="AA28" s="66">
        <v>0</v>
      </c>
      <c r="AB28" s="35">
        <f t="shared" si="4"/>
        <v>255</v>
      </c>
      <c r="AC28" s="35">
        <f t="shared" si="5"/>
        <v>633.37061796875003</v>
      </c>
      <c r="AD28" s="35">
        <f t="shared" si="6"/>
        <v>169.03658658004181</v>
      </c>
      <c r="AE28" s="35">
        <f t="shared" si="10"/>
        <v>0</v>
      </c>
      <c r="AF28" s="43">
        <f t="shared" si="11"/>
        <v>10206.406472915149</v>
      </c>
      <c r="AG28" s="80">
        <f t="shared" si="12"/>
        <v>2.0909118389445212</v>
      </c>
      <c r="AH28" s="79">
        <f t="shared" si="7"/>
        <v>2.0830012213698779</v>
      </c>
      <c r="AI28" s="35">
        <f t="shared" si="14"/>
        <v>-1396.6506564336471</v>
      </c>
      <c r="AJ28" s="61">
        <f t="shared" si="15"/>
        <v>0.99621666613230497</v>
      </c>
      <c r="AK28" s="61">
        <f t="shared" si="0"/>
        <v>0.68301345536507052</v>
      </c>
    </row>
    <row r="29" spans="1:62">
      <c r="A29" s="6" t="s">
        <v>10</v>
      </c>
      <c r="B29" s="12" t="s">
        <v>26</v>
      </c>
      <c r="C29" s="20"/>
      <c r="D29" s="20"/>
      <c r="E29" s="20"/>
      <c r="F29" s="45"/>
      <c r="G29" s="20"/>
      <c r="H29" s="20"/>
      <c r="I29" s="20"/>
      <c r="J29" s="20"/>
      <c r="K29" s="20"/>
      <c r="M29" s="1"/>
      <c r="N29" s="24">
        <v>5</v>
      </c>
      <c r="O29" s="35">
        <f t="shared" si="13"/>
        <v>10222.083059495191</v>
      </c>
      <c r="P29" s="35">
        <v>2500</v>
      </c>
      <c r="Q29" s="35">
        <f t="shared" si="1"/>
        <v>100</v>
      </c>
      <c r="R29" s="64">
        <v>1.887E-3</v>
      </c>
      <c r="S29" s="35">
        <f t="shared" si="2"/>
        <v>181.44230769230768</v>
      </c>
      <c r="T29" s="35">
        <f t="shared" si="3"/>
        <v>622.03203759014423</v>
      </c>
      <c r="U29" s="35">
        <f t="shared" si="8"/>
        <v>13062.672789393027</v>
      </c>
      <c r="V29" s="67">
        <v>0.6</v>
      </c>
      <c r="W29" s="35">
        <f t="shared" si="9"/>
        <v>5225.069115757211</v>
      </c>
      <c r="X29" s="34"/>
      <c r="Y29" s="24">
        <v>5</v>
      </c>
      <c r="Z29" s="64">
        <v>1.6983000000000002E-3</v>
      </c>
      <c r="AA29" s="67">
        <v>0</v>
      </c>
      <c r="AB29" s="35">
        <f t="shared" si="4"/>
        <v>255</v>
      </c>
      <c r="AC29" s="35">
        <f t="shared" si="5"/>
        <v>810.36039886718743</v>
      </c>
      <c r="AD29" s="35">
        <f t="shared" si="6"/>
        <v>192.0143371982262</v>
      </c>
      <c r="AE29" s="35">
        <f t="shared" si="10"/>
        <v>0</v>
      </c>
      <c r="AF29" s="43">
        <f t="shared" si="11"/>
        <v>13040.488452194801</v>
      </c>
      <c r="AG29" s="80">
        <f t="shared" si="12"/>
        <v>44.940668969351464</v>
      </c>
      <c r="AH29" s="79">
        <f t="shared" si="7"/>
        <v>44.701983155662518</v>
      </c>
      <c r="AI29" s="35">
        <f t="shared" si="14"/>
        <v>-1368.894241909265</v>
      </c>
      <c r="AJ29" s="61">
        <f t="shared" si="15"/>
        <v>0.99468886825312441</v>
      </c>
      <c r="AK29" s="61">
        <f t="shared" si="0"/>
        <v>0.62092132305915493</v>
      </c>
    </row>
    <row r="30" spans="1:62" ht="19.5" thickBot="1">
      <c r="A30" s="8"/>
      <c r="B30" s="20" t="s">
        <v>31</v>
      </c>
      <c r="C30" s="13"/>
      <c r="D30" s="13"/>
      <c r="E30" s="13"/>
      <c r="F30" s="48"/>
      <c r="G30" s="13"/>
      <c r="H30" s="13"/>
      <c r="I30" s="13"/>
      <c r="J30" s="13"/>
      <c r="K30" s="13"/>
      <c r="M30" s="1"/>
      <c r="N30" s="24">
        <v>6</v>
      </c>
      <c r="O30" s="35">
        <f t="shared" si="13"/>
        <v>13062.672789393027</v>
      </c>
      <c r="P30" s="35">
        <v>2500</v>
      </c>
      <c r="Q30" s="35">
        <f t="shared" si="1"/>
        <v>100</v>
      </c>
      <c r="R30" s="64">
        <v>2.0925000000000002E-3</v>
      </c>
      <c r="S30" s="35">
        <f t="shared" si="2"/>
        <v>201.20192307692309</v>
      </c>
      <c r="T30" s="35">
        <f t="shared" si="3"/>
        <v>763.07354331580518</v>
      </c>
      <c r="U30" s="35">
        <f t="shared" si="8"/>
        <v>16024.544409631908</v>
      </c>
      <c r="V30" s="67">
        <v>0.5</v>
      </c>
      <c r="W30" s="35">
        <f t="shared" si="9"/>
        <v>8012.272204815954</v>
      </c>
      <c r="X30" s="34"/>
      <c r="Y30" s="30">
        <v>6</v>
      </c>
      <c r="Z30" s="64">
        <v>1.8832500000000004E-3</v>
      </c>
      <c r="AA30" s="67">
        <v>0.01</v>
      </c>
      <c r="AB30" s="35">
        <f t="shared" si="4"/>
        <v>255</v>
      </c>
      <c r="AC30" s="35">
        <f t="shared" si="5"/>
        <v>994.99873131054676</v>
      </c>
      <c r="AD30" s="35">
        <f t="shared" si="6"/>
        <v>218.50322325943935</v>
      </c>
      <c r="AE30" s="35">
        <f t="shared" si="10"/>
        <v>79.971830931862343</v>
      </c>
      <c r="AF30" s="43">
        <f t="shared" si="11"/>
        <v>15834.422524508744</v>
      </c>
      <c r="AG30" s="80">
        <f t="shared" si="12"/>
        <v>169.77394200352865</v>
      </c>
      <c r="AH30" s="79">
        <f t="shared" si="7"/>
        <v>168.58545448779526</v>
      </c>
      <c r="AI30" s="35">
        <f t="shared" si="14"/>
        <v>-1273.732147864637</v>
      </c>
      <c r="AJ30" s="61">
        <f t="shared" si="15"/>
        <v>0.99299958814817013</v>
      </c>
      <c r="AK30" s="61">
        <f t="shared" si="0"/>
        <v>0.56447393005377722</v>
      </c>
    </row>
    <row r="31" spans="1:62" ht="20.100000000000001" customHeight="1" thickBot="1">
      <c r="B31" s="6" t="s">
        <v>3</v>
      </c>
      <c r="C31" s="102">
        <f>W29</f>
        <v>5225.069115757211</v>
      </c>
      <c r="I31" s="9"/>
      <c r="M31" s="1"/>
      <c r="N31" s="24">
        <v>7</v>
      </c>
      <c r="O31" s="35">
        <f t="shared" si="13"/>
        <v>16024.544409631908</v>
      </c>
      <c r="P31" s="35">
        <v>2500</v>
      </c>
      <c r="Q31" s="35">
        <f t="shared" si="1"/>
        <v>100</v>
      </c>
      <c r="R31" s="64">
        <v>2.3235E-3</v>
      </c>
      <c r="S31" s="35">
        <f t="shared" si="2"/>
        <v>223.41346153846152</v>
      </c>
      <c r="T31" s="35">
        <f t="shared" si="3"/>
        <v>910.05654740467241</v>
      </c>
      <c r="U31" s="35">
        <f t="shared" si="8"/>
        <v>19111.187495498118</v>
      </c>
      <c r="V31" s="67">
        <v>0.4</v>
      </c>
      <c r="W31" s="35">
        <f t="shared" si="9"/>
        <v>11466.712497298869</v>
      </c>
      <c r="X31" s="34"/>
      <c r="Y31" s="24">
        <v>7</v>
      </c>
      <c r="Z31" s="64">
        <v>2.0911500000000004E-3</v>
      </c>
      <c r="AA31" s="67">
        <v>0.02</v>
      </c>
      <c r="AB31" s="35">
        <f t="shared" si="4"/>
        <v>255</v>
      </c>
      <c r="AC31" s="35">
        <f t="shared" si="5"/>
        <v>1187.520386626074</v>
      </c>
      <c r="AD31" s="35">
        <f t="shared" si="6"/>
        <v>249.07935973121093</v>
      </c>
      <c r="AE31" s="35">
        <f t="shared" si="10"/>
        <v>228.85467762920285</v>
      </c>
      <c r="AF31" s="43">
        <f t="shared" si="11"/>
        <v>18689.798673051566</v>
      </c>
      <c r="AG31" s="80">
        <f t="shared" si="12"/>
        <v>289.33208584600288</v>
      </c>
      <c r="AH31" s="79">
        <f t="shared" si="7"/>
        <v>283.8979161309345</v>
      </c>
      <c r="AI31" s="35">
        <f t="shared" si="14"/>
        <v>-1128.0476274532678</v>
      </c>
      <c r="AJ31" s="61">
        <f t="shared" si="15"/>
        <v>0.98121822645705215</v>
      </c>
      <c r="AK31" s="61">
        <f t="shared" si="0"/>
        <v>0.51315811823070645</v>
      </c>
    </row>
    <row r="32" spans="1:62">
      <c r="A32" s="6"/>
      <c r="M32" s="1"/>
      <c r="N32" s="24">
        <v>8</v>
      </c>
      <c r="O32" s="35">
        <f t="shared" si="13"/>
        <v>19111.187495498118</v>
      </c>
      <c r="P32" s="35">
        <v>2500</v>
      </c>
      <c r="Q32" s="35">
        <f t="shared" si="1"/>
        <v>100</v>
      </c>
      <c r="R32" s="64">
        <v>2.5815E-3</v>
      </c>
      <c r="S32" s="35">
        <f t="shared" si="2"/>
        <v>248.22115384615381</v>
      </c>
      <c r="T32" s="35">
        <f t="shared" si="3"/>
        <v>1063.1483170825984</v>
      </c>
      <c r="U32" s="35">
        <f t="shared" si="8"/>
        <v>22326.114658734565</v>
      </c>
      <c r="V32" s="67">
        <v>0.3</v>
      </c>
      <c r="W32" s="35">
        <f t="shared" si="9"/>
        <v>15628.280261114194</v>
      </c>
      <c r="X32" s="34"/>
      <c r="Y32" s="30">
        <v>8</v>
      </c>
      <c r="Z32" s="64">
        <v>2.3233500000000001E-3</v>
      </c>
      <c r="AA32" s="67">
        <v>0.03</v>
      </c>
      <c r="AB32" s="35">
        <f t="shared" si="4"/>
        <v>255</v>
      </c>
      <c r="AC32" s="35">
        <f t="shared" si="5"/>
        <v>1388.1521872073777</v>
      </c>
      <c r="AD32" s="35">
        <f t="shared" si="6"/>
        <v>284.20637849237096</v>
      </c>
      <c r="AE32" s="35">
        <f t="shared" si="10"/>
        <v>467.75910888508605</v>
      </c>
      <c r="AF32" s="43">
        <f t="shared" si="11"/>
        <v>21606.015981834928</v>
      </c>
      <c r="AG32" s="80">
        <f t="shared" si="12"/>
        <v>386.358213493113</v>
      </c>
      <c r="AH32" s="79">
        <f t="shared" si="7"/>
        <v>370.74278320777643</v>
      </c>
      <c r="AI32" s="35">
        <f t="shared" si="14"/>
        <v>-955.09338292734287</v>
      </c>
      <c r="AJ32" s="61">
        <f t="shared" si="15"/>
        <v>0.95958302492354053</v>
      </c>
      <c r="AK32" s="61">
        <f t="shared" si="0"/>
        <v>0.46650738020973315</v>
      </c>
    </row>
    <row r="33" spans="1:62" ht="19.5" thickBot="1">
      <c r="A33" s="103" t="s">
        <v>57</v>
      </c>
      <c r="B33" s="15" t="s">
        <v>35</v>
      </c>
      <c r="C33" s="14"/>
      <c r="D33" s="15"/>
      <c r="E33" s="14"/>
      <c r="F33" s="48"/>
      <c r="G33" s="14"/>
      <c r="H33" s="14"/>
      <c r="I33" s="14"/>
      <c r="J33" s="14"/>
      <c r="K33" s="14"/>
      <c r="M33" s="1"/>
      <c r="N33" s="24">
        <v>9</v>
      </c>
      <c r="O33" s="35">
        <f t="shared" si="13"/>
        <v>22326.114658734565</v>
      </c>
      <c r="P33" s="35">
        <v>2500</v>
      </c>
      <c r="Q33" s="35">
        <f t="shared" si="1"/>
        <v>100</v>
      </c>
      <c r="R33" s="64">
        <v>2.8739999999999998E-3</v>
      </c>
      <c r="S33" s="35">
        <f t="shared" si="2"/>
        <v>276.34615384615381</v>
      </c>
      <c r="T33" s="35">
        <f t="shared" si="3"/>
        <v>1222.4884252444206</v>
      </c>
      <c r="U33" s="35">
        <f t="shared" si="8"/>
        <v>25672.256930132833</v>
      </c>
      <c r="V33" s="67">
        <v>0.2</v>
      </c>
      <c r="W33" s="35">
        <f t="shared" si="9"/>
        <v>20537.805544106268</v>
      </c>
      <c r="X33" s="34"/>
      <c r="Y33" s="24">
        <v>9</v>
      </c>
      <c r="Z33" s="64">
        <v>2.5865999999999997E-3</v>
      </c>
      <c r="AA33" s="67">
        <v>0.04</v>
      </c>
      <c r="AB33" s="35">
        <f t="shared" si="4"/>
        <v>255</v>
      </c>
      <c r="AC33" s="35">
        <f t="shared" si="5"/>
        <v>1597.1224528177468</v>
      </c>
      <c r="AD33" s="35">
        <f t="shared" si="6"/>
        <v>325.06385977548155</v>
      </c>
      <c r="AE33" s="35">
        <f t="shared" si="10"/>
        <v>819.38729825143537</v>
      </c>
      <c r="AF33" s="43">
        <f t="shared" si="11"/>
        <v>24581.618947543058</v>
      </c>
      <c r="AG33" s="80">
        <f t="shared" si="12"/>
        <v>442.16700598233729</v>
      </c>
      <c r="AH33" s="79">
        <f t="shared" si="7"/>
        <v>410.61086016565378</v>
      </c>
      <c r="AI33" s="35">
        <f t="shared" si="14"/>
        <v>-780.95429505321181</v>
      </c>
      <c r="AJ33" s="61">
        <f t="shared" si="15"/>
        <v>0.92863297037150694</v>
      </c>
      <c r="AK33" s="61">
        <f t="shared" si="0"/>
        <v>0.42409761837248466</v>
      </c>
    </row>
    <row r="34" spans="1:62" ht="23.1" customHeight="1">
      <c r="A34" s="73"/>
      <c r="B34" s="6" t="s">
        <v>3</v>
      </c>
      <c r="C34" s="104" t="s">
        <v>50</v>
      </c>
      <c r="D34" s="105"/>
      <c r="E34" s="105"/>
      <c r="F34" s="105"/>
      <c r="G34" s="105"/>
      <c r="H34" s="105"/>
      <c r="I34" s="105"/>
      <c r="J34" s="105"/>
      <c r="K34" s="106"/>
      <c r="M34" s="1"/>
      <c r="N34" s="24">
        <v>10</v>
      </c>
      <c r="O34" s="35">
        <f t="shared" si="13"/>
        <v>25672.256930132833</v>
      </c>
      <c r="P34" s="35">
        <v>2500</v>
      </c>
      <c r="Q34" s="35">
        <f t="shared" si="1"/>
        <v>100</v>
      </c>
      <c r="R34" s="64">
        <v>3.2009999999999994E-3</v>
      </c>
      <c r="S34" s="35">
        <f t="shared" si="2"/>
        <v>307.78846153846149</v>
      </c>
      <c r="T34" s="35">
        <f t="shared" si="3"/>
        <v>1388.2234234297187</v>
      </c>
      <c r="U34" s="35">
        <f t="shared" si="8"/>
        <v>29152.69189202409</v>
      </c>
      <c r="V34" s="67">
        <v>0.1</v>
      </c>
      <c r="W34" s="35">
        <f t="shared" si="9"/>
        <v>26237.422702821681</v>
      </c>
      <c r="X34" s="34"/>
      <c r="Y34" s="30">
        <v>10</v>
      </c>
      <c r="Z34" s="64">
        <v>2.8808999999999996E-3</v>
      </c>
      <c r="AA34" s="67">
        <v>0.05</v>
      </c>
      <c r="AB34" s="35">
        <f t="shared" si="4"/>
        <v>255</v>
      </c>
      <c r="AC34" s="35">
        <f t="shared" si="5"/>
        <v>1814.6217004586342</v>
      </c>
      <c r="AD34" s="35">
        <f t="shared" si="6"/>
        <v>372.07599007173212</v>
      </c>
      <c r="AE34" s="35">
        <f t="shared" si="10"/>
        <v>1308.0917655878563</v>
      </c>
      <c r="AF34" s="43">
        <f t="shared" si="11"/>
        <v>27615.270606854738</v>
      </c>
      <c r="AG34" s="80">
        <f t="shared" si="12"/>
        <v>436.44026807714545</v>
      </c>
      <c r="AH34" s="79">
        <f t="shared" si="7"/>
        <v>388.07471243467137</v>
      </c>
      <c r="AI34" s="35">
        <f t="shared" si="14"/>
        <v>-631.33469387672915</v>
      </c>
      <c r="AJ34" s="61">
        <f t="shared" si="15"/>
        <v>0.88918172959713027</v>
      </c>
      <c r="AK34" s="61">
        <f t="shared" si="0"/>
        <v>0.38554328942953148</v>
      </c>
    </row>
    <row r="35" spans="1:62" ht="20.100000000000001" customHeight="1" thickBot="1">
      <c r="A35" s="73"/>
      <c r="B35" s="72"/>
      <c r="C35" s="107"/>
      <c r="D35" s="108"/>
      <c r="E35" s="108"/>
      <c r="F35" s="108"/>
      <c r="G35" s="108"/>
      <c r="H35" s="108"/>
      <c r="I35" s="108"/>
      <c r="J35" s="108"/>
      <c r="K35" s="109"/>
      <c r="L35" s="8"/>
      <c r="M35" s="1"/>
      <c r="N35" s="24">
        <v>11</v>
      </c>
      <c r="O35" s="35">
        <f t="shared" si="13"/>
        <v>29152.69189202409</v>
      </c>
      <c r="P35" s="35">
        <v>2500</v>
      </c>
      <c r="Q35" s="35">
        <f t="shared" si="1"/>
        <v>100</v>
      </c>
      <c r="R35" s="64">
        <v>3.5685000000000001E-3</v>
      </c>
      <c r="S35" s="35">
        <f t="shared" si="2"/>
        <v>343.125</v>
      </c>
      <c r="T35" s="35">
        <f t="shared" si="3"/>
        <v>1560.4783446012045</v>
      </c>
      <c r="U35" s="35">
        <f t="shared" si="8"/>
        <v>32770.045236625294</v>
      </c>
      <c r="V35" s="67">
        <v>0</v>
      </c>
      <c r="W35" s="35">
        <f t="shared" si="9"/>
        <v>32770.045236625294</v>
      </c>
      <c r="X35" s="34"/>
      <c r="Y35" s="24">
        <v>11</v>
      </c>
      <c r="Z35" s="64">
        <v>3.2116499999999999E-3</v>
      </c>
      <c r="AA35" s="67">
        <v>0.05</v>
      </c>
      <c r="AB35" s="35">
        <f t="shared" si="4"/>
        <v>255</v>
      </c>
      <c r="AC35" s="35">
        <f t="shared" si="5"/>
        <v>2040.849972981566</v>
      </c>
      <c r="AD35" s="35">
        <f t="shared" si="6"/>
        <v>426.41091578420765</v>
      </c>
      <c r="AE35" s="35">
        <f t="shared" si="10"/>
        <v>1633.2399660420544</v>
      </c>
      <c r="AF35" s="43">
        <f t="shared" si="11"/>
        <v>31031.559354799028</v>
      </c>
      <c r="AG35" s="80">
        <f t="shared" si="12"/>
        <v>347.33162838035787</v>
      </c>
      <c r="AH35" s="79">
        <f t="shared" si="7"/>
        <v>292.5536382981291</v>
      </c>
      <c r="AI35" s="35">
        <f t="shared" si="14"/>
        <v>-528.79642838214909</v>
      </c>
      <c r="AJ35" s="61">
        <f t="shared" si="15"/>
        <v>0.84228908165471716</v>
      </c>
      <c r="AK35" s="61">
        <f t="shared" si="0"/>
        <v>0.3504938994813922</v>
      </c>
    </row>
    <row r="36" spans="1:62" s="8" customFormat="1" ht="17.100000000000001" customHeight="1">
      <c r="A36" s="6"/>
      <c r="B36" s="6"/>
      <c r="C36" s="6"/>
      <c r="D36" s="6"/>
      <c r="E36" s="6"/>
      <c r="F36" s="6"/>
      <c r="G36" s="6"/>
      <c r="H36" s="6"/>
      <c r="I36" s="6"/>
      <c r="J36" s="25"/>
      <c r="K36" s="25"/>
      <c r="L36"/>
      <c r="M36" s="1"/>
      <c r="N36" s="24">
        <v>12</v>
      </c>
      <c r="O36" s="35">
        <f t="shared" si="13"/>
        <v>32770.045236625294</v>
      </c>
      <c r="P36" s="35">
        <v>2500</v>
      </c>
      <c r="Q36" s="35">
        <f t="shared" si="1"/>
        <v>100</v>
      </c>
      <c r="R36" s="64">
        <v>3.9810000000000002E-3</v>
      </c>
      <c r="S36" s="35">
        <f t="shared" si="2"/>
        <v>382.78846153846155</v>
      </c>
      <c r="T36" s="35">
        <f t="shared" si="3"/>
        <v>1739.3628387543417</v>
      </c>
      <c r="U36" s="35">
        <f t="shared" si="8"/>
        <v>36526.619613841176</v>
      </c>
      <c r="V36" s="67">
        <v>0</v>
      </c>
      <c r="W36" s="35">
        <f t="shared" si="9"/>
        <v>36526.619613841176</v>
      </c>
      <c r="X36" s="34"/>
      <c r="Y36" s="30">
        <v>12</v>
      </c>
      <c r="Z36" s="64">
        <v>3.5829E-3</v>
      </c>
      <c r="AA36" s="67">
        <v>0.05</v>
      </c>
      <c r="AB36" s="35">
        <f t="shared" si="4"/>
        <v>255</v>
      </c>
      <c r="AC36" s="35">
        <f t="shared" si="5"/>
        <v>2275.9779403806442</v>
      </c>
      <c r="AD36" s="35">
        <f t="shared" si="6"/>
        <v>489.16122541443156</v>
      </c>
      <c r="AE36" s="35">
        <f t="shared" si="10"/>
        <v>1819.7874194213371</v>
      </c>
      <c r="AF36" s="43">
        <f t="shared" si="11"/>
        <v>34575.960969005406</v>
      </c>
      <c r="AG36" s="80">
        <f t="shared" si="12"/>
        <v>406.11356316476304</v>
      </c>
      <c r="AH36" s="79">
        <f t="shared" si="7"/>
        <v>323.9181056913805</v>
      </c>
      <c r="AI36" s="35">
        <f t="shared" si="14"/>
        <v>-425.58613749451479</v>
      </c>
      <c r="AJ36" s="61">
        <f t="shared" si="15"/>
        <v>0.79760474672933968</v>
      </c>
      <c r="AK36" s="61">
        <f t="shared" si="0"/>
        <v>0.31863081771035656</v>
      </c>
      <c r="AL36"/>
      <c r="AM36"/>
      <c r="AN36"/>
      <c r="AO36"/>
      <c r="AP36"/>
      <c r="AQ36"/>
      <c r="AR36"/>
      <c r="AS36"/>
      <c r="AT36"/>
      <c r="AU36"/>
      <c r="AV36"/>
      <c r="AW36"/>
      <c r="AX36"/>
      <c r="AY36"/>
      <c r="AZ36"/>
      <c r="BA36"/>
      <c r="BB36"/>
      <c r="BC36"/>
      <c r="BD36"/>
      <c r="BE36"/>
      <c r="BF36"/>
      <c r="BG36"/>
      <c r="BH36"/>
      <c r="BI36"/>
      <c r="BJ36"/>
    </row>
    <row r="37" spans="1:62" ht="21">
      <c r="A37" s="6"/>
      <c r="B37" s="25"/>
      <c r="C37" s="25"/>
      <c r="D37" s="25"/>
      <c r="E37" s="25"/>
      <c r="F37" s="25"/>
      <c r="G37" s="25"/>
      <c r="H37" s="25"/>
      <c r="I37" s="25"/>
      <c r="J37" s="25"/>
      <c r="K37" s="25"/>
      <c r="L37" s="8"/>
      <c r="M37" s="7"/>
      <c r="N37" s="24">
        <v>13</v>
      </c>
      <c r="O37" s="35">
        <f t="shared" si="13"/>
        <v>36526.619613841176</v>
      </c>
      <c r="P37" s="35">
        <v>2500</v>
      </c>
      <c r="Q37" s="35">
        <f t="shared" si="1"/>
        <v>100</v>
      </c>
      <c r="R37" s="64">
        <v>4.4459999999999994E-3</v>
      </c>
      <c r="S37" s="35">
        <f t="shared" si="2"/>
        <v>427.49999999999994</v>
      </c>
      <c r="T37" s="35">
        <f t="shared" si="3"/>
        <v>1924.9559806920588</v>
      </c>
      <c r="U37" s="35">
        <f t="shared" si="8"/>
        <v>40424.075594533235</v>
      </c>
      <c r="V37" s="67">
        <v>0</v>
      </c>
      <c r="W37" s="35">
        <f t="shared" si="9"/>
        <v>40424.075594533235</v>
      </c>
      <c r="X37" s="34"/>
      <c r="Y37" s="24">
        <v>13</v>
      </c>
      <c r="Z37" s="64">
        <v>4.0014000000000004E-3</v>
      </c>
      <c r="AA37" s="67">
        <v>0.05</v>
      </c>
      <c r="AB37" s="35">
        <f t="shared" si="4"/>
        <v>255</v>
      </c>
      <c r="AC37" s="35">
        <f t="shared" si="5"/>
        <v>2520.1552748996764</v>
      </c>
      <c r="AD37" s="35">
        <f t="shared" si="6"/>
        <v>561.8928960839653</v>
      </c>
      <c r="AE37" s="35">
        <f t="shared" si="10"/>
        <v>2013.1161349224635</v>
      </c>
      <c r="AF37" s="43">
        <f t="shared" si="11"/>
        <v>38249.206563526801</v>
      </c>
      <c r="AG37" s="80">
        <f t="shared" si="12"/>
        <v>467.5592942076255</v>
      </c>
      <c r="AH37" s="79">
        <f t="shared" si="7"/>
        <v>353.01178293045439</v>
      </c>
      <c r="AI37" s="35">
        <f t="shared" si="14"/>
        <v>-323.33119835222243</v>
      </c>
      <c r="AJ37" s="61">
        <f t="shared" si="15"/>
        <v>0.7550096582481689</v>
      </c>
      <c r="AK37" s="61">
        <f t="shared" si="0"/>
        <v>0.28966437973668779</v>
      </c>
      <c r="AL37" s="8"/>
      <c r="AM37" s="8"/>
      <c r="AN37" s="8"/>
      <c r="AO37" s="8"/>
      <c r="AP37" s="8"/>
      <c r="AQ37" s="8"/>
      <c r="AR37" s="8"/>
      <c r="AS37" s="8"/>
      <c r="AT37" s="8"/>
      <c r="AU37" s="8"/>
      <c r="AV37" s="8"/>
      <c r="AW37" s="8"/>
      <c r="AX37" s="8"/>
      <c r="AY37" s="8"/>
      <c r="AZ37" s="8"/>
      <c r="BA37" s="8"/>
      <c r="BB37" s="8"/>
      <c r="BC37" s="8"/>
      <c r="BD37" s="8"/>
      <c r="BE37" s="8"/>
      <c r="BF37" s="8"/>
      <c r="BG37" s="8"/>
      <c r="BH37" s="8"/>
      <c r="BI37" s="8"/>
      <c r="BJ37" s="8"/>
    </row>
    <row r="38" spans="1:62" s="8" customFormat="1" ht="18.95" customHeight="1">
      <c r="B38" s="12" t="s">
        <v>11</v>
      </c>
      <c r="C38" s="20"/>
      <c r="D38" s="17"/>
      <c r="E38" s="21"/>
      <c r="F38" s="45"/>
      <c r="G38" s="20"/>
      <c r="H38" s="20"/>
      <c r="I38" s="20"/>
      <c r="J38" s="20"/>
      <c r="K38" s="17"/>
      <c r="L38"/>
      <c r="M38" s="1"/>
      <c r="N38" s="24">
        <v>14</v>
      </c>
      <c r="O38" s="35">
        <f t="shared" si="13"/>
        <v>40424.075594533235</v>
      </c>
      <c r="P38" s="35">
        <v>2500</v>
      </c>
      <c r="Q38" s="35">
        <f t="shared" si="1"/>
        <v>100</v>
      </c>
      <c r="R38" s="63">
        <v>4.9664999999999996E-3</v>
      </c>
      <c r="S38" s="35">
        <f t="shared" si="2"/>
        <v>477.54807692307685</v>
      </c>
      <c r="T38" s="35">
        <f t="shared" si="3"/>
        <v>2117.3263758805078</v>
      </c>
      <c r="U38" s="35">
        <f t="shared" si="8"/>
        <v>44463.853893490668</v>
      </c>
      <c r="V38" s="66">
        <v>0</v>
      </c>
      <c r="W38" s="35">
        <f t="shared" si="9"/>
        <v>44463.853893490668</v>
      </c>
      <c r="X38" s="33"/>
      <c r="Y38" s="30">
        <v>14</v>
      </c>
      <c r="Z38" s="63">
        <v>4.46985E-3</v>
      </c>
      <c r="AA38" s="66">
        <v>0.05</v>
      </c>
      <c r="AB38" s="35">
        <f t="shared" si="4"/>
        <v>255</v>
      </c>
      <c r="AC38" s="35">
        <f t="shared" si="5"/>
        <v>2773.4899136446602</v>
      </c>
      <c r="AD38" s="35">
        <f t="shared" si="6"/>
        <v>645.73175732581933</v>
      </c>
      <c r="AE38" s="35">
        <f t="shared" si="10"/>
        <v>2213.2553568082426</v>
      </c>
      <c r="AF38" s="43">
        <f t="shared" si="11"/>
        <v>42051.851779356606</v>
      </c>
      <c r="AG38" s="80">
        <f t="shared" si="12"/>
        <v>531.72661468722799</v>
      </c>
      <c r="AH38" s="79">
        <f t="shared" si="7"/>
        <v>379.85971604190786</v>
      </c>
      <c r="AI38" s="35">
        <f t="shared" si="14"/>
        <v>-223.30226286655557</v>
      </c>
      <c r="AJ38" s="61">
        <f t="shared" si="15"/>
        <v>0.71438913447157193</v>
      </c>
      <c r="AK38" s="61">
        <f t="shared" si="0"/>
        <v>0.26333125430607973</v>
      </c>
      <c r="AL38"/>
      <c r="AM38"/>
      <c r="AN38"/>
      <c r="AO38"/>
      <c r="AP38"/>
      <c r="AQ38"/>
      <c r="AR38"/>
      <c r="AS38"/>
      <c r="AT38"/>
      <c r="AU38"/>
      <c r="AV38"/>
      <c r="AW38"/>
      <c r="AX38"/>
      <c r="AY38"/>
      <c r="AZ38"/>
      <c r="BA38"/>
      <c r="BB38"/>
      <c r="BC38"/>
      <c r="BD38"/>
      <c r="BE38"/>
      <c r="BF38"/>
      <c r="BG38"/>
      <c r="BH38"/>
      <c r="BI38"/>
      <c r="BJ38"/>
    </row>
    <row r="39" spans="1:62">
      <c r="B39" s="20" t="s">
        <v>12</v>
      </c>
      <c r="C39" s="17"/>
      <c r="D39" s="17"/>
      <c r="E39" s="55">
        <v>0.1</v>
      </c>
      <c r="F39" s="45"/>
      <c r="G39" s="20"/>
      <c r="H39" s="20"/>
      <c r="I39" s="20"/>
      <c r="J39" s="20"/>
      <c r="K39" s="17"/>
      <c r="L39" s="8"/>
      <c r="M39" s="7"/>
      <c r="N39" s="24">
        <v>15</v>
      </c>
      <c r="O39" s="35">
        <f t="shared" si="13"/>
        <v>44463.853893490668</v>
      </c>
      <c r="P39" s="35">
        <v>2500</v>
      </c>
      <c r="Q39" s="35">
        <f t="shared" si="1"/>
        <v>100</v>
      </c>
      <c r="R39" s="64">
        <v>5.5529999999999998E-3</v>
      </c>
      <c r="S39" s="35">
        <f t="shared" si="2"/>
        <v>533.94230769230762</v>
      </c>
      <c r="T39" s="35">
        <f t="shared" si="3"/>
        <v>2316.4955792899182</v>
      </c>
      <c r="U39" s="35">
        <f t="shared" si="8"/>
        <v>48646.407165088283</v>
      </c>
      <c r="V39" s="67">
        <v>0</v>
      </c>
      <c r="W39" s="35">
        <f t="shared" si="9"/>
        <v>48646.407165088283</v>
      </c>
      <c r="X39" s="34"/>
      <c r="Y39" s="24">
        <v>15</v>
      </c>
      <c r="Z39" s="64">
        <v>4.9976999999999999E-3</v>
      </c>
      <c r="AA39" s="67">
        <v>0.05</v>
      </c>
      <c r="AB39" s="35">
        <f t="shared" si="4"/>
        <v>255</v>
      </c>
      <c r="AC39" s="35">
        <f t="shared" si="5"/>
        <v>3036.0755030768937</v>
      </c>
      <c r="AD39" s="35">
        <f t="shared" si="6"/>
        <v>742.89014908896172</v>
      </c>
      <c r="AE39" s="35">
        <f t="shared" si="10"/>
        <v>2420.1643507999661</v>
      </c>
      <c r="AF39" s="43">
        <f t="shared" si="11"/>
        <v>45983.122665199357</v>
      </c>
      <c r="AG39" s="80">
        <f t="shared" si="12"/>
        <v>598.75223147927318</v>
      </c>
      <c r="AH39" s="79">
        <f t="shared" si="7"/>
        <v>404.53863816374729</v>
      </c>
      <c r="AI39" s="35">
        <f t="shared" si="14"/>
        <v>-126.45892922752564</v>
      </c>
      <c r="AJ39" s="61">
        <f t="shared" si="15"/>
        <v>0.67563612608891144</v>
      </c>
      <c r="AK39" s="61">
        <f t="shared" si="0"/>
        <v>0.23939204936916339</v>
      </c>
      <c r="AL39" s="8"/>
      <c r="AM39" s="8"/>
      <c r="AN39" s="8"/>
      <c r="AO39" s="8"/>
      <c r="AP39" s="8"/>
      <c r="AQ39" s="8"/>
      <c r="AR39" s="8"/>
      <c r="AS39" s="8"/>
      <c r="AT39" s="8"/>
      <c r="AU39" s="8"/>
      <c r="AV39" s="8"/>
      <c r="AW39" s="8"/>
      <c r="AX39" s="8"/>
      <c r="AY39" s="8"/>
      <c r="AZ39" s="8"/>
      <c r="BA39" s="8"/>
      <c r="BB39" s="8"/>
      <c r="BC39" s="8"/>
      <c r="BD39" s="8"/>
      <c r="BE39" s="8"/>
      <c r="BF39" s="8"/>
      <c r="BG39" s="8"/>
      <c r="BH39" s="8"/>
      <c r="BI39" s="8"/>
      <c r="BJ39" s="8"/>
    </row>
    <row r="40" spans="1:62" ht="18.95" customHeight="1">
      <c r="B40" s="20" t="s">
        <v>13</v>
      </c>
      <c r="C40" s="17"/>
      <c r="D40" s="17"/>
      <c r="E40" s="56">
        <v>1200</v>
      </c>
      <c r="F40" s="45"/>
      <c r="G40" s="20"/>
      <c r="H40" s="20"/>
      <c r="I40" s="20"/>
      <c r="J40" s="20"/>
      <c r="K40" s="17"/>
      <c r="M40" s="1"/>
      <c r="N40" s="24">
        <v>16</v>
      </c>
      <c r="O40" s="35">
        <f t="shared" si="13"/>
        <v>48646.407165088283</v>
      </c>
      <c r="P40" s="35">
        <v>2500</v>
      </c>
      <c r="Q40" s="35">
        <f t="shared" si="1"/>
        <v>100</v>
      </c>
      <c r="R40" s="63">
        <v>6.2099999999999994E-3</v>
      </c>
      <c r="S40" s="35">
        <f t="shared" si="2"/>
        <v>597.11538461538441</v>
      </c>
      <c r="T40" s="35">
        <f t="shared" si="3"/>
        <v>2522.4645890236452</v>
      </c>
      <c r="U40" s="35">
        <f t="shared" si="8"/>
        <v>52971.756369496543</v>
      </c>
      <c r="V40" s="66">
        <v>0</v>
      </c>
      <c r="W40" s="35">
        <f t="shared" si="9"/>
        <v>52971.756369496543</v>
      </c>
      <c r="X40" s="33"/>
      <c r="Y40" s="30">
        <v>16</v>
      </c>
      <c r="Z40" s="63">
        <v>5.5889999999999994E-3</v>
      </c>
      <c r="AA40" s="66">
        <v>0.05</v>
      </c>
      <c r="AB40" s="35">
        <f t="shared" si="4"/>
        <v>255</v>
      </c>
      <c r="AC40" s="35">
        <f t="shared" si="5"/>
        <v>3307.9414657307384</v>
      </c>
      <c r="AD40" s="35">
        <f t="shared" si="6"/>
        <v>854.95914634911617</v>
      </c>
      <c r="AE40" s="35">
        <f t="shared" si="10"/>
        <v>2633.7848611573713</v>
      </c>
      <c r="AF40" s="43">
        <f t="shared" si="11"/>
        <v>50041.912361990057</v>
      </c>
      <c r="AG40" s="80">
        <f t="shared" si="12"/>
        <v>668.69226132247422</v>
      </c>
      <c r="AH40" s="79">
        <f t="shared" si="7"/>
        <v>427.05798862052967</v>
      </c>
      <c r="AI40" s="35">
        <f t="shared" si="14"/>
        <v>-33.518668231760685</v>
      </c>
      <c r="AJ40" s="61">
        <f t="shared" si="15"/>
        <v>0.63864652445047909</v>
      </c>
      <c r="AK40" s="61">
        <f t="shared" si="0"/>
        <v>0.21762913579014853</v>
      </c>
    </row>
    <row r="41" spans="1:62">
      <c r="B41" s="20" t="s">
        <v>53</v>
      </c>
      <c r="C41" s="17"/>
      <c r="D41" s="17"/>
      <c r="E41" s="26"/>
      <c r="F41" s="45"/>
      <c r="G41" s="20"/>
      <c r="H41" s="20"/>
      <c r="I41" s="57">
        <v>180</v>
      </c>
      <c r="J41" s="20"/>
      <c r="K41" s="17"/>
      <c r="M41" s="1"/>
      <c r="N41" s="24">
        <v>17</v>
      </c>
      <c r="O41" s="35">
        <f t="shared" si="13"/>
        <v>52971.756369496543</v>
      </c>
      <c r="P41" s="35">
        <v>2500</v>
      </c>
      <c r="Q41" s="35">
        <f t="shared" si="1"/>
        <v>100</v>
      </c>
      <c r="R41" s="64">
        <v>6.9495000000000008E-3</v>
      </c>
      <c r="S41" s="35">
        <f t="shared" si="2"/>
        <v>668.22115384615381</v>
      </c>
      <c r="T41" s="35">
        <f t="shared" si="3"/>
        <v>2735.1767607825195</v>
      </c>
      <c r="U41" s="35">
        <f t="shared" si="8"/>
        <v>57438.711976432904</v>
      </c>
      <c r="V41" s="67">
        <v>0</v>
      </c>
      <c r="W41" s="35">
        <f t="shared" si="9"/>
        <v>57438.711976432904</v>
      </c>
      <c r="X41" s="34"/>
      <c r="Y41" s="24">
        <v>17</v>
      </c>
      <c r="Z41" s="64">
        <v>6.2545500000000011E-3</v>
      </c>
      <c r="AA41" s="67">
        <v>0.05</v>
      </c>
      <c r="AB41" s="35">
        <f t="shared" si="4"/>
        <v>255</v>
      </c>
      <c r="AC41" s="35">
        <f t="shared" si="5"/>
        <v>3589.0891640172754</v>
      </c>
      <c r="AD41" s="35">
        <f t="shared" si="6"/>
        <v>984.7082959921986</v>
      </c>
      <c r="AE41" s="35">
        <f t="shared" si="10"/>
        <v>2853.9729340220356</v>
      </c>
      <c r="AF41" s="43">
        <f t="shared" si="11"/>
        <v>54225.485746418672</v>
      </c>
      <c r="AG41" s="80">
        <f t="shared" si="12"/>
        <v>741.6785570809152</v>
      </c>
      <c r="AH41" s="79">
        <f t="shared" si="7"/>
        <v>447.47193425606389</v>
      </c>
      <c r="AI41" s="35">
        <f t="shared" si="14"/>
        <v>55.011268443233263</v>
      </c>
      <c r="AJ41" s="61">
        <f t="shared" si="15"/>
        <v>0.60332327257405916</v>
      </c>
      <c r="AK41" s="61">
        <f t="shared" si="0"/>
        <v>0.19784466890013502</v>
      </c>
    </row>
    <row r="42" spans="1:62" ht="18.95" customHeight="1">
      <c r="B42" s="20" t="s">
        <v>37</v>
      </c>
      <c r="C42" s="20"/>
      <c r="D42" s="17"/>
      <c r="E42" s="55">
        <v>0.03</v>
      </c>
      <c r="F42" s="45"/>
      <c r="G42" s="20"/>
      <c r="H42" s="20"/>
      <c r="I42" s="20"/>
      <c r="J42" s="20"/>
      <c r="K42" s="17"/>
      <c r="M42" s="1"/>
      <c r="N42" s="24">
        <v>18</v>
      </c>
      <c r="O42" s="35">
        <f t="shared" si="13"/>
        <v>57438.711976432904</v>
      </c>
      <c r="P42" s="35">
        <v>2500</v>
      </c>
      <c r="Q42" s="35">
        <f t="shared" si="1"/>
        <v>100</v>
      </c>
      <c r="R42" s="64">
        <v>7.7790000000000003E-3</v>
      </c>
      <c r="S42" s="35">
        <f t="shared" si="2"/>
        <v>747.98076923076917</v>
      </c>
      <c r="T42" s="35">
        <f t="shared" si="3"/>
        <v>2954.5365603601072</v>
      </c>
      <c r="U42" s="35">
        <f t="shared" si="8"/>
        <v>62045.267767562247</v>
      </c>
      <c r="V42" s="67">
        <v>0</v>
      </c>
      <c r="W42" s="35">
        <f t="shared" si="9"/>
        <v>62045.267767562247</v>
      </c>
      <c r="X42" s="34"/>
      <c r="Y42" s="30">
        <v>18</v>
      </c>
      <c r="Z42" s="64">
        <v>7.0010999999999997E-3</v>
      </c>
      <c r="AA42" s="67">
        <v>0.05</v>
      </c>
      <c r="AB42" s="35">
        <f t="shared" si="4"/>
        <v>255</v>
      </c>
      <c r="AC42" s="35">
        <f t="shared" si="5"/>
        <v>3879.441278468139</v>
      </c>
      <c r="AD42" s="35">
        <f t="shared" si="6"/>
        <v>1134.4951241674798</v>
      </c>
      <c r="AE42" s="35">
        <f t="shared" si="10"/>
        <v>3080.5441321697385</v>
      </c>
      <c r="AF42" s="43">
        <f t="shared" si="11"/>
        <v>58530.338511225025</v>
      </c>
      <c r="AG42" s="80">
        <f t="shared" si="12"/>
        <v>817.77548733880394</v>
      </c>
      <c r="AH42" s="79">
        <f t="shared" si="7"/>
        <v>465.7822399784842</v>
      </c>
      <c r="AI42" s="35">
        <f t="shared" si="14"/>
        <v>138.78629848696639</v>
      </c>
      <c r="AJ42" s="61">
        <f t="shared" si="15"/>
        <v>0.56957226914960202</v>
      </c>
      <c r="AK42" s="61">
        <f t="shared" si="0"/>
        <v>0.17985878990921364</v>
      </c>
    </row>
    <row r="43" spans="1:62">
      <c r="B43" s="20" t="s">
        <v>14</v>
      </c>
      <c r="C43" s="26"/>
      <c r="D43" s="26"/>
      <c r="E43" s="58">
        <v>6.5000000000000002E-2</v>
      </c>
      <c r="F43" s="46"/>
      <c r="G43" s="26"/>
      <c r="H43" s="26"/>
      <c r="I43" s="26"/>
      <c r="J43" s="26"/>
      <c r="K43" s="26"/>
      <c r="M43" s="1"/>
      <c r="N43" s="24">
        <v>19</v>
      </c>
      <c r="O43" s="35">
        <f t="shared" si="13"/>
        <v>62045.267767562247</v>
      </c>
      <c r="P43" s="35">
        <v>2500</v>
      </c>
      <c r="Q43" s="35">
        <f t="shared" si="1"/>
        <v>100</v>
      </c>
      <c r="R43" s="64">
        <v>8.7119999999999993E-3</v>
      </c>
      <c r="S43" s="35">
        <f t="shared" si="2"/>
        <v>837.69230769230751</v>
      </c>
      <c r="T43" s="35">
        <f t="shared" si="3"/>
        <v>3180.3787729934975</v>
      </c>
      <c r="U43" s="35">
        <f t="shared" si="8"/>
        <v>66787.954232863442</v>
      </c>
      <c r="V43" s="67">
        <v>0</v>
      </c>
      <c r="W43" s="35">
        <f t="shared" si="9"/>
        <v>66787.954232863442</v>
      </c>
      <c r="X43" s="34"/>
      <c r="Y43" s="24">
        <v>19</v>
      </c>
      <c r="Z43" s="64">
        <v>7.8408000000000002E-3</v>
      </c>
      <c r="AA43" s="67">
        <v>0.05</v>
      </c>
      <c r="AB43" s="35">
        <f t="shared" si="4"/>
        <v>255</v>
      </c>
      <c r="AC43" s="35">
        <f t="shared" si="5"/>
        <v>4178.8674048915464</v>
      </c>
      <c r="AD43" s="35">
        <f t="shared" si="6"/>
        <v>1307.7509915490357</v>
      </c>
      <c r="AE43" s="35">
        <f t="shared" si="10"/>
        <v>3313.2141620657208</v>
      </c>
      <c r="AF43" s="43">
        <f t="shared" si="11"/>
        <v>62951.069079248686</v>
      </c>
      <c r="AG43" s="80">
        <f t="shared" si="12"/>
        <v>897.10093959035294</v>
      </c>
      <c r="AH43" s="79">
        <f t="shared" si="7"/>
        <v>482.0171835820974</v>
      </c>
      <c r="AI43" s="35">
        <f t="shared" si="14"/>
        <v>217.59995971835122</v>
      </c>
      <c r="AJ43" s="61">
        <f t="shared" si="15"/>
        <v>0.53730540489925582</v>
      </c>
      <c r="AK43" s="61">
        <f t="shared" si="0"/>
        <v>0.16350799082655781</v>
      </c>
    </row>
    <row r="44" spans="1:62">
      <c r="B44" s="20" t="s">
        <v>59</v>
      </c>
      <c r="C44" s="26"/>
      <c r="D44" s="26"/>
      <c r="E44" s="26"/>
      <c r="F44" s="46"/>
      <c r="G44" s="26"/>
      <c r="H44" s="26"/>
      <c r="I44" s="26"/>
      <c r="J44" s="26"/>
      <c r="K44" s="26"/>
      <c r="M44" s="1"/>
      <c r="N44" s="24">
        <v>20</v>
      </c>
      <c r="O44" s="35">
        <f t="shared" si="13"/>
        <v>66787.954232863442</v>
      </c>
      <c r="P44" s="35">
        <v>2500</v>
      </c>
      <c r="Q44" s="35">
        <f t="shared" si="1"/>
        <v>100</v>
      </c>
      <c r="R44" s="64">
        <v>9.7590000000000003E-3</v>
      </c>
      <c r="S44" s="35">
        <f t="shared" si="2"/>
        <v>938.36538461538453</v>
      </c>
      <c r="T44" s="35">
        <f t="shared" si="3"/>
        <v>3412.4794424124029</v>
      </c>
      <c r="U44" s="35">
        <f t="shared" si="8"/>
        <v>71662.068290660449</v>
      </c>
      <c r="V44" s="67">
        <v>0</v>
      </c>
      <c r="W44" s="35">
        <f t="shared" si="9"/>
        <v>71662.068290660449</v>
      </c>
      <c r="X44" s="34"/>
      <c r="Y44" s="30">
        <v>20</v>
      </c>
      <c r="Z44" s="64">
        <v>8.7831000000000003E-3</v>
      </c>
      <c r="AA44" s="67">
        <v>0.05</v>
      </c>
      <c r="AB44" s="35">
        <f t="shared" si="4"/>
        <v>255</v>
      </c>
      <c r="AC44" s="35">
        <f t="shared" si="5"/>
        <v>4487.1420251361242</v>
      </c>
      <c r="AD44" s="35">
        <f t="shared" si="6"/>
        <v>1507.7251120036999</v>
      </c>
      <c r="AE44" s="35">
        <f t="shared" si="10"/>
        <v>3551.6326589328373</v>
      </c>
      <c r="AF44" s="43">
        <f t="shared" si="11"/>
        <v>67481.020519723912</v>
      </c>
      <c r="AG44" s="80">
        <f t="shared" si="12"/>
        <v>979.71796733912197</v>
      </c>
      <c r="AH44" s="79">
        <f t="shared" si="7"/>
        <v>496.16628611192766</v>
      </c>
      <c r="AI44" s="35">
        <f t="shared" si="14"/>
        <v>291.35191658929335</v>
      </c>
      <c r="AJ44" s="61">
        <f t="shared" si="15"/>
        <v>0.50643787564649556</v>
      </c>
      <c r="AK44" s="61">
        <f t="shared" si="0"/>
        <v>0.14864362802414349</v>
      </c>
    </row>
    <row r="45" spans="1:62" ht="21" customHeight="1">
      <c r="B45" s="20" t="s">
        <v>58</v>
      </c>
      <c r="C45" s="26"/>
      <c r="D45" s="26"/>
      <c r="E45" s="26"/>
      <c r="F45" s="46"/>
      <c r="G45" s="26"/>
      <c r="H45" s="26"/>
      <c r="I45" s="26"/>
      <c r="J45" s="26"/>
      <c r="K45" s="26"/>
      <c r="M45" s="1"/>
      <c r="N45" s="24">
        <v>21</v>
      </c>
      <c r="O45" s="35">
        <f t="shared" si="13"/>
        <v>71662.068290660449</v>
      </c>
      <c r="P45" s="35">
        <v>2500</v>
      </c>
      <c r="Q45" s="35">
        <f t="shared" si="1"/>
        <v>100</v>
      </c>
      <c r="R45" s="64">
        <v>1.0933499999999999E-2</v>
      </c>
      <c r="S45" s="35">
        <f t="shared" si="2"/>
        <v>1051.2980769230767</v>
      </c>
      <c r="T45" s="35">
        <f t="shared" si="3"/>
        <v>3650.5385106868689</v>
      </c>
      <c r="U45" s="35">
        <f t="shared" si="8"/>
        <v>76661.308724424234</v>
      </c>
      <c r="V45" s="67">
        <v>0</v>
      </c>
      <c r="W45" s="35">
        <f t="shared" si="9"/>
        <v>76661.308724424234</v>
      </c>
      <c r="X45" s="34"/>
      <c r="Y45" s="24">
        <v>21</v>
      </c>
      <c r="Z45" s="64">
        <v>9.8401499999999989E-3</v>
      </c>
      <c r="AA45" s="67">
        <v>0.05</v>
      </c>
      <c r="AB45" s="35">
        <f t="shared" si="4"/>
        <v>255</v>
      </c>
      <c r="AC45" s="35">
        <f t="shared" si="5"/>
        <v>4803.959438892929</v>
      </c>
      <c r="AD45" s="35">
        <f t="shared" si="6"/>
        <v>1738.3737770446428</v>
      </c>
      <c r="AE45" s="35">
        <f t="shared" si="10"/>
        <v>3795.3474973689795</v>
      </c>
      <c r="AF45" s="43">
        <f t="shared" si="11"/>
        <v>72111.6024500106</v>
      </c>
      <c r="AG45" s="80">
        <f t="shared" si="12"/>
        <v>1065.7040051291551</v>
      </c>
      <c r="AH45" s="79">
        <f t="shared" si="7"/>
        <v>508.22389428098165</v>
      </c>
      <c r="AI45" s="35">
        <f t="shared" si="14"/>
        <v>360.02850158427867</v>
      </c>
      <c r="AJ45" s="61">
        <f t="shared" si="15"/>
        <v>0.47689029208385947</v>
      </c>
      <c r="AK45" s="61">
        <f t="shared" si="0"/>
        <v>0.13513057093103953</v>
      </c>
    </row>
    <row r="46" spans="1:62">
      <c r="A46" s="8"/>
      <c r="B46" s="110" t="s">
        <v>52</v>
      </c>
      <c r="C46" s="110"/>
      <c r="D46" s="110"/>
      <c r="E46" s="110"/>
      <c r="F46" s="110"/>
      <c r="G46" s="110"/>
      <c r="H46" s="110"/>
      <c r="I46" s="110"/>
      <c r="J46" s="110"/>
      <c r="K46" s="60"/>
      <c r="M46" s="1"/>
      <c r="N46" s="24">
        <v>22</v>
      </c>
      <c r="O46" s="35">
        <f t="shared" si="13"/>
        <v>76661.308724424234</v>
      </c>
      <c r="P46" s="35">
        <v>2500</v>
      </c>
      <c r="Q46" s="35">
        <f t="shared" si="1"/>
        <v>100</v>
      </c>
      <c r="R46" s="64">
        <v>1.2253500000000001E-2</v>
      </c>
      <c r="S46" s="35">
        <f t="shared" si="2"/>
        <v>1178.2211538461538</v>
      </c>
      <c r="T46" s="35">
        <f t="shared" si="3"/>
        <v>3894.1543785289041</v>
      </c>
      <c r="U46" s="35">
        <f t="shared" si="8"/>
        <v>81777.241949106989</v>
      </c>
      <c r="V46" s="67">
        <v>0</v>
      </c>
      <c r="W46" s="35">
        <f t="shared" si="9"/>
        <v>81777.241949106989</v>
      </c>
      <c r="X46" s="34"/>
      <c r="Y46" s="30">
        <v>22</v>
      </c>
      <c r="Z46" s="64">
        <v>1.102815E-2</v>
      </c>
      <c r="AA46" s="67">
        <v>0.05</v>
      </c>
      <c r="AB46" s="35">
        <f t="shared" si="4"/>
        <v>255</v>
      </c>
      <c r="AC46" s="35">
        <f t="shared" si="5"/>
        <v>5128.910067087575</v>
      </c>
      <c r="AD46" s="35">
        <f t="shared" si="6"/>
        <v>2004.6666908010441</v>
      </c>
      <c r="AE46" s="35">
        <f t="shared" si="10"/>
        <v>4043.7695129152971</v>
      </c>
      <c r="AF46" s="43">
        <f t="shared" si="11"/>
        <v>76831.620745390639</v>
      </c>
      <c r="AG46" s="80">
        <f t="shared" si="12"/>
        <v>1155.1618424048356</v>
      </c>
      <c r="AH46" s="79">
        <f t="shared" si="7"/>
        <v>518.19143914709309</v>
      </c>
      <c r="AI46" s="35">
        <f t="shared" si="14"/>
        <v>423.68623342384569</v>
      </c>
      <c r="AJ46" s="61">
        <f t="shared" si="15"/>
        <v>0.4485877390723999</v>
      </c>
      <c r="AK46" s="61">
        <f t="shared" si="0"/>
        <v>0.12284597357367227</v>
      </c>
    </row>
    <row r="47" spans="1:62">
      <c r="B47" s="20" t="s">
        <v>17</v>
      </c>
      <c r="C47" s="26"/>
      <c r="D47" s="26"/>
      <c r="E47" s="26"/>
      <c r="F47" s="46"/>
      <c r="G47" s="26"/>
      <c r="H47" s="26"/>
      <c r="I47" s="26"/>
      <c r="J47" s="26"/>
      <c r="K47" s="26"/>
      <c r="L47" s="8"/>
      <c r="M47" s="1"/>
      <c r="N47" s="24">
        <v>23</v>
      </c>
      <c r="O47" s="35">
        <f t="shared" si="13"/>
        <v>81777.241949106989</v>
      </c>
      <c r="P47" s="35">
        <v>2500</v>
      </c>
      <c r="Q47" s="35">
        <f t="shared" si="1"/>
        <v>100</v>
      </c>
      <c r="R47" s="64">
        <v>1.3734000000000001E-2</v>
      </c>
      <c r="S47" s="35">
        <f t="shared" si="2"/>
        <v>1320.5769230769231</v>
      </c>
      <c r="T47" s="35">
        <f t="shared" si="3"/>
        <v>4142.8332513015039</v>
      </c>
      <c r="U47" s="35">
        <f t="shared" si="8"/>
        <v>86999.498277331571</v>
      </c>
      <c r="V47" s="67">
        <v>0</v>
      </c>
      <c r="W47" s="35">
        <f t="shared" si="9"/>
        <v>86999.498277331571</v>
      </c>
      <c r="X47" s="34"/>
      <c r="Y47" s="24">
        <v>23</v>
      </c>
      <c r="Z47" s="64">
        <v>1.2360600000000001E-2</v>
      </c>
      <c r="AA47" s="67">
        <v>0.05</v>
      </c>
      <c r="AB47" s="35">
        <f t="shared" si="4"/>
        <v>255</v>
      </c>
      <c r="AC47" s="35">
        <f t="shared" si="5"/>
        <v>5461.4457266919544</v>
      </c>
      <c r="AD47" s="35">
        <f t="shared" si="6"/>
        <v>2311.4259984067849</v>
      </c>
      <c r="AE47" s="35">
        <f t="shared" si="10"/>
        <v>4296.2066139462395</v>
      </c>
      <c r="AF47" s="43">
        <f t="shared" si="11"/>
        <v>81627.925664978538</v>
      </c>
      <c r="AG47" s="80">
        <f t="shared" si="12"/>
        <v>1248.1293984673684</v>
      </c>
      <c r="AH47" s="79">
        <f t="shared" si="7"/>
        <v>526.03488623074702</v>
      </c>
      <c r="AI47" s="35">
        <f t="shared" si="14"/>
        <v>482.43284045360213</v>
      </c>
      <c r="AJ47" s="61">
        <f t="shared" si="15"/>
        <v>0.42145861388786116</v>
      </c>
      <c r="AK47" s="61">
        <f t="shared" si="0"/>
        <v>0.11167815779424752</v>
      </c>
    </row>
    <row r="48" spans="1:62" ht="18.75" customHeight="1">
      <c r="B48" s="1"/>
      <c r="C48" s="74"/>
      <c r="D48" s="74"/>
      <c r="E48" s="74"/>
      <c r="F48" s="75"/>
      <c r="G48" s="74"/>
      <c r="H48" s="74"/>
      <c r="I48" s="74"/>
      <c r="J48" s="74"/>
      <c r="K48" s="74"/>
      <c r="L48" s="8"/>
      <c r="M48" s="1"/>
      <c r="N48" s="24">
        <v>24</v>
      </c>
      <c r="O48" s="35">
        <f t="shared" si="13"/>
        <v>86999.498277331571</v>
      </c>
      <c r="P48" s="35">
        <v>2500</v>
      </c>
      <c r="Q48" s="35">
        <f t="shared" si="1"/>
        <v>100</v>
      </c>
      <c r="R48" s="64">
        <v>1.5397500000000001E-2</v>
      </c>
      <c r="S48" s="35">
        <f t="shared" si="2"/>
        <v>1480.5288461538462</v>
      </c>
      <c r="T48" s="35">
        <f t="shared" si="3"/>
        <v>4395.9484715588869</v>
      </c>
      <c r="U48" s="35">
        <f t="shared" si="8"/>
        <v>92314.917902736619</v>
      </c>
      <c r="V48" s="67">
        <v>0</v>
      </c>
      <c r="W48" s="35">
        <f t="shared" si="9"/>
        <v>92314.917902736619</v>
      </c>
      <c r="X48" s="34"/>
      <c r="Y48" s="30">
        <v>24</v>
      </c>
      <c r="Z48" s="64">
        <v>1.385775E-2</v>
      </c>
      <c r="AA48" s="67">
        <v>0.05</v>
      </c>
      <c r="AB48" s="35">
        <f t="shared" si="4"/>
        <v>255</v>
      </c>
      <c r="AC48" s="35">
        <f t="shared" si="5"/>
        <v>5800.892388026552</v>
      </c>
      <c r="AD48" s="35">
        <f t="shared" si="6"/>
        <v>2665.0520535666487</v>
      </c>
      <c r="AE48" s="35">
        <f t="shared" si="10"/>
        <v>4551.7820424584988</v>
      </c>
      <c r="AF48" s="43">
        <f t="shared" si="11"/>
        <v>86483.858806711462</v>
      </c>
      <c r="AG48" s="80">
        <f t="shared" si="12"/>
        <v>1344.697762621523</v>
      </c>
      <c r="AH48" s="79">
        <f t="shared" si="7"/>
        <v>531.74281336514025</v>
      </c>
      <c r="AI48" s="35">
        <f t="shared" si="14"/>
        <v>536.41834755991965</v>
      </c>
      <c r="AJ48" s="61">
        <f t="shared" si="15"/>
        <v>0.39543667591778686</v>
      </c>
      <c r="AK48" s="61">
        <f t="shared" si="0"/>
        <v>0.10152559799477048</v>
      </c>
    </row>
    <row r="49" spans="1:37">
      <c r="A49" s="15" t="s">
        <v>67</v>
      </c>
      <c r="B49" s="17"/>
      <c r="C49" s="17"/>
      <c r="D49" s="17"/>
      <c r="E49" s="17"/>
      <c r="F49" s="44"/>
      <c r="G49" s="17"/>
      <c r="H49" s="17"/>
      <c r="I49" s="17"/>
      <c r="J49" s="17"/>
      <c r="K49" s="17"/>
      <c r="L49" s="8"/>
      <c r="M49" s="1"/>
      <c r="N49" s="24">
        <v>25</v>
      </c>
      <c r="O49" s="35">
        <f t="shared" si="13"/>
        <v>92314.917902736619</v>
      </c>
      <c r="P49" s="35">
        <v>2500</v>
      </c>
      <c r="Q49" s="35">
        <f t="shared" si="1"/>
        <v>100</v>
      </c>
      <c r="R49" s="64">
        <v>1.7262E-2</v>
      </c>
      <c r="S49" s="35">
        <f t="shared" si="2"/>
        <v>1659.8076923076922</v>
      </c>
      <c r="T49" s="35">
        <f t="shared" si="3"/>
        <v>4652.7555105214469</v>
      </c>
      <c r="U49" s="35">
        <f t="shared" si="8"/>
        <v>97707.865720950373</v>
      </c>
      <c r="V49" s="67">
        <v>0</v>
      </c>
      <c r="W49" s="35">
        <f t="shared" si="9"/>
        <v>97707.865720950373</v>
      </c>
      <c r="X49" s="34"/>
      <c r="Y49" s="24">
        <v>25</v>
      </c>
      <c r="Z49" s="64">
        <v>1.5535800000000001E-2</v>
      </c>
      <c r="AA49" s="67">
        <v>0.05</v>
      </c>
      <c r="AB49" s="35">
        <f t="shared" si="4"/>
        <v>255</v>
      </c>
      <c r="AC49" s="35">
        <f t="shared" si="5"/>
        <v>6146.3946636778801</v>
      </c>
      <c r="AD49" s="35">
        <f t="shared" si="6"/>
        <v>3071.5498602675407</v>
      </c>
      <c r="AE49" s="35">
        <f t="shared" si="10"/>
        <v>4809.4947930341423</v>
      </c>
      <c r="AF49" s="43">
        <f t="shared" si="11"/>
        <v>91380.40106764868</v>
      </c>
      <c r="AG49" s="80">
        <f t="shared" si="12"/>
        <v>1444.8668454641447</v>
      </c>
      <c r="AH49" s="79">
        <f t="shared" si="7"/>
        <v>535.2638871953377</v>
      </c>
      <c r="AI49" s="35">
        <f t="shared" si="14"/>
        <v>585.82106231674879</v>
      </c>
      <c r="AJ49" s="61">
        <f t="shared" si="15"/>
        <v>0.37045897265598277</v>
      </c>
      <c r="AK49" s="61">
        <f t="shared" si="0"/>
        <v>9.2295998177064048E-2</v>
      </c>
    </row>
    <row r="50" spans="1:37" ht="19.350000000000001" customHeight="1">
      <c r="B50" s="90" t="s">
        <v>68</v>
      </c>
      <c r="C50" s="90"/>
      <c r="D50" s="90"/>
      <c r="E50" s="90"/>
      <c r="F50" s="90"/>
      <c r="G50" s="90"/>
      <c r="H50" s="90"/>
      <c r="I50" s="90"/>
      <c r="J50" s="90"/>
      <c r="K50" s="90"/>
      <c r="L50" s="8"/>
      <c r="M50" s="1"/>
      <c r="N50" s="24">
        <v>26</v>
      </c>
      <c r="O50" s="35">
        <f t="shared" si="13"/>
        <v>97707.865720950373</v>
      </c>
      <c r="P50" s="35">
        <v>2500</v>
      </c>
      <c r="Q50" s="35">
        <f t="shared" si="1"/>
        <v>100</v>
      </c>
      <c r="R50" s="64">
        <v>1.93545E-2</v>
      </c>
      <c r="S50" s="35">
        <f t="shared" si="2"/>
        <v>1861.0096153846152</v>
      </c>
      <c r="T50" s="35">
        <f t="shared" si="3"/>
        <v>4912.3428052782883</v>
      </c>
      <c r="U50" s="35">
        <f t="shared" si="8"/>
        <v>103159.19891084405</v>
      </c>
      <c r="V50" s="67">
        <v>0</v>
      </c>
      <c r="W50" s="35">
        <f t="shared" si="9"/>
        <v>103159.19891084405</v>
      </c>
      <c r="X50" s="34"/>
      <c r="Y50" s="30">
        <v>26</v>
      </c>
      <c r="Z50" s="64">
        <v>1.7419050000000002E-2</v>
      </c>
      <c r="AA50" s="67">
        <v>0.05</v>
      </c>
      <c r="AB50" s="35">
        <f t="shared" si="4"/>
        <v>255</v>
      </c>
      <c r="AC50" s="35">
        <f t="shared" si="5"/>
        <v>6496.936271861774</v>
      </c>
      <c r="AD50" s="35">
        <f t="shared" si="6"/>
        <v>3538.8402437879386</v>
      </c>
      <c r="AE50" s="35">
        <f t="shared" si="10"/>
        <v>5068.1131833528052</v>
      </c>
      <c r="AF50" s="43">
        <f t="shared" si="11"/>
        <v>96294.150483703299</v>
      </c>
      <c r="AG50" s="80">
        <f t="shared" si="12"/>
        <v>1548.6980819681048</v>
      </c>
      <c r="AH50" s="79">
        <f t="shared" si="7"/>
        <v>536.57497185008776</v>
      </c>
      <c r="AI50" s="35">
        <f t="shared" si="14"/>
        <v>630.84262833832508</v>
      </c>
      <c r="AJ50" s="61">
        <f t="shared" si="15"/>
        <v>0.34646841634116421</v>
      </c>
      <c r="AK50" s="61">
        <f t="shared" si="0"/>
        <v>8.3905452888240042E-2</v>
      </c>
    </row>
    <row r="51" spans="1:37" ht="18.75" customHeight="1">
      <c r="B51" s="90"/>
      <c r="C51" s="90"/>
      <c r="D51" s="90"/>
      <c r="E51" s="90"/>
      <c r="F51" s="90"/>
      <c r="G51" s="90"/>
      <c r="H51" s="90"/>
      <c r="I51" s="90"/>
      <c r="J51" s="90"/>
      <c r="K51" s="90"/>
      <c r="L51" s="8"/>
      <c r="M51" s="1"/>
      <c r="N51" s="24">
        <v>27</v>
      </c>
      <c r="O51" s="35">
        <f t="shared" si="13"/>
        <v>103159.19891084405</v>
      </c>
      <c r="P51" s="35">
        <v>2500</v>
      </c>
      <c r="Q51" s="35">
        <f t="shared" si="1"/>
        <v>100</v>
      </c>
      <c r="R51" s="64">
        <v>2.1701999999999999E-2</v>
      </c>
      <c r="S51" s="35">
        <f t="shared" si="2"/>
        <v>2086.7307692307691</v>
      </c>
      <c r="T51" s="35">
        <f t="shared" si="3"/>
        <v>5173.623407080664</v>
      </c>
      <c r="U51" s="35">
        <f t="shared" si="8"/>
        <v>108646.09154869395</v>
      </c>
      <c r="V51" s="67">
        <v>0</v>
      </c>
      <c r="W51" s="35">
        <f t="shared" si="9"/>
        <v>108646.09154869395</v>
      </c>
      <c r="X51" s="34"/>
      <c r="Y51" s="24">
        <v>27</v>
      </c>
      <c r="Z51" s="64">
        <v>1.9531800000000002E-2</v>
      </c>
      <c r="AA51" s="67">
        <v>0.05</v>
      </c>
      <c r="AB51" s="35">
        <f t="shared" si="4"/>
        <v>255</v>
      </c>
      <c r="AC51" s="35">
        <f t="shared" si="5"/>
        <v>6851.2729292048634</v>
      </c>
      <c r="AD51" s="35">
        <f t="shared" si="6"/>
        <v>4075.2337309107807</v>
      </c>
      <c r="AE51" s="35">
        <f t="shared" si="10"/>
        <v>5326.2018908891587</v>
      </c>
      <c r="AF51" s="43">
        <f t="shared" si="11"/>
        <v>101197.83592689401</v>
      </c>
      <c r="AG51" s="80">
        <f t="shared" si="12"/>
        <v>1656.2002913549513</v>
      </c>
      <c r="AH51" s="79">
        <f t="shared" si="7"/>
        <v>535.63439010559455</v>
      </c>
      <c r="AI51" s="35">
        <f t="shared" si="14"/>
        <v>671.69957932407613</v>
      </c>
      <c r="AJ51" s="61">
        <f t="shared" si="15"/>
        <v>0.32341160238982181</v>
      </c>
      <c r="AK51" s="61">
        <f t="shared" si="0"/>
        <v>7.6277684443854576E-2</v>
      </c>
    </row>
    <row r="52" spans="1:37" ht="20.100000000000001" customHeight="1" thickBot="1">
      <c r="B52" s="82"/>
      <c r="C52" s="82"/>
      <c r="D52" s="82"/>
      <c r="E52" s="82"/>
      <c r="F52" s="82"/>
      <c r="G52" s="82"/>
      <c r="H52" s="82"/>
      <c r="I52" s="82"/>
      <c r="J52" s="82"/>
      <c r="K52" s="82"/>
      <c r="M52" s="1"/>
      <c r="N52" s="24">
        <v>28</v>
      </c>
      <c r="O52" s="35">
        <f t="shared" si="13"/>
        <v>108646.09154869395</v>
      </c>
      <c r="P52" s="35">
        <v>2500</v>
      </c>
      <c r="Q52" s="35">
        <f t="shared" si="1"/>
        <v>100</v>
      </c>
      <c r="R52" s="64">
        <v>2.4333E-2</v>
      </c>
      <c r="S52" s="35">
        <f t="shared" si="2"/>
        <v>2339.7115384615386</v>
      </c>
      <c r="T52" s="35">
        <f t="shared" si="3"/>
        <v>5435.3190005116212</v>
      </c>
      <c r="U52" s="35">
        <f t="shared" si="8"/>
        <v>114141.69901074404</v>
      </c>
      <c r="V52" s="67">
        <v>0</v>
      </c>
      <c r="W52" s="35">
        <f t="shared" si="9"/>
        <v>114141.69901074404</v>
      </c>
      <c r="X52" s="34"/>
      <c r="Y52" s="30">
        <v>28</v>
      </c>
      <c r="Z52" s="64">
        <v>2.1899700000000001E-2</v>
      </c>
      <c r="AA52" s="67">
        <v>0.05</v>
      </c>
      <c r="AB52" s="35">
        <f t="shared" si="4"/>
        <v>255</v>
      </c>
      <c r="AC52" s="35">
        <f t="shared" si="5"/>
        <v>7207.9209506651068</v>
      </c>
      <c r="AD52" s="35">
        <f t="shared" si="6"/>
        <v>4689.6389658255921</v>
      </c>
      <c r="AE52" s="35">
        <f t="shared" si="10"/>
        <v>5582.1015022459223</v>
      </c>
      <c r="AF52" s="43">
        <f t="shared" si="11"/>
        <v>106059.92854267253</v>
      </c>
      <c r="AG52" s="80">
        <f t="shared" si="12"/>
        <v>1767.3434886150208</v>
      </c>
      <c r="AH52" s="79">
        <f t="shared" si="7"/>
        <v>532.39464453870562</v>
      </c>
      <c r="AI52" s="35">
        <f t="shared" si="14"/>
        <v>708.6176072292775</v>
      </c>
      <c r="AJ52" s="61">
        <f t="shared" si="15"/>
        <v>0.30124005207155108</v>
      </c>
      <c r="AK52" s="61">
        <f t="shared" si="0"/>
        <v>6.9343349494413245E-2</v>
      </c>
    </row>
    <row r="53" spans="1:37" ht="21.75" thickBot="1">
      <c r="B53" t="s">
        <v>3</v>
      </c>
      <c r="C53" s="111">
        <f>AI74</f>
        <v>950.81157256839674</v>
      </c>
      <c r="D53" s="1"/>
      <c r="E53" s="1"/>
      <c r="F53" s="1"/>
      <c r="G53" s="1"/>
      <c r="H53" s="1"/>
      <c r="I53" s="1"/>
      <c r="J53" s="1"/>
      <c r="K53" s="1"/>
      <c r="M53" s="1"/>
      <c r="N53" s="24">
        <v>29</v>
      </c>
      <c r="O53" s="35">
        <f t="shared" si="13"/>
        <v>114141.69901074404</v>
      </c>
      <c r="P53" s="35">
        <v>2500</v>
      </c>
      <c r="Q53" s="35">
        <f t="shared" si="1"/>
        <v>100</v>
      </c>
      <c r="R53" s="64">
        <v>2.7283499999999999E-2</v>
      </c>
      <c r="S53" s="35">
        <f t="shared" si="2"/>
        <v>2623.4134615384614</v>
      </c>
      <c r="T53" s="35">
        <f t="shared" si="3"/>
        <v>5695.9142774602788</v>
      </c>
      <c r="U53" s="35">
        <f t="shared" si="8"/>
        <v>119614.19982666585</v>
      </c>
      <c r="V53" s="67">
        <v>0</v>
      </c>
      <c r="W53" s="35">
        <f t="shared" si="9"/>
        <v>119614.19982666585</v>
      </c>
      <c r="X53" s="34"/>
      <c r="Y53" s="24">
        <v>29</v>
      </c>
      <c r="Z53" s="64">
        <v>2.4555150000000001E-2</v>
      </c>
      <c r="AA53" s="67">
        <v>0.05</v>
      </c>
      <c r="AB53" s="35">
        <f t="shared" si="4"/>
        <v>255</v>
      </c>
      <c r="AC53" s="35">
        <f t="shared" si="5"/>
        <v>7565.1354356983629</v>
      </c>
      <c r="AD53" s="35">
        <f t="shared" si="6"/>
        <v>5392.6596188737549</v>
      </c>
      <c r="AE53" s="35">
        <f t="shared" si="10"/>
        <v>5833.8527603896055</v>
      </c>
      <c r="AF53" s="43">
        <f t="shared" si="11"/>
        <v>110843.20244740249</v>
      </c>
      <c r="AG53" s="80">
        <f t="shared" si="12"/>
        <v>1882.1196197765385</v>
      </c>
      <c r="AH53" s="79">
        <f t="shared" si="7"/>
        <v>526.8256762952484</v>
      </c>
      <c r="AI53" s="35">
        <f t="shared" si="14"/>
        <v>741.82838631470656</v>
      </c>
      <c r="AJ53" s="61">
        <f t="shared" si="15"/>
        <v>0.27991083603803979</v>
      </c>
      <c r="AK53" s="61">
        <f t="shared" si="0"/>
        <v>6.3039408631284766E-2</v>
      </c>
    </row>
    <row r="54" spans="1:37" ht="18" customHeight="1">
      <c r="A54" s="1"/>
      <c r="B54" s="1"/>
      <c r="C54" s="1"/>
      <c r="D54" s="1"/>
      <c r="E54" s="1"/>
      <c r="F54" s="1"/>
      <c r="G54" s="1"/>
      <c r="H54" s="1"/>
      <c r="I54" s="1"/>
      <c r="J54" s="1"/>
      <c r="K54" s="2"/>
      <c r="M54" s="1"/>
      <c r="N54" s="24">
        <v>30</v>
      </c>
      <c r="O54" s="35">
        <f t="shared" si="13"/>
        <v>119614.19982666585</v>
      </c>
      <c r="P54" s="35">
        <v>2500</v>
      </c>
      <c r="Q54" s="35">
        <f t="shared" si="1"/>
        <v>100</v>
      </c>
      <c r="R54" s="64">
        <v>3.0588000000000001E-2</v>
      </c>
      <c r="S54" s="35">
        <f t="shared" si="2"/>
        <v>2941.1538461538462</v>
      </c>
      <c r="T54" s="35">
        <f t="shared" si="3"/>
        <v>5953.6522990256008</v>
      </c>
      <c r="U54" s="35">
        <f t="shared" si="8"/>
        <v>125026.69827953761</v>
      </c>
      <c r="V54" s="67">
        <v>0</v>
      </c>
      <c r="W54" s="35">
        <f t="shared" si="9"/>
        <v>125026.69827953761</v>
      </c>
      <c r="X54" s="34"/>
      <c r="Y54" s="30">
        <v>30</v>
      </c>
      <c r="Z54" s="64">
        <v>2.7529200000000004E-2</v>
      </c>
      <c r="AA54" s="67">
        <v>0.05</v>
      </c>
      <c r="AB54" s="35">
        <f t="shared" si="4"/>
        <v>255</v>
      </c>
      <c r="AC54" s="35">
        <f t="shared" si="5"/>
        <v>7920.8479887332805</v>
      </c>
      <c r="AD54" s="35">
        <f t="shared" si="6"/>
        <v>6194.8049822770472</v>
      </c>
      <c r="AE54" s="35">
        <f t="shared" si="10"/>
        <v>6079.2406648630285</v>
      </c>
      <c r="AF54" s="43">
        <f t="shared" si="11"/>
        <v>115505.57263239753</v>
      </c>
      <c r="AG54" s="80">
        <f t="shared" si="12"/>
        <v>2000.4295358615345</v>
      </c>
      <c r="AH54" s="79">
        <f t="shared" si="7"/>
        <v>518.88282405971643</v>
      </c>
      <c r="AI54" s="35">
        <f t="shared" si="14"/>
        <v>771.5648102943934</v>
      </c>
      <c r="AJ54" s="61">
        <f t="shared" si="15"/>
        <v>0.25938570429887531</v>
      </c>
      <c r="AK54" s="61">
        <f t="shared" si="0"/>
        <v>5.7308553301167964E-2</v>
      </c>
    </row>
    <row r="55" spans="1:37" ht="18.75" customHeight="1" thickBot="1">
      <c r="A55" s="70"/>
      <c r="B55" s="22" t="s">
        <v>2</v>
      </c>
      <c r="C55" s="22" t="s">
        <v>15</v>
      </c>
      <c r="D55" s="12"/>
      <c r="E55" s="12"/>
      <c r="F55" s="49"/>
      <c r="G55" s="12"/>
      <c r="H55" s="12"/>
      <c r="I55" s="12"/>
      <c r="J55" s="12"/>
      <c r="K55" s="12"/>
      <c r="M55" s="1"/>
      <c r="N55" s="24">
        <v>31</v>
      </c>
      <c r="O55" s="35">
        <f t="shared" si="13"/>
        <v>125026.69827953761</v>
      </c>
      <c r="P55" s="35">
        <v>2500</v>
      </c>
      <c r="Q55" s="35">
        <f t="shared" si="1"/>
        <v>100</v>
      </c>
      <c r="R55" s="64">
        <v>3.4291500000000003E-2</v>
      </c>
      <c r="S55" s="35">
        <f t="shared" si="2"/>
        <v>3297.2596153846152</v>
      </c>
      <c r="T55" s="35">
        <f t="shared" si="3"/>
        <v>6206.4719332076502</v>
      </c>
      <c r="U55" s="35">
        <f t="shared" si="8"/>
        <v>130335.91059736065</v>
      </c>
      <c r="V55" s="67">
        <v>0</v>
      </c>
      <c r="W55" s="35">
        <f t="shared" si="9"/>
        <v>130335.91059736065</v>
      </c>
      <c r="X55" s="34"/>
      <c r="Y55" s="24">
        <v>31</v>
      </c>
      <c r="Z55" s="64">
        <v>3.086235E-2</v>
      </c>
      <c r="AA55" s="67">
        <v>0.05</v>
      </c>
      <c r="AB55" s="35">
        <f t="shared" si="4"/>
        <v>255</v>
      </c>
      <c r="AC55" s="35">
        <f t="shared" si="5"/>
        <v>8272.6603881699448</v>
      </c>
      <c r="AD55" s="35">
        <f t="shared" si="6"/>
        <v>7108.7074904244528</v>
      </c>
      <c r="AE55" s="35">
        <f t="shared" si="10"/>
        <v>6315.6719053468096</v>
      </c>
      <c r="AF55" s="43">
        <f t="shared" si="11"/>
        <v>119997.76620158937</v>
      </c>
      <c r="AG55" s="80">
        <f t="shared" si="12"/>
        <v>2122.2130703469302</v>
      </c>
      <c r="AH55" s="79">
        <f t="shared" si="7"/>
        <v>508.55180124564237</v>
      </c>
      <c r="AI55" s="35">
        <f t="shared" si="14"/>
        <v>798.05969030174879</v>
      </c>
      <c r="AJ55" s="61">
        <f t="shared" si="15"/>
        <v>0.23963277219968612</v>
      </c>
      <c r="AK55" s="61">
        <f t="shared" si="0"/>
        <v>5.2098684819243603E-2</v>
      </c>
    </row>
    <row r="56" spans="1:37" ht="21.75" thickBot="1">
      <c r="A56" s="70"/>
      <c r="B56" t="s">
        <v>3</v>
      </c>
      <c r="C56" s="112">
        <v>17</v>
      </c>
      <c r="D56" s="8"/>
      <c r="F56" s="1"/>
      <c r="M56" s="1"/>
      <c r="N56" s="24">
        <v>32</v>
      </c>
      <c r="O56" s="35">
        <f t="shared" si="13"/>
        <v>130335.91059736065</v>
      </c>
      <c r="P56" s="35">
        <v>2500</v>
      </c>
      <c r="Q56" s="35">
        <f t="shared" si="1"/>
        <v>100</v>
      </c>
      <c r="R56" s="64">
        <v>3.8437499999999999E-2</v>
      </c>
      <c r="S56" s="35">
        <f t="shared" si="2"/>
        <v>3695.9134615384614</v>
      </c>
      <c r="T56" s="35">
        <f t="shared" si="3"/>
        <v>6451.9998567911089</v>
      </c>
      <c r="U56" s="35">
        <f t="shared" si="8"/>
        <v>135491.99699261328</v>
      </c>
      <c r="V56" s="67">
        <v>0</v>
      </c>
      <c r="W56" s="35">
        <f t="shared" si="9"/>
        <v>135491.99699261328</v>
      </c>
      <c r="X56" s="34"/>
      <c r="Y56" s="30">
        <v>32</v>
      </c>
      <c r="Z56" s="64">
        <v>3.459375E-2</v>
      </c>
      <c r="AA56" s="67">
        <v>0.05</v>
      </c>
      <c r="AB56" s="35">
        <f t="shared" si="4"/>
        <v>255</v>
      </c>
      <c r="AC56" s="35">
        <f t="shared" si="5"/>
        <v>8617.7591888284423</v>
      </c>
      <c r="AD56" s="35">
        <f t="shared" si="6"/>
        <v>8146.5512709632158</v>
      </c>
      <c r="AE56" s="35">
        <f t="shared" si="10"/>
        <v>6540.2410360825033</v>
      </c>
      <c r="AF56" s="43">
        <f t="shared" si="11"/>
        <v>124264.57968556756</v>
      </c>
      <c r="AG56" s="80">
        <f t="shared" si="12"/>
        <v>2247.2977935757954</v>
      </c>
      <c r="AH56" s="79">
        <f t="shared" si="7"/>
        <v>495.81071534919829</v>
      </c>
      <c r="AI56" s="35">
        <f t="shared" si="14"/>
        <v>821.54249592809572</v>
      </c>
      <c r="AJ56" s="61">
        <f t="shared" si="15"/>
        <v>0.22062528462695966</v>
      </c>
      <c r="AK56" s="61">
        <f t="shared" ref="AK56:AK74" si="16">(1+hurdle)^-Y56</f>
        <v>4.7362440744766907E-2</v>
      </c>
    </row>
    <row r="57" spans="1:37">
      <c r="A57" s="1"/>
      <c r="B57" s="1"/>
      <c r="C57" s="1"/>
      <c r="D57" s="1"/>
      <c r="E57" s="1"/>
      <c r="F57" s="1"/>
      <c r="G57" s="1"/>
      <c r="H57" s="1"/>
      <c r="I57" s="8"/>
      <c r="J57" s="8"/>
      <c r="K57" s="8"/>
      <c r="L57" s="8"/>
      <c r="M57" s="1"/>
      <c r="N57" s="24">
        <v>33</v>
      </c>
      <c r="O57" s="35">
        <f t="shared" si="13"/>
        <v>135491.99699261328</v>
      </c>
      <c r="P57" s="35">
        <v>2500</v>
      </c>
      <c r="Q57" s="35">
        <f t="shared" ref="Q57:Q74" si="17">flat_fee+pct_prem_chg*P57</f>
        <v>100</v>
      </c>
      <c r="R57" s="64">
        <v>4.3076999999999997E-2</v>
      </c>
      <c r="S57" s="35">
        <f t="shared" ref="S57:S74" si="18">R57*ADB*(1+iq)^-1</f>
        <v>4142.0192307692305</v>
      </c>
      <c r="T57" s="35">
        <f t="shared" ref="T57:T74" si="19">ic*(O57+P57-Q57-S57)</f>
        <v>6687.4988880922028</v>
      </c>
      <c r="U57" s="35">
        <f t="shared" si="8"/>
        <v>140437.47664993626</v>
      </c>
      <c r="V57" s="67">
        <v>0</v>
      </c>
      <c r="W57" s="35">
        <f t="shared" si="9"/>
        <v>140437.47664993626</v>
      </c>
      <c r="X57" s="34"/>
      <c r="Y57" s="24">
        <v>33</v>
      </c>
      <c r="Z57" s="64">
        <v>3.87693E-2</v>
      </c>
      <c r="AA57" s="67">
        <v>0.05</v>
      </c>
      <c r="AB57" s="35">
        <f t="shared" ref="AB57:AB74" si="20">flat_maint_exp+maint_exp*P57</f>
        <v>255</v>
      </c>
      <c r="AC57" s="35">
        <f t="shared" ref="AC57:AC74" si="21">asset_rate*(O57+P57-AB57)</f>
        <v>8952.9048045198633</v>
      </c>
      <c r="AD57" s="35">
        <f t="shared" ref="AD57:AD74" si="22">Z57*(ADB+U57)</f>
        <v>9321.5926634843745</v>
      </c>
      <c r="AE57" s="35">
        <f t="shared" si="10"/>
        <v>6749.6406993225946</v>
      </c>
      <c r="AF57" s="43">
        <f t="shared" si="11"/>
        <v>128243.17328712929</v>
      </c>
      <c r="AG57" s="80">
        <f t="shared" si="12"/>
        <v>2375.4951471968961</v>
      </c>
      <c r="AH57" s="79">
        <f t="shared" si="7"/>
        <v>480.66571073086567</v>
      </c>
      <c r="AI57" s="35">
        <f t="shared" si="14"/>
        <v>842.23840614857932</v>
      </c>
      <c r="AJ57" s="61">
        <f t="shared" si="15"/>
        <v>0.20234337725255097</v>
      </c>
      <c r="AK57" s="61">
        <f t="shared" si="16"/>
        <v>4.3056764313424457E-2</v>
      </c>
    </row>
    <row r="58" spans="1:37" ht="19.5" thickBot="1">
      <c r="A58" s="70"/>
      <c r="B58" s="17" t="s">
        <v>6</v>
      </c>
      <c r="C58" s="20" t="s">
        <v>16</v>
      </c>
      <c r="D58" s="20"/>
      <c r="E58" s="20"/>
      <c r="F58" s="45"/>
      <c r="G58" s="20"/>
      <c r="H58" s="20"/>
      <c r="I58" s="20"/>
      <c r="J58" s="20"/>
      <c r="K58" s="20"/>
      <c r="M58" s="1"/>
      <c r="N58" s="24">
        <v>34</v>
      </c>
      <c r="O58" s="35">
        <f t="shared" si="13"/>
        <v>140437.47664993626</v>
      </c>
      <c r="P58" s="35">
        <v>2500</v>
      </c>
      <c r="Q58" s="35">
        <f t="shared" si="17"/>
        <v>100</v>
      </c>
      <c r="R58" s="64">
        <v>4.8266999999999997E-2</v>
      </c>
      <c r="S58" s="35">
        <f t="shared" si="18"/>
        <v>4641.0576923076915</v>
      </c>
      <c r="T58" s="35">
        <f t="shared" si="19"/>
        <v>6909.8209478814288</v>
      </c>
      <c r="U58" s="35">
        <f t="shared" si="8"/>
        <v>145106.23990551001</v>
      </c>
      <c r="V58" s="67">
        <v>0</v>
      </c>
      <c r="W58" s="35">
        <f t="shared" si="9"/>
        <v>145106.23990551001</v>
      </c>
      <c r="X58" s="34"/>
      <c r="Y58" s="30">
        <v>34</v>
      </c>
      <c r="Z58" s="64">
        <v>4.3440300000000001E-2</v>
      </c>
      <c r="AA58" s="67">
        <v>0.05</v>
      </c>
      <c r="AB58" s="35">
        <f t="shared" si="20"/>
        <v>255</v>
      </c>
      <c r="AC58" s="35">
        <f t="shared" si="21"/>
        <v>9274.3609822458566</v>
      </c>
      <c r="AD58" s="35">
        <f t="shared" si="22"/>
        <v>10647.488593367327</v>
      </c>
      <c r="AE58" s="35">
        <f t="shared" si="10"/>
        <v>6940.1390656071344</v>
      </c>
      <c r="AF58" s="43">
        <f t="shared" si="11"/>
        <v>131862.64224653554</v>
      </c>
      <c r="AG58" s="80">
        <f t="shared" si="12"/>
        <v>2506.5677266721032</v>
      </c>
      <c r="AH58" s="79">
        <f t="shared" si="7"/>
        <v>463.1478754960163</v>
      </c>
      <c r="AI58" s="35">
        <f t="shared" si="14"/>
        <v>860.3671778917568</v>
      </c>
      <c r="AJ58" s="61">
        <f t="shared" si="15"/>
        <v>0.18477373284899196</v>
      </c>
      <c r="AK58" s="61">
        <f t="shared" si="16"/>
        <v>3.9142513012204054E-2</v>
      </c>
    </row>
    <row r="59" spans="1:37" ht="21.75" thickBot="1">
      <c r="A59" s="70"/>
      <c r="B59" t="s">
        <v>3</v>
      </c>
      <c r="C59" s="113">
        <f>C53/SUMPRODUCT(P25:P74,AJ25:AJ74,AK24:AK73)</f>
        <v>4.2745305151868876E-2</v>
      </c>
      <c r="D59" s="2"/>
      <c r="E59" s="2"/>
      <c r="F59" s="114"/>
      <c r="G59" s="115"/>
      <c r="H59" s="116"/>
      <c r="I59" s="115"/>
      <c r="J59" s="2"/>
      <c r="K59" s="2"/>
      <c r="M59" s="1"/>
      <c r="N59" s="24">
        <v>35</v>
      </c>
      <c r="O59" s="35">
        <f t="shared" si="13"/>
        <v>145106.23990551001</v>
      </c>
      <c r="P59" s="35">
        <v>2500</v>
      </c>
      <c r="Q59" s="35">
        <f t="shared" si="17"/>
        <v>100</v>
      </c>
      <c r="R59" s="64">
        <v>5.4067500000000004E-2</v>
      </c>
      <c r="S59" s="35">
        <f t="shared" si="18"/>
        <v>5198.7980769230762</v>
      </c>
      <c r="T59" s="35">
        <f t="shared" si="19"/>
        <v>7115.3720914293481</v>
      </c>
      <c r="U59" s="35">
        <f t="shared" si="8"/>
        <v>149422.81392001628</v>
      </c>
      <c r="V59" s="67">
        <v>0</v>
      </c>
      <c r="W59" s="35">
        <f t="shared" si="9"/>
        <v>149422.81392001628</v>
      </c>
      <c r="X59" s="34"/>
      <c r="Y59" s="24">
        <v>35</v>
      </c>
      <c r="Z59" s="64">
        <v>4.8660750000000003E-2</v>
      </c>
      <c r="AA59" s="67">
        <v>0.05</v>
      </c>
      <c r="AB59" s="35">
        <f t="shared" si="20"/>
        <v>255</v>
      </c>
      <c r="AC59" s="35">
        <f t="shared" si="21"/>
        <v>9577.8305938581507</v>
      </c>
      <c r="AD59" s="35">
        <f t="shared" si="22"/>
        <v>12137.101192458433</v>
      </c>
      <c r="AE59" s="35">
        <f t="shared" si="10"/>
        <v>7107.5893863778929</v>
      </c>
      <c r="AF59" s="43">
        <f t="shared" si="11"/>
        <v>135044.19834117996</v>
      </c>
      <c r="AG59" s="80">
        <f t="shared" si="12"/>
        <v>2640.1815793518617</v>
      </c>
      <c r="AH59" s="79">
        <f t="shared" si="7"/>
        <v>443.31223195025802</v>
      </c>
      <c r="AI59" s="35">
        <f t="shared" si="14"/>
        <v>876.14204589864971</v>
      </c>
      <c r="AJ59" s="61">
        <f t="shared" si="15"/>
        <v>0.16790975113881629</v>
      </c>
      <c r="AK59" s="61">
        <f t="shared" si="16"/>
        <v>3.5584102738367311E-2</v>
      </c>
    </row>
    <row r="60" spans="1:37">
      <c r="A60" s="1"/>
      <c r="B60" s="1"/>
      <c r="C60" s="1"/>
      <c r="D60" s="1"/>
      <c r="E60" s="1"/>
      <c r="F60" s="1"/>
      <c r="G60" s="1"/>
      <c r="H60" s="1"/>
      <c r="I60" s="1"/>
      <c r="J60" s="1"/>
      <c r="K60" s="1"/>
      <c r="M60" s="1"/>
      <c r="N60" s="24">
        <v>36</v>
      </c>
      <c r="O60" s="35">
        <f t="shared" si="13"/>
        <v>149422.81392001628</v>
      </c>
      <c r="P60" s="35">
        <v>2500</v>
      </c>
      <c r="Q60" s="35">
        <f t="shared" si="17"/>
        <v>100</v>
      </c>
      <c r="R60" s="64">
        <v>6.0547499999999997E-2</v>
      </c>
      <c r="S60" s="35">
        <f t="shared" si="18"/>
        <v>5821.8749999999991</v>
      </c>
      <c r="T60" s="35">
        <f t="shared" si="19"/>
        <v>7300.0469460008144</v>
      </c>
      <c r="U60" s="35">
        <f t="shared" si="8"/>
        <v>153300.98586601709</v>
      </c>
      <c r="V60" s="67">
        <v>0</v>
      </c>
      <c r="W60" s="35">
        <f t="shared" si="9"/>
        <v>153300.98586601709</v>
      </c>
      <c r="X60" s="34"/>
      <c r="Y60" s="30">
        <v>36</v>
      </c>
      <c r="Z60" s="64">
        <v>5.449275E-2</v>
      </c>
      <c r="AA60" s="67">
        <v>0.05</v>
      </c>
      <c r="AB60" s="35">
        <f t="shared" si="20"/>
        <v>255</v>
      </c>
      <c r="AC60" s="35">
        <f t="shared" si="21"/>
        <v>9858.407904801059</v>
      </c>
      <c r="AD60" s="35">
        <f t="shared" si="22"/>
        <v>13803.067297550402</v>
      </c>
      <c r="AE60" s="35">
        <f t="shared" si="10"/>
        <v>7247.3596784233341</v>
      </c>
      <c r="AF60" s="43">
        <f t="shared" si="11"/>
        <v>137699.83389004334</v>
      </c>
      <c r="AG60" s="80">
        <f t="shared" si="12"/>
        <v>2775.9609588002495</v>
      </c>
      <c r="AH60" s="79">
        <f t="shared" si="7"/>
        <v>421.25812676050032</v>
      </c>
      <c r="AI60" s="35">
        <f t="shared" si="14"/>
        <v>889.76940268230226</v>
      </c>
      <c r="AJ60" s="61">
        <f t="shared" si="15"/>
        <v>0.15175217988028372</v>
      </c>
      <c r="AK60" s="61">
        <f t="shared" si="16"/>
        <v>3.2349184307606652E-2</v>
      </c>
    </row>
    <row r="61" spans="1:37">
      <c r="A61" s="18" t="s">
        <v>66</v>
      </c>
      <c r="B61" s="17"/>
      <c r="C61" s="17"/>
      <c r="D61" s="17"/>
      <c r="E61" s="17"/>
      <c r="F61" s="44"/>
      <c r="G61" s="17"/>
      <c r="H61" s="17"/>
      <c r="I61" s="17"/>
      <c r="J61" s="17"/>
      <c r="K61" s="17"/>
      <c r="M61" s="1"/>
      <c r="N61" s="24">
        <v>37</v>
      </c>
      <c r="O61" s="35">
        <f t="shared" si="13"/>
        <v>153300.98586601709</v>
      </c>
      <c r="P61" s="35">
        <v>2500</v>
      </c>
      <c r="Q61" s="35">
        <f t="shared" si="17"/>
        <v>100</v>
      </c>
      <c r="R61" s="64">
        <v>6.7782000000000009E-2</v>
      </c>
      <c r="S61" s="35">
        <f t="shared" si="18"/>
        <v>6517.5</v>
      </c>
      <c r="T61" s="35">
        <f t="shared" si="19"/>
        <v>7459.1742933008545</v>
      </c>
      <c r="U61" s="35">
        <f t="shared" si="8"/>
        <v>156642.66015931795</v>
      </c>
      <c r="V61" s="67">
        <v>0</v>
      </c>
      <c r="W61" s="35">
        <f t="shared" si="9"/>
        <v>156642.66015931795</v>
      </c>
      <c r="X61" s="34"/>
      <c r="Y61" s="24">
        <v>37</v>
      </c>
      <c r="Z61" s="64">
        <v>6.1003800000000011E-2</v>
      </c>
      <c r="AA61" s="67">
        <v>0.05</v>
      </c>
      <c r="AB61" s="35">
        <f t="shared" si="20"/>
        <v>255</v>
      </c>
      <c r="AC61" s="35">
        <f t="shared" si="21"/>
        <v>10110.489081291111</v>
      </c>
      <c r="AD61" s="35">
        <f t="shared" si="22"/>
        <v>15656.177511827003</v>
      </c>
      <c r="AE61" s="35">
        <f t="shared" si="10"/>
        <v>7354.3431323745481</v>
      </c>
      <c r="AF61" s="43">
        <f t="shared" si="11"/>
        <v>139732.51951511638</v>
      </c>
      <c r="AG61" s="80">
        <f t="shared" si="12"/>
        <v>2913.4347879902634</v>
      </c>
      <c r="AH61" s="79">
        <f t="shared" si="7"/>
        <v>397.12635397493898</v>
      </c>
      <c r="AI61" s="35">
        <f t="shared" si="14"/>
        <v>901.44823324425056</v>
      </c>
      <c r="AJ61" s="61">
        <f t="shared" si="15"/>
        <v>0.13630864696610678</v>
      </c>
      <c r="AK61" s="61">
        <f t="shared" si="16"/>
        <v>2.94083493705515E-2</v>
      </c>
    </row>
    <row r="62" spans="1:37">
      <c r="M62" s="1"/>
      <c r="N62" s="24">
        <v>38</v>
      </c>
      <c r="O62" s="35">
        <f t="shared" si="13"/>
        <v>156642.66015931795</v>
      </c>
      <c r="P62" s="35">
        <v>2500</v>
      </c>
      <c r="Q62" s="35">
        <f t="shared" si="17"/>
        <v>100</v>
      </c>
      <c r="R62" s="64">
        <v>7.5849E-2</v>
      </c>
      <c r="S62" s="35">
        <f t="shared" si="18"/>
        <v>7293.1730769230762</v>
      </c>
      <c r="T62" s="35">
        <f t="shared" si="19"/>
        <v>7587.4743541197449</v>
      </c>
      <c r="U62" s="35">
        <f t="shared" si="8"/>
        <v>159336.96143651463</v>
      </c>
      <c r="V62" s="67">
        <v>0</v>
      </c>
      <c r="W62" s="35">
        <f t="shared" si="9"/>
        <v>159336.96143651463</v>
      </c>
      <c r="X62" s="34"/>
      <c r="Y62" s="30">
        <v>38</v>
      </c>
      <c r="Z62" s="64">
        <v>6.8264099999999994E-2</v>
      </c>
      <c r="AA62" s="67">
        <v>0.05</v>
      </c>
      <c r="AB62" s="35">
        <f t="shared" si="20"/>
        <v>255</v>
      </c>
      <c r="AC62" s="35">
        <f t="shared" si="21"/>
        <v>10327.697910355668</v>
      </c>
      <c r="AD62" s="35">
        <f t="shared" si="22"/>
        <v>17703.404269198378</v>
      </c>
      <c r="AE62" s="35">
        <f t="shared" si="10"/>
        <v>7422.9983583658131</v>
      </c>
      <c r="AF62" s="43">
        <f t="shared" si="11"/>
        <v>141036.96880895045</v>
      </c>
      <c r="AG62" s="80">
        <f t="shared" si="12"/>
        <v>3051.9866331589583</v>
      </c>
      <c r="AH62" s="79">
        <f t="shared" si="7"/>
        <v>371.10215312838864</v>
      </c>
      <c r="AI62" s="35">
        <f t="shared" si="14"/>
        <v>911.36959849094467</v>
      </c>
      <c r="AJ62" s="61">
        <f t="shared" si="15"/>
        <v>0.12159363645189999</v>
      </c>
      <c r="AK62" s="61">
        <f t="shared" si="16"/>
        <v>2.6734863064137721E-2</v>
      </c>
    </row>
    <row r="63" spans="1:37">
      <c r="A63" s="6"/>
      <c r="B63" s="90" t="s">
        <v>54</v>
      </c>
      <c r="C63" s="90"/>
      <c r="D63" s="90"/>
      <c r="E63" s="90"/>
      <c r="F63" s="90"/>
      <c r="G63" s="90"/>
      <c r="H63" s="90"/>
      <c r="I63" s="90"/>
      <c r="J63" s="90"/>
      <c r="K63" s="90"/>
      <c r="M63" s="1"/>
      <c r="N63" s="24">
        <v>39</v>
      </c>
      <c r="O63" s="35">
        <f t="shared" si="13"/>
        <v>159336.96143651463</v>
      </c>
      <c r="P63" s="35">
        <v>2500</v>
      </c>
      <c r="Q63" s="35">
        <f t="shared" si="17"/>
        <v>100</v>
      </c>
      <c r="R63" s="64">
        <v>8.483700000000001E-2</v>
      </c>
      <c r="S63" s="35">
        <f t="shared" si="18"/>
        <v>8157.4038461538457</v>
      </c>
      <c r="T63" s="35">
        <f t="shared" si="19"/>
        <v>7678.9778795180391</v>
      </c>
      <c r="U63" s="35">
        <f t="shared" si="8"/>
        <v>161258.53546987881</v>
      </c>
      <c r="V63" s="67">
        <v>0</v>
      </c>
      <c r="W63" s="35">
        <f t="shared" si="9"/>
        <v>161258.53546987881</v>
      </c>
      <c r="X63" s="34"/>
      <c r="Y63" s="24">
        <v>39</v>
      </c>
      <c r="Z63" s="64">
        <v>7.6353299999999999E-2</v>
      </c>
      <c r="AA63" s="67">
        <v>0.05</v>
      </c>
      <c r="AB63" s="35">
        <f t="shared" si="20"/>
        <v>255</v>
      </c>
      <c r="AC63" s="35">
        <f t="shared" si="21"/>
        <v>10502.827493373452</v>
      </c>
      <c r="AD63" s="35">
        <f t="shared" si="22"/>
        <v>19947.951336292299</v>
      </c>
      <c r="AE63" s="35">
        <f t="shared" si="10"/>
        <v>7447.2957066793269</v>
      </c>
      <c r="AF63" s="43">
        <f t="shared" si="11"/>
        <v>141498.6184269072</v>
      </c>
      <c r="AG63" s="80">
        <f t="shared" si="12"/>
        <v>3190.923460009275</v>
      </c>
      <c r="AH63" s="79">
        <f t="shared" si="7"/>
        <v>343.4343007625157</v>
      </c>
      <c r="AI63" s="35">
        <f t="shared" si="14"/>
        <v>919.71657031132077</v>
      </c>
      <c r="AJ63" s="61">
        <f t="shared" si="15"/>
        <v>0.10762849847909466</v>
      </c>
      <c r="AK63" s="61">
        <f t="shared" si="16"/>
        <v>2.4304420967397926E-2</v>
      </c>
    </row>
    <row r="64" spans="1:37">
      <c r="B64" s="90"/>
      <c r="C64" s="90"/>
      <c r="D64" s="90"/>
      <c r="E64" s="90"/>
      <c r="F64" s="90"/>
      <c r="G64" s="90"/>
      <c r="H64" s="90"/>
      <c r="I64" s="90"/>
      <c r="J64" s="90"/>
      <c r="K64" s="90"/>
      <c r="M64" s="1"/>
      <c r="N64" s="24">
        <v>40</v>
      </c>
      <c r="O64" s="35">
        <f t="shared" si="13"/>
        <v>161258.53546987881</v>
      </c>
      <c r="P64" s="35">
        <v>2500</v>
      </c>
      <c r="Q64" s="35">
        <f t="shared" si="17"/>
        <v>100</v>
      </c>
      <c r="R64" s="64">
        <v>9.4841999999999996E-2</v>
      </c>
      <c r="S64" s="35">
        <f t="shared" si="18"/>
        <v>9119.4230769230744</v>
      </c>
      <c r="T64" s="35">
        <f t="shared" si="19"/>
        <v>7726.9556196477879</v>
      </c>
      <c r="U64" s="35">
        <f t="shared" si="8"/>
        <v>162266.06801260353</v>
      </c>
      <c r="V64" s="67">
        <v>0</v>
      </c>
      <c r="W64" s="35">
        <f t="shared" si="9"/>
        <v>162266.06801260353</v>
      </c>
      <c r="X64" s="34"/>
      <c r="Y64" s="30">
        <v>40</v>
      </c>
      <c r="Z64" s="64">
        <v>8.5357799999999998E-2</v>
      </c>
      <c r="AA64" s="67">
        <v>0.05</v>
      </c>
      <c r="AB64" s="35">
        <f t="shared" si="20"/>
        <v>255</v>
      </c>
      <c r="AC64" s="35">
        <f t="shared" si="21"/>
        <v>10627.729805542123</v>
      </c>
      <c r="AD64" s="35">
        <f t="shared" si="22"/>
        <v>22386.454580206213</v>
      </c>
      <c r="AE64" s="35">
        <f t="shared" si="10"/>
        <v>7420.7696716198661</v>
      </c>
      <c r="AF64" s="43">
        <f t="shared" si="11"/>
        <v>140994.62376077744</v>
      </c>
      <c r="AG64" s="80">
        <f t="shared" si="12"/>
        <v>3329.4172628174128</v>
      </c>
      <c r="AH64" s="79">
        <f t="shared" si="7"/>
        <v>314.43073920616393</v>
      </c>
      <c r="AI64" s="35">
        <f t="shared" si="14"/>
        <v>926.66389490291783</v>
      </c>
      <c r="AJ64" s="61">
        <f t="shared" si="15"/>
        <v>9.4440172073862252E-2</v>
      </c>
      <c r="AK64" s="61">
        <f t="shared" si="16"/>
        <v>2.2094928152179935E-2</v>
      </c>
    </row>
    <row r="65" spans="1:37">
      <c r="A65" s="10"/>
      <c r="M65" s="1"/>
      <c r="N65" s="24">
        <v>41</v>
      </c>
      <c r="O65" s="35">
        <f t="shared" si="13"/>
        <v>162266.06801260353</v>
      </c>
      <c r="P65" s="35">
        <v>2500</v>
      </c>
      <c r="Q65" s="35">
        <f t="shared" si="17"/>
        <v>100</v>
      </c>
      <c r="R65" s="64">
        <v>0.10596299999999999</v>
      </c>
      <c r="S65" s="35">
        <f t="shared" si="18"/>
        <v>10188.749999999998</v>
      </c>
      <c r="T65" s="35">
        <f t="shared" si="19"/>
        <v>7723.8659006301768</v>
      </c>
      <c r="U65" s="35">
        <f t="shared" si="8"/>
        <v>162201.18391323372</v>
      </c>
      <c r="V65" s="67">
        <v>0</v>
      </c>
      <c r="W65" s="35">
        <f t="shared" si="9"/>
        <v>162201.18391323372</v>
      </c>
      <c r="X65" s="34"/>
      <c r="Y65" s="24">
        <v>41</v>
      </c>
      <c r="Z65" s="64">
        <v>9.5366699999999999E-2</v>
      </c>
      <c r="AA65" s="67">
        <v>0.05</v>
      </c>
      <c r="AB65" s="35">
        <f t="shared" si="20"/>
        <v>255</v>
      </c>
      <c r="AC65" s="35">
        <f t="shared" si="21"/>
        <v>10693.21942081923</v>
      </c>
      <c r="AD65" s="35">
        <f t="shared" si="22"/>
        <v>25005.261645898183</v>
      </c>
      <c r="AE65" s="35">
        <f t="shared" si="10"/>
        <v>7336.6296133667774</v>
      </c>
      <c r="AF65" s="43">
        <f t="shared" si="11"/>
        <v>139395.96265396875</v>
      </c>
      <c r="AG65" s="80">
        <f t="shared" si="12"/>
        <v>3466.4335201890499</v>
      </c>
      <c r="AH65" s="79">
        <f t="shared" si="7"/>
        <v>284.45559850564553</v>
      </c>
      <c r="AI65" s="35">
        <f t="shared" si="14"/>
        <v>932.37755491334292</v>
      </c>
      <c r="AJ65" s="61">
        <f t="shared" si="15"/>
        <v>8.2060018416315134E-2</v>
      </c>
      <c r="AK65" s="61">
        <f t="shared" si="16"/>
        <v>2.0086298320163575E-2</v>
      </c>
    </row>
    <row r="66" spans="1:37" ht="19.5" thickBot="1">
      <c r="A66" s="6"/>
      <c r="C66" s="1"/>
      <c r="D66" s="1" t="s">
        <v>43</v>
      </c>
      <c r="M66" s="1"/>
      <c r="N66" s="24">
        <v>42</v>
      </c>
      <c r="O66" s="35">
        <f t="shared" si="13"/>
        <v>162201.18391323372</v>
      </c>
      <c r="P66" s="35">
        <v>2500</v>
      </c>
      <c r="Q66" s="35">
        <f t="shared" si="17"/>
        <v>100</v>
      </c>
      <c r="R66" s="64">
        <v>0.11830950000000001</v>
      </c>
      <c r="S66" s="35">
        <f t="shared" si="18"/>
        <v>11375.913461538461</v>
      </c>
      <c r="T66" s="35">
        <f t="shared" si="19"/>
        <v>7661.2635225847625</v>
      </c>
      <c r="U66" s="35">
        <f t="shared" si="8"/>
        <v>160886.53397428</v>
      </c>
      <c r="V66" s="67">
        <v>0</v>
      </c>
      <c r="W66" s="35">
        <f t="shared" si="9"/>
        <v>160886.53397428</v>
      </c>
      <c r="X66" s="34"/>
      <c r="Y66" s="30">
        <v>42</v>
      </c>
      <c r="Z66" s="64">
        <v>0.10647855000000002</v>
      </c>
      <c r="AA66" s="67">
        <v>0.05</v>
      </c>
      <c r="AB66" s="35">
        <f t="shared" si="20"/>
        <v>255</v>
      </c>
      <c r="AC66" s="35">
        <f t="shared" si="21"/>
        <v>10689.001954360192</v>
      </c>
      <c r="AD66" s="35">
        <f t="shared" si="22"/>
        <v>27778.819852107077</v>
      </c>
      <c r="AE66" s="35">
        <f t="shared" si="10"/>
        <v>7187.7784561086455</v>
      </c>
      <c r="AF66" s="43">
        <f t="shared" si="11"/>
        <v>136567.79066606428</v>
      </c>
      <c r="AG66" s="80">
        <f t="shared" si="12"/>
        <v>3600.7968933139055</v>
      </c>
      <c r="AH66" s="79">
        <f t="shared" si="7"/>
        <v>253.93724930228331</v>
      </c>
      <c r="AI66" s="35">
        <f t="shared" si="14"/>
        <v>937.01451795342234</v>
      </c>
      <c r="AJ66" s="61">
        <f t="shared" si="15"/>
        <v>7.0522513995111336E-2</v>
      </c>
      <c r="AK66" s="61">
        <f t="shared" si="16"/>
        <v>1.8260271200148705E-2</v>
      </c>
    </row>
    <row r="67" spans="1:37" ht="19.5" thickBot="1">
      <c r="A67"/>
      <c r="B67" s="1" t="s">
        <v>44</v>
      </c>
      <c r="C67" s="1"/>
      <c r="D67" s="117" t="s">
        <v>63</v>
      </c>
      <c r="F67" s="86" t="s">
        <v>65</v>
      </c>
      <c r="G67" s="86"/>
      <c r="H67" s="86"/>
      <c r="I67" s="86"/>
      <c r="J67" s="86"/>
      <c r="M67" s="1"/>
      <c r="N67" s="24">
        <v>43</v>
      </c>
      <c r="O67" s="35">
        <f t="shared" si="13"/>
        <v>160886.53397428</v>
      </c>
      <c r="P67" s="35">
        <v>2500</v>
      </c>
      <c r="Q67" s="35">
        <f t="shared" si="17"/>
        <v>100</v>
      </c>
      <c r="R67" s="64">
        <v>0.13199250000000001</v>
      </c>
      <c r="S67" s="35">
        <f t="shared" si="18"/>
        <v>12691.586538461539</v>
      </c>
      <c r="T67" s="35">
        <f t="shared" si="19"/>
        <v>7529.7473717909234</v>
      </c>
      <c r="U67" s="35">
        <f t="shared" si="8"/>
        <v>158124.6948076094</v>
      </c>
      <c r="V67" s="67">
        <v>0</v>
      </c>
      <c r="W67" s="35">
        <f t="shared" si="9"/>
        <v>158124.6948076094</v>
      </c>
      <c r="X67" s="34"/>
      <c r="Y67" s="24">
        <v>43</v>
      </c>
      <c r="Z67" s="64">
        <v>0.11879325000000002</v>
      </c>
      <c r="AA67" s="67">
        <v>0.05</v>
      </c>
      <c r="AB67" s="35">
        <f t="shared" si="20"/>
        <v>255</v>
      </c>
      <c r="AC67" s="35">
        <f t="shared" si="21"/>
        <v>10603.549708328201</v>
      </c>
      <c r="AD67" s="35">
        <f t="shared" si="22"/>
        <v>30663.471401454048</v>
      </c>
      <c r="AE67" s="35">
        <f t="shared" si="10"/>
        <v>6967.0274203077688</v>
      </c>
      <c r="AF67" s="43">
        <f t="shared" si="11"/>
        <v>132373.52098584757</v>
      </c>
      <c r="AG67" s="80">
        <f t="shared" si="12"/>
        <v>3731.0638749988284</v>
      </c>
      <c r="AH67" s="79">
        <f t="shared" si="7"/>
        <v>223.35159479436777</v>
      </c>
      <c r="AI67" s="35">
        <f t="shared" si="14"/>
        <v>940.72220949335951</v>
      </c>
      <c r="AJ67" s="61">
        <f t="shared" si="15"/>
        <v>5.9862710014429305E-2</v>
      </c>
      <c r="AK67" s="61">
        <f t="shared" si="16"/>
        <v>1.6600246545589729E-2</v>
      </c>
    </row>
    <row r="68" spans="1:37" ht="18.600000000000001" customHeight="1" thickBot="1">
      <c r="A68" s="4"/>
      <c r="B68" s="1" t="s">
        <v>45</v>
      </c>
      <c r="C68" s="1"/>
      <c r="D68" s="118">
        <v>0.05</v>
      </c>
      <c r="F68" s="86"/>
      <c r="G68" s="86"/>
      <c r="H68" s="86"/>
      <c r="I68" s="86"/>
      <c r="J68" s="86"/>
      <c r="M68" s="1"/>
      <c r="N68" s="24">
        <v>44</v>
      </c>
      <c r="O68" s="35">
        <f t="shared" si="13"/>
        <v>158124.6948076094</v>
      </c>
      <c r="P68" s="35">
        <v>2500</v>
      </c>
      <c r="Q68" s="35">
        <f t="shared" si="17"/>
        <v>100</v>
      </c>
      <c r="R68" s="64">
        <v>0.1471335</v>
      </c>
      <c r="S68" s="35">
        <f t="shared" si="18"/>
        <v>14147.451923076922</v>
      </c>
      <c r="T68" s="35">
        <f t="shared" si="19"/>
        <v>7318.8621442266249</v>
      </c>
      <c r="U68" s="35">
        <f t="shared" si="8"/>
        <v>153696.10502875911</v>
      </c>
      <c r="V68" s="67">
        <v>0</v>
      </c>
      <c r="W68" s="35">
        <f t="shared" si="9"/>
        <v>153696.10502875911</v>
      </c>
      <c r="X68" s="34"/>
      <c r="Y68" s="30">
        <v>44</v>
      </c>
      <c r="Z68" s="64">
        <v>0.13242015000000001</v>
      </c>
      <c r="AA68" s="67">
        <v>0.05</v>
      </c>
      <c r="AB68" s="35">
        <f t="shared" si="20"/>
        <v>255</v>
      </c>
      <c r="AC68" s="35">
        <f t="shared" si="21"/>
        <v>10424.030162494611</v>
      </c>
      <c r="AD68" s="35">
        <f t="shared" si="22"/>
        <v>33594.476282324038</v>
      </c>
      <c r="AE68" s="35">
        <f t="shared" si="10"/>
        <v>6667.1821873217541</v>
      </c>
      <c r="AF68" s="43">
        <f t="shared" si="11"/>
        <v>126676.46155911332</v>
      </c>
      <c r="AG68" s="80">
        <f t="shared" si="12"/>
        <v>3855.6049413448927</v>
      </c>
      <c r="AH68" s="79">
        <f t="shared" si="7"/>
        <v>193.2192189910086</v>
      </c>
      <c r="AI68" s="35">
        <f t="shared" si="14"/>
        <v>943.63810646844775</v>
      </c>
      <c r="AJ68" s="61">
        <f t="shared" si="15"/>
        <v>5.0113852931107317E-2</v>
      </c>
      <c r="AK68" s="61">
        <f t="shared" si="16"/>
        <v>1.5091133223263388E-2</v>
      </c>
    </row>
    <row r="69" spans="1:37" ht="19.5" thickBot="1">
      <c r="A69"/>
      <c r="B69" s="1" t="s">
        <v>46</v>
      </c>
      <c r="C69" s="1"/>
      <c r="D69" s="117" t="s">
        <v>64</v>
      </c>
      <c r="M69" s="1"/>
      <c r="N69" s="24">
        <v>45</v>
      </c>
      <c r="O69" s="35">
        <f t="shared" si="13"/>
        <v>153696.10502875911</v>
      </c>
      <c r="P69" s="35">
        <v>2500</v>
      </c>
      <c r="Q69" s="35">
        <f t="shared" si="17"/>
        <v>100</v>
      </c>
      <c r="R69" s="64">
        <v>0.163854</v>
      </c>
      <c r="S69" s="35">
        <f t="shared" si="18"/>
        <v>15755.192307692309</v>
      </c>
      <c r="T69" s="35">
        <f t="shared" si="19"/>
        <v>7017.0456360533399</v>
      </c>
      <c r="U69" s="35">
        <f t="shared" si="8"/>
        <v>147357.95835712014</v>
      </c>
      <c r="V69" s="67">
        <v>0</v>
      </c>
      <c r="W69" s="35">
        <f t="shared" si="9"/>
        <v>147357.95835712014</v>
      </c>
      <c r="X69" s="34"/>
      <c r="Y69" s="24">
        <v>45</v>
      </c>
      <c r="Z69" s="64">
        <v>0.14746860000000001</v>
      </c>
      <c r="AA69" s="67">
        <v>0.05</v>
      </c>
      <c r="AB69" s="35">
        <f t="shared" si="20"/>
        <v>255</v>
      </c>
      <c r="AC69" s="35">
        <f t="shared" si="21"/>
        <v>10136.171826869342</v>
      </c>
      <c r="AD69" s="35">
        <f t="shared" si="22"/>
        <v>36477.531817782809</v>
      </c>
      <c r="AE69" s="35">
        <f t="shared" si="10"/>
        <v>6281.3643269668664</v>
      </c>
      <c r="AF69" s="43">
        <f t="shared" si="11"/>
        <v>119345.92221237045</v>
      </c>
      <c r="AG69" s="80">
        <f t="shared" si="12"/>
        <v>3972.4584985083056</v>
      </c>
      <c r="AH69" s="79">
        <f t="shared" si="7"/>
        <v>164.07795134577691</v>
      </c>
      <c r="AI69" s="35">
        <f t="shared" si="14"/>
        <v>945.8891266709561</v>
      </c>
      <c r="AJ69" s="61">
        <f t="shared" si="15"/>
        <v>4.1303880558447539E-2</v>
      </c>
      <c r="AK69" s="61">
        <f t="shared" si="16"/>
        <v>1.3719212021148534E-2</v>
      </c>
    </row>
    <row r="70" spans="1:37" ht="19.5" thickBot="1">
      <c r="A70" s="6"/>
      <c r="M70" s="1"/>
      <c r="N70" s="24">
        <v>46</v>
      </c>
      <c r="O70" s="35">
        <f t="shared" si="13"/>
        <v>147357.95835712014</v>
      </c>
      <c r="P70" s="35">
        <v>2500</v>
      </c>
      <c r="Q70" s="35">
        <f t="shared" si="17"/>
        <v>100</v>
      </c>
      <c r="R70" s="64">
        <v>0.18228</v>
      </c>
      <c r="S70" s="35">
        <f t="shared" si="18"/>
        <v>17526.923076923074</v>
      </c>
      <c r="T70" s="35">
        <f t="shared" si="19"/>
        <v>6611.5517640098542</v>
      </c>
      <c r="U70" s="35">
        <f t="shared" si="8"/>
        <v>138842.58704420691</v>
      </c>
      <c r="V70" s="67">
        <v>0</v>
      </c>
      <c r="W70" s="35">
        <f t="shared" si="9"/>
        <v>138842.58704420691</v>
      </c>
      <c r="X70" s="34"/>
      <c r="Y70" s="30">
        <v>46</v>
      </c>
      <c r="Z70" s="64">
        <v>0.164052</v>
      </c>
      <c r="AA70" s="67">
        <v>0.05</v>
      </c>
      <c r="AB70" s="35">
        <f t="shared" si="20"/>
        <v>255</v>
      </c>
      <c r="AC70" s="35">
        <f t="shared" si="21"/>
        <v>9724.1922932128091</v>
      </c>
      <c r="AD70" s="35">
        <f t="shared" si="22"/>
        <v>39182.604089776236</v>
      </c>
      <c r="AE70" s="35">
        <f t="shared" si="10"/>
        <v>5803.2591477215346</v>
      </c>
      <c r="AF70" s="43">
        <f t="shared" si="11"/>
        <v>110261.92380670915</v>
      </c>
      <c r="AG70" s="80">
        <f t="shared" si="12"/>
        <v>4079.3636061260331</v>
      </c>
      <c r="AH70" s="79">
        <f t="shared" si="7"/>
        <v>136.46373765406358</v>
      </c>
      <c r="AI70" s="35">
        <f t="shared" si="14"/>
        <v>947.59110389829652</v>
      </c>
      <c r="AJ70" s="61">
        <f t="shared" si="15"/>
        <v>3.3452212362029755E-2</v>
      </c>
      <c r="AK70" s="61">
        <f t="shared" si="16"/>
        <v>1.2472010928316847E-2</v>
      </c>
    </row>
    <row r="71" spans="1:37" ht="21.75" thickBot="1">
      <c r="A71"/>
      <c r="B71" s="1" t="s">
        <v>3</v>
      </c>
      <c r="C71" s="113">
        <v>2.904E-2</v>
      </c>
      <c r="E71" s="5"/>
      <c r="G71" s="5"/>
      <c r="H71" s="5"/>
      <c r="I71" s="5"/>
      <c r="J71" s="5"/>
      <c r="K71" s="5"/>
      <c r="M71" s="1"/>
      <c r="N71" s="24">
        <v>47</v>
      </c>
      <c r="O71" s="35">
        <f t="shared" si="13"/>
        <v>138842.58704420691</v>
      </c>
      <c r="P71" s="35">
        <v>2500</v>
      </c>
      <c r="Q71" s="35">
        <f t="shared" si="17"/>
        <v>100</v>
      </c>
      <c r="R71" s="64">
        <v>0.2025315</v>
      </c>
      <c r="S71" s="35">
        <f t="shared" si="18"/>
        <v>19474.182692307691</v>
      </c>
      <c r="T71" s="35">
        <f t="shared" si="19"/>
        <v>6088.4202175949613</v>
      </c>
      <c r="U71" s="35">
        <f t="shared" si="8"/>
        <v>127856.82456949419</v>
      </c>
      <c r="V71" s="67">
        <v>0</v>
      </c>
      <c r="W71" s="35">
        <f t="shared" si="9"/>
        <v>127856.82456949419</v>
      </c>
      <c r="X71" s="34"/>
      <c r="Y71" s="24">
        <v>47</v>
      </c>
      <c r="Z71" s="64">
        <v>0.18227834999999998</v>
      </c>
      <c r="AA71" s="67">
        <v>0.05</v>
      </c>
      <c r="AB71" s="35">
        <f t="shared" si="20"/>
        <v>255</v>
      </c>
      <c r="AC71" s="35">
        <f t="shared" si="21"/>
        <v>9170.6931578734493</v>
      </c>
      <c r="AD71" s="35">
        <f t="shared" si="22"/>
        <v>41533.36601876685</v>
      </c>
      <c r="AE71" s="35">
        <f t="shared" si="10"/>
        <v>5227.5646775363666</v>
      </c>
      <c r="AF71" s="43">
        <f t="shared" si="11"/>
        <v>99323.72887319095</v>
      </c>
      <c r="AG71" s="80">
        <f t="shared" si="12"/>
        <v>4173.6206325861713</v>
      </c>
      <c r="AH71" s="79">
        <f t="shared" si="7"/>
        <v>110.87680021020252</v>
      </c>
      <c r="AI71" s="35">
        <f t="shared" si="14"/>
        <v>948.84824632004052</v>
      </c>
      <c r="AJ71" s="61">
        <f t="shared" si="15"/>
        <v>2.6566094518633347E-2</v>
      </c>
      <c r="AK71" s="61">
        <f t="shared" si="16"/>
        <v>1.1338191753015316E-2</v>
      </c>
    </row>
    <row r="72" spans="1:37">
      <c r="A72" s="5"/>
      <c r="B72" s="5"/>
      <c r="C72" s="5"/>
      <c r="D72" s="5"/>
      <c r="E72" s="5"/>
      <c r="G72" s="5"/>
      <c r="H72" s="5"/>
      <c r="I72" s="5"/>
      <c r="J72" s="5"/>
      <c r="K72" s="5"/>
      <c r="M72" s="1"/>
      <c r="N72" s="24">
        <v>48</v>
      </c>
      <c r="O72" s="35">
        <f t="shared" si="13"/>
        <v>127856.82456949419</v>
      </c>
      <c r="P72" s="35">
        <v>2500</v>
      </c>
      <c r="Q72" s="35">
        <f t="shared" si="17"/>
        <v>100</v>
      </c>
      <c r="R72" s="64">
        <v>0.22473149999999997</v>
      </c>
      <c r="S72" s="35">
        <f t="shared" si="18"/>
        <v>21608.798076923074</v>
      </c>
      <c r="T72" s="35">
        <f t="shared" si="19"/>
        <v>5432.4013246285558</v>
      </c>
      <c r="U72" s="35">
        <f t="shared" si="8"/>
        <v>114080.42781719967</v>
      </c>
      <c r="V72" s="67">
        <v>0</v>
      </c>
      <c r="W72" s="35">
        <f t="shared" si="9"/>
        <v>114080.42781719967</v>
      </c>
      <c r="X72" s="34"/>
      <c r="Y72" s="30">
        <v>48</v>
      </c>
      <c r="Z72" s="64">
        <v>0.20225834999999998</v>
      </c>
      <c r="AA72" s="67">
        <v>0.05</v>
      </c>
      <c r="AB72" s="35">
        <f t="shared" si="20"/>
        <v>255</v>
      </c>
      <c r="AC72" s="35">
        <f t="shared" si="21"/>
        <v>8456.6185970171227</v>
      </c>
      <c r="AD72" s="35">
        <f t="shared" si="22"/>
        <v>43299.5540976009</v>
      </c>
      <c r="AE72" s="35">
        <f t="shared" si="10"/>
        <v>4550.3354359799387</v>
      </c>
      <c r="AF72" s="43">
        <f t="shared" si="11"/>
        <v>86456.373283618828</v>
      </c>
      <c r="AG72" s="80">
        <f t="shared" si="12"/>
        <v>4252.1803493116458</v>
      </c>
      <c r="AH72" s="79">
        <f t="shared" si="7"/>
        <v>87.754317155292952</v>
      </c>
      <c r="AI72" s="35">
        <f t="shared" si="14"/>
        <v>949.75276929736924</v>
      </c>
      <c r="AJ72" s="61">
        <f t="shared" si="15"/>
        <v>2.0637487111641171E-2</v>
      </c>
      <c r="AK72" s="61">
        <f t="shared" si="16"/>
        <v>1.0307447048195742E-2</v>
      </c>
    </row>
    <row r="73" spans="1:37" ht="25.5" customHeight="1">
      <c r="A73"/>
      <c r="B73" s="17" t="s">
        <v>5</v>
      </c>
      <c r="C73" s="87" t="s">
        <v>32</v>
      </c>
      <c r="D73" s="87"/>
      <c r="E73" s="87"/>
      <c r="F73" s="87"/>
      <c r="G73" s="87"/>
      <c r="H73" s="87"/>
      <c r="I73" s="87"/>
      <c r="J73" s="87"/>
      <c r="K73" s="87"/>
      <c r="M73" s="1"/>
      <c r="N73" s="24">
        <v>49</v>
      </c>
      <c r="O73" s="35">
        <f t="shared" si="13"/>
        <v>114080.42781719967</v>
      </c>
      <c r="P73" s="35">
        <v>2500</v>
      </c>
      <c r="Q73" s="35">
        <f t="shared" si="17"/>
        <v>100</v>
      </c>
      <c r="R73" s="64">
        <v>0.24899099999999999</v>
      </c>
      <c r="S73" s="35">
        <f t="shared" si="18"/>
        <v>23941.442307692305</v>
      </c>
      <c r="T73" s="35">
        <f t="shared" si="19"/>
        <v>4626.9492754753683</v>
      </c>
      <c r="U73" s="35">
        <f t="shared" si="8"/>
        <v>97165.934784982732</v>
      </c>
      <c r="V73" s="67">
        <v>0</v>
      </c>
      <c r="W73" s="35">
        <f t="shared" si="9"/>
        <v>97165.934784982732</v>
      </c>
      <c r="X73" s="34"/>
      <c r="Y73" s="24">
        <v>49</v>
      </c>
      <c r="Z73" s="64">
        <v>0.22409189999999998</v>
      </c>
      <c r="AA73" s="67">
        <v>0.05</v>
      </c>
      <c r="AB73" s="35">
        <f t="shared" si="20"/>
        <v>255</v>
      </c>
      <c r="AC73" s="35">
        <f t="shared" si="21"/>
        <v>7561.1528081179786</v>
      </c>
      <c r="AD73" s="35">
        <f t="shared" si="22"/>
        <v>44183.28894124287</v>
      </c>
      <c r="AE73" s="35">
        <f t="shared" si="10"/>
        <v>3769.5917921869936</v>
      </c>
      <c r="AF73" s="43">
        <f t="shared" si="11"/>
        <v>71622.244051552872</v>
      </c>
      <c r="AG73" s="80">
        <f t="shared" si="12"/>
        <v>4311.4558403348929</v>
      </c>
      <c r="AH73" s="79">
        <f t="shared" si="7"/>
        <v>67.432091430792511</v>
      </c>
      <c r="AI73" s="35">
        <f t="shared" si="14"/>
        <v>950.38463539898009</v>
      </c>
      <c r="AJ73" s="61">
        <f t="shared" si="15"/>
        <v>1.5640213869279645E-2</v>
      </c>
      <c r="AK73" s="61">
        <f t="shared" si="16"/>
        <v>9.3704064074506734E-3</v>
      </c>
    </row>
    <row r="74" spans="1:37" ht="35.25" customHeight="1" thickBot="1">
      <c r="A74"/>
      <c r="B74" s="51"/>
      <c r="C74" s="87"/>
      <c r="D74" s="87"/>
      <c r="E74" s="87"/>
      <c r="F74" s="87"/>
      <c r="G74" s="87"/>
      <c r="H74" s="87"/>
      <c r="I74" s="87"/>
      <c r="J74" s="87"/>
      <c r="K74" s="87"/>
      <c r="M74" s="1"/>
      <c r="N74" s="38">
        <v>50</v>
      </c>
      <c r="O74" s="35">
        <f t="shared" si="13"/>
        <v>97165.934784982732</v>
      </c>
      <c r="P74" s="35">
        <v>2500</v>
      </c>
      <c r="Q74" s="35">
        <f t="shared" si="17"/>
        <v>100</v>
      </c>
      <c r="R74" s="65">
        <v>0.27540900000000001</v>
      </c>
      <c r="S74" s="35">
        <f t="shared" si="18"/>
        <v>26481.634615384613</v>
      </c>
      <c r="T74" s="35">
        <f t="shared" si="19"/>
        <v>3654.2150084799064</v>
      </c>
      <c r="U74" s="35">
        <f t="shared" si="8"/>
        <v>76738.515178078029</v>
      </c>
      <c r="V74" s="68">
        <v>0</v>
      </c>
      <c r="W74" s="35">
        <f t="shared" si="9"/>
        <v>76738.515178078029</v>
      </c>
      <c r="X74" s="39"/>
      <c r="Y74" s="40">
        <v>50</v>
      </c>
      <c r="Z74" s="65">
        <v>0.24786810000000001</v>
      </c>
      <c r="AA74" s="68">
        <v>1</v>
      </c>
      <c r="AB74" s="35">
        <f t="shared" si="20"/>
        <v>255</v>
      </c>
      <c r="AC74" s="35">
        <f t="shared" si="21"/>
        <v>6461.7107610238781</v>
      </c>
      <c r="AD74" s="35">
        <f t="shared" si="22"/>
        <v>43807.839954011361</v>
      </c>
      <c r="AE74" s="35">
        <f t="shared" si="10"/>
        <v>57717.485224066666</v>
      </c>
      <c r="AF74" s="43">
        <f t="shared" si="11"/>
        <v>0</v>
      </c>
      <c r="AG74" s="80">
        <f t="shared" si="12"/>
        <v>4347.3203679285798</v>
      </c>
      <c r="AH74" s="79">
        <f t="shared" si="7"/>
        <v>50.118518443868162</v>
      </c>
      <c r="AI74" s="35">
        <f t="shared" si="14"/>
        <v>950.81157256839674</v>
      </c>
      <c r="AJ74" s="61">
        <f t="shared" si="15"/>
        <v>1.1528600195561097E-2</v>
      </c>
      <c r="AK74" s="61">
        <f t="shared" si="16"/>
        <v>8.5185512795006111E-3</v>
      </c>
    </row>
    <row r="75" spans="1:37" ht="21" customHeight="1">
      <c r="A75"/>
      <c r="B75" t="s">
        <v>3</v>
      </c>
      <c r="C75" s="119" t="s">
        <v>48</v>
      </c>
      <c r="D75" s="120"/>
      <c r="E75" s="120"/>
      <c r="F75" s="120"/>
      <c r="G75" s="120"/>
      <c r="H75" s="120"/>
      <c r="I75" s="120"/>
      <c r="J75" s="120"/>
      <c r="K75" s="121"/>
      <c r="M75" s="1"/>
    </row>
    <row r="76" spans="1:37" ht="64.5" customHeight="1" thickBot="1">
      <c r="A76"/>
      <c r="B76" s="76"/>
      <c r="C76" s="122"/>
      <c r="D76" s="123"/>
      <c r="E76" s="123"/>
      <c r="F76" s="123"/>
      <c r="G76" s="123"/>
      <c r="H76" s="123"/>
      <c r="I76" s="123"/>
      <c r="J76" s="123"/>
      <c r="K76" s="124"/>
    </row>
    <row r="77" spans="1:37" ht="42" customHeight="1">
      <c r="A77"/>
      <c r="C77" s="100"/>
      <c r="D77" s="125"/>
      <c r="E77" s="125"/>
      <c r="F77" s="125"/>
      <c r="G77" s="125"/>
      <c r="H77" s="125"/>
      <c r="I77" s="125"/>
      <c r="J77" s="125"/>
    </row>
    <row r="78" spans="1:37" ht="46.5" customHeight="1">
      <c r="A78" s="6"/>
      <c r="B78" s="50" t="s">
        <v>38</v>
      </c>
    </row>
    <row r="79" spans="1:37" ht="15.75">
      <c r="A79"/>
    </row>
    <row r="80" spans="1:37" ht="15.75">
      <c r="A80"/>
    </row>
    <row r="81" spans="1:18" ht="16.5" thickBot="1">
      <c r="A81"/>
    </row>
    <row r="82" spans="1:18" ht="15.75">
      <c r="A82" s="131" t="s">
        <v>69</v>
      </c>
      <c r="B82" s="132"/>
      <c r="C82" s="132"/>
      <c r="D82" s="132"/>
      <c r="E82" s="132"/>
      <c r="F82" s="133"/>
      <c r="G82" s="132"/>
      <c r="H82" s="132"/>
      <c r="I82" s="132"/>
      <c r="J82" s="132"/>
      <c r="K82" s="132"/>
      <c r="L82" s="134"/>
      <c r="M82" s="127"/>
      <c r="N82" s="127"/>
      <c r="O82" s="129"/>
      <c r="P82" s="129"/>
      <c r="Q82" s="129"/>
      <c r="R82" s="127"/>
    </row>
    <row r="83" spans="1:18" ht="15.75">
      <c r="A83" s="135" t="s">
        <v>70</v>
      </c>
      <c r="B83" s="136"/>
      <c r="C83" s="136"/>
      <c r="D83" s="136"/>
      <c r="E83" s="136"/>
      <c r="F83" s="137"/>
      <c r="G83" s="136"/>
      <c r="H83" s="136"/>
      <c r="I83" s="136"/>
      <c r="J83" s="136"/>
      <c r="K83" s="136"/>
      <c r="L83" s="138"/>
      <c r="M83" s="127"/>
      <c r="N83" s="127"/>
      <c r="O83" s="129"/>
      <c r="P83" s="129"/>
      <c r="Q83" s="129"/>
      <c r="R83" s="127"/>
    </row>
    <row r="84" spans="1:18" ht="15.75">
      <c r="A84" s="135" t="s">
        <v>71</v>
      </c>
      <c r="B84" s="136"/>
      <c r="C84" s="136"/>
      <c r="D84" s="136"/>
      <c r="E84" s="136"/>
      <c r="F84" s="137"/>
      <c r="G84" s="136"/>
      <c r="H84" s="136"/>
      <c r="I84" s="136"/>
      <c r="J84" s="136"/>
      <c r="K84" s="136"/>
      <c r="L84" s="138"/>
      <c r="M84" s="127"/>
      <c r="N84" s="127"/>
      <c r="O84" s="129"/>
      <c r="P84" s="129"/>
      <c r="Q84" s="129"/>
      <c r="R84" s="127"/>
    </row>
    <row r="85" spans="1:18" ht="15.75">
      <c r="A85" s="139" t="s">
        <v>72</v>
      </c>
      <c r="B85" s="136"/>
      <c r="C85" s="136"/>
      <c r="D85" s="136"/>
      <c r="E85" s="136"/>
      <c r="F85" s="137"/>
      <c r="G85" s="136"/>
      <c r="H85" s="136"/>
      <c r="I85" s="136"/>
      <c r="J85" s="136"/>
      <c r="K85" s="136"/>
      <c r="L85" s="138"/>
      <c r="M85" s="127"/>
      <c r="N85" s="127"/>
      <c r="O85" s="129"/>
      <c r="P85" s="129"/>
      <c r="Q85" s="129"/>
      <c r="R85" s="127"/>
    </row>
    <row r="86" spans="1:18" ht="15.75">
      <c r="A86" s="139" t="s">
        <v>74</v>
      </c>
      <c r="B86" s="136"/>
      <c r="C86" s="136"/>
      <c r="D86" s="136"/>
      <c r="E86" s="136"/>
      <c r="F86" s="137"/>
      <c r="G86" s="136"/>
      <c r="H86" s="136"/>
      <c r="I86" s="136"/>
      <c r="J86" s="136"/>
      <c r="K86" s="136"/>
      <c r="L86" s="138"/>
      <c r="M86" s="127"/>
      <c r="N86" s="127"/>
      <c r="O86" s="129"/>
      <c r="P86" s="129"/>
      <c r="Q86" s="129"/>
      <c r="R86" s="127"/>
    </row>
    <row r="87" spans="1:18" ht="15.75">
      <c r="A87" s="139" t="s">
        <v>75</v>
      </c>
      <c r="B87" s="140"/>
      <c r="C87" s="136"/>
      <c r="D87" s="136"/>
      <c r="E87" s="136"/>
      <c r="F87" s="137"/>
      <c r="G87" s="136"/>
      <c r="H87" s="136"/>
      <c r="I87" s="136"/>
      <c r="J87" s="136"/>
      <c r="K87" s="136"/>
      <c r="L87" s="138"/>
      <c r="M87" s="127"/>
      <c r="N87" s="127"/>
      <c r="O87" s="129"/>
      <c r="P87" s="129"/>
      <c r="Q87" s="129"/>
      <c r="R87" s="127"/>
    </row>
    <row r="88" spans="1:18" ht="15.75">
      <c r="A88" s="135" t="s">
        <v>77</v>
      </c>
      <c r="B88" s="136"/>
      <c r="C88" s="136"/>
      <c r="D88" s="136"/>
      <c r="E88" s="136"/>
      <c r="F88" s="137"/>
      <c r="G88" s="136"/>
      <c r="H88" s="136"/>
      <c r="I88" s="136"/>
      <c r="J88" s="136"/>
      <c r="K88" s="136"/>
      <c r="L88" s="138"/>
      <c r="M88" s="127"/>
      <c r="N88" s="127"/>
      <c r="O88" s="129"/>
      <c r="P88" s="129"/>
      <c r="Q88" s="129"/>
      <c r="R88" s="127"/>
    </row>
    <row r="89" spans="1:18" ht="15.75">
      <c r="A89" s="135" t="s">
        <v>76</v>
      </c>
      <c r="B89" s="136"/>
      <c r="C89" s="136"/>
      <c r="D89" s="136"/>
      <c r="E89" s="136"/>
      <c r="F89" s="137"/>
      <c r="G89" s="136"/>
      <c r="H89" s="136"/>
      <c r="I89" s="136"/>
      <c r="J89" s="136"/>
      <c r="K89" s="136"/>
      <c r="L89" s="138"/>
      <c r="M89" s="127"/>
      <c r="N89" s="127"/>
      <c r="O89" s="129"/>
      <c r="P89" s="129"/>
      <c r="Q89" s="129"/>
      <c r="R89" s="127"/>
    </row>
    <row r="90" spans="1:18" ht="15.75">
      <c r="A90" s="135" t="s">
        <v>78</v>
      </c>
      <c r="B90" s="136"/>
      <c r="C90" s="136"/>
      <c r="D90" s="136"/>
      <c r="E90" s="136"/>
      <c r="F90" s="137"/>
      <c r="G90" s="136"/>
      <c r="H90" s="136"/>
      <c r="I90" s="136"/>
      <c r="J90" s="136"/>
      <c r="K90" s="136"/>
      <c r="L90" s="138"/>
      <c r="M90" s="127"/>
      <c r="N90" s="127"/>
      <c r="O90" s="129"/>
      <c r="P90" s="129"/>
      <c r="Q90" s="129"/>
      <c r="R90" s="127"/>
    </row>
    <row r="91" spans="1:18" ht="15.75">
      <c r="A91" s="135" t="s">
        <v>79</v>
      </c>
      <c r="B91" s="136"/>
      <c r="C91" s="136"/>
      <c r="D91" s="136"/>
      <c r="E91" s="136"/>
      <c r="F91" s="137"/>
      <c r="G91" s="136"/>
      <c r="H91" s="136"/>
      <c r="I91" s="136"/>
      <c r="J91" s="136"/>
      <c r="K91" s="136"/>
      <c r="L91" s="138"/>
      <c r="M91" s="127"/>
      <c r="N91" s="127"/>
      <c r="O91" s="129"/>
      <c r="P91" s="129"/>
      <c r="Q91" s="129"/>
      <c r="R91" s="127"/>
    </row>
    <row r="92" spans="1:18" ht="15.75">
      <c r="A92" s="135" t="s">
        <v>80</v>
      </c>
      <c r="B92" s="136"/>
      <c r="C92" s="136"/>
      <c r="D92" s="136"/>
      <c r="E92" s="136"/>
      <c r="F92" s="137"/>
      <c r="G92" s="136"/>
      <c r="H92" s="136"/>
      <c r="I92" s="136"/>
      <c r="J92" s="136"/>
      <c r="K92" s="136"/>
      <c r="L92" s="138"/>
      <c r="M92" s="127"/>
      <c r="N92" s="127"/>
      <c r="O92" s="129"/>
      <c r="P92" s="129"/>
      <c r="Q92" s="129"/>
      <c r="R92" s="127"/>
    </row>
    <row r="93" spans="1:18" ht="15.75">
      <c r="A93" s="135" t="s">
        <v>81</v>
      </c>
      <c r="B93" s="136"/>
      <c r="C93" s="136"/>
      <c r="D93" s="136"/>
      <c r="E93" s="136"/>
      <c r="F93" s="137"/>
      <c r="G93" s="136"/>
      <c r="H93" s="136"/>
      <c r="I93" s="136"/>
      <c r="J93" s="136"/>
      <c r="K93" s="136"/>
      <c r="L93" s="138"/>
      <c r="M93" s="127"/>
      <c r="N93" s="127"/>
      <c r="O93" s="129"/>
      <c r="P93" s="129"/>
      <c r="Q93" s="129"/>
      <c r="R93" s="127"/>
    </row>
    <row r="94" spans="1:18" ht="15.75">
      <c r="A94" s="135" t="s">
        <v>88</v>
      </c>
      <c r="B94" s="136"/>
      <c r="C94" s="136"/>
      <c r="D94" s="136"/>
      <c r="E94" s="136"/>
      <c r="F94" s="137"/>
      <c r="G94" s="136"/>
      <c r="H94" s="136"/>
      <c r="I94" s="136"/>
      <c r="J94" s="136"/>
      <c r="K94" s="136"/>
      <c r="L94" s="138"/>
      <c r="M94" s="127"/>
      <c r="N94" s="127"/>
      <c r="O94" s="129"/>
      <c r="P94" s="129"/>
      <c r="Q94" s="129"/>
      <c r="R94" s="127"/>
    </row>
    <row r="95" spans="1:18" ht="15.75">
      <c r="A95" s="135" t="s">
        <v>89</v>
      </c>
      <c r="B95" s="136"/>
      <c r="C95" s="136"/>
      <c r="D95" s="136"/>
      <c r="E95" s="136"/>
      <c r="F95" s="137"/>
      <c r="G95" s="136"/>
      <c r="H95" s="136"/>
      <c r="I95" s="136"/>
      <c r="J95" s="136"/>
      <c r="K95" s="136"/>
      <c r="L95" s="138"/>
      <c r="M95" s="127"/>
      <c r="N95" s="127"/>
      <c r="O95" s="129"/>
      <c r="P95" s="129"/>
      <c r="Q95" s="129"/>
      <c r="R95" s="127"/>
    </row>
    <row r="96" spans="1:18" ht="15.75">
      <c r="A96" s="139" t="s">
        <v>73</v>
      </c>
      <c r="B96" s="136"/>
      <c r="C96" s="136"/>
      <c r="D96" s="136"/>
      <c r="E96" s="136"/>
      <c r="F96" s="137"/>
      <c r="G96" s="136"/>
      <c r="H96" s="136"/>
      <c r="I96" s="136"/>
      <c r="J96" s="136"/>
      <c r="K96" s="136"/>
      <c r="L96" s="138"/>
      <c r="M96" s="127"/>
      <c r="N96" s="127"/>
      <c r="O96" s="129"/>
      <c r="P96" s="129"/>
      <c r="Q96" s="129"/>
      <c r="R96" s="127"/>
    </row>
    <row r="97" spans="1:62" s="8" customFormat="1" ht="20.25" customHeight="1">
      <c r="A97" s="139" t="s">
        <v>90</v>
      </c>
      <c r="B97" s="136"/>
      <c r="C97" s="136"/>
      <c r="D97" s="136"/>
      <c r="E97" s="136"/>
      <c r="F97" s="137"/>
      <c r="G97" s="136"/>
      <c r="H97" s="136"/>
      <c r="I97" s="136"/>
      <c r="J97" s="136"/>
      <c r="K97" s="136"/>
      <c r="L97" s="138"/>
      <c r="M97" s="127"/>
      <c r="N97" s="126"/>
      <c r="O97" s="130"/>
      <c r="P97" s="130"/>
      <c r="Q97" s="130"/>
      <c r="R97" s="126"/>
      <c r="S97" s="37"/>
      <c r="T97" s="37"/>
      <c r="U97" s="37"/>
      <c r="W97" s="37"/>
      <c r="AA97"/>
      <c r="AB97" s="37"/>
      <c r="AC97" s="37"/>
      <c r="AD97" s="37"/>
      <c r="AE97" s="37"/>
      <c r="AF97" s="37"/>
      <c r="AG97" s="37"/>
      <c r="AH97" s="37"/>
      <c r="AI97" s="37"/>
      <c r="AJ97" s="61"/>
      <c r="AK97" s="61"/>
    </row>
    <row r="98" spans="1:62" s="8" customFormat="1" ht="20.25" customHeight="1">
      <c r="A98" s="139" t="s">
        <v>91</v>
      </c>
      <c r="B98" s="136"/>
      <c r="C98" s="136"/>
      <c r="D98" s="136"/>
      <c r="E98" s="136"/>
      <c r="F98" s="137"/>
      <c r="G98" s="136"/>
      <c r="H98" s="136"/>
      <c r="I98" s="136"/>
      <c r="J98" s="136"/>
      <c r="K98" s="136"/>
      <c r="L98" s="138"/>
      <c r="M98" s="127"/>
      <c r="N98" s="126"/>
      <c r="O98" s="130"/>
      <c r="P98" s="130"/>
      <c r="Q98" s="130"/>
      <c r="R98" s="126"/>
      <c r="S98" s="37"/>
      <c r="T98" s="37"/>
      <c r="U98" s="37"/>
      <c r="W98" s="37"/>
      <c r="AA98"/>
      <c r="AB98" s="37"/>
      <c r="AC98" s="37"/>
      <c r="AD98" s="37"/>
      <c r="AE98" s="37"/>
      <c r="AF98" s="37"/>
      <c r="AG98" s="37"/>
      <c r="AH98" s="37"/>
      <c r="AI98" s="37"/>
      <c r="AJ98" s="61"/>
      <c r="AK98" s="61"/>
    </row>
    <row r="99" spans="1:62" s="8" customFormat="1" ht="20.25" customHeight="1">
      <c r="A99" s="139" t="s">
        <v>92</v>
      </c>
      <c r="B99" s="136"/>
      <c r="C99" s="136"/>
      <c r="D99" s="136"/>
      <c r="E99" s="136"/>
      <c r="F99" s="137"/>
      <c r="G99" s="136"/>
      <c r="H99" s="136"/>
      <c r="I99" s="136"/>
      <c r="J99" s="136"/>
      <c r="K99" s="136"/>
      <c r="L99" s="138"/>
      <c r="M99" s="126"/>
      <c r="N99" s="127"/>
      <c r="O99" s="129"/>
      <c r="P99" s="129"/>
      <c r="Q99" s="129"/>
      <c r="R99" s="127"/>
      <c r="S99" s="36"/>
      <c r="T99" s="36"/>
      <c r="U99" s="36"/>
      <c r="V99"/>
      <c r="W99" s="36"/>
      <c r="X99"/>
      <c r="Y99"/>
      <c r="Z99"/>
      <c r="AB99" s="36"/>
      <c r="AC99" s="36"/>
      <c r="AD99" s="36"/>
      <c r="AE99" s="36"/>
      <c r="AF99" s="36"/>
      <c r="AG99" s="36"/>
      <c r="AH99" s="36"/>
      <c r="AI99" s="36"/>
      <c r="AJ99" s="61"/>
      <c r="AK99" s="61"/>
    </row>
    <row r="100" spans="1:62" s="8" customFormat="1" ht="20.25" customHeight="1">
      <c r="A100" s="139" t="s">
        <v>93</v>
      </c>
      <c r="B100" s="136"/>
      <c r="C100" s="136"/>
      <c r="D100" s="136"/>
      <c r="E100" s="136"/>
      <c r="F100" s="137"/>
      <c r="G100" s="136"/>
      <c r="H100" s="136"/>
      <c r="I100" s="136"/>
      <c r="J100" s="136"/>
      <c r="K100" s="136"/>
      <c r="L100" s="138"/>
      <c r="M100" s="126"/>
      <c r="N100" s="127"/>
      <c r="O100" s="129"/>
      <c r="P100" s="129"/>
      <c r="Q100" s="129"/>
      <c r="R100" s="127"/>
      <c r="S100" s="36"/>
      <c r="T100" s="36"/>
      <c r="U100" s="36"/>
      <c r="V100"/>
      <c r="W100" s="36"/>
      <c r="X100"/>
      <c r="Y100"/>
      <c r="Z100"/>
      <c r="AB100" s="36"/>
      <c r="AC100" s="36"/>
      <c r="AD100" s="36"/>
      <c r="AE100" s="36"/>
      <c r="AF100" s="36"/>
      <c r="AG100" s="36"/>
      <c r="AH100" s="36"/>
      <c r="AI100" s="36"/>
      <c r="AJ100" s="61"/>
      <c r="AK100" s="61"/>
    </row>
    <row r="101" spans="1:62" ht="15.75">
      <c r="A101" s="139" t="s">
        <v>86</v>
      </c>
      <c r="B101" s="136"/>
      <c r="C101" s="136"/>
      <c r="D101" s="136"/>
      <c r="E101" s="136"/>
      <c r="F101" s="137"/>
      <c r="G101" s="136"/>
      <c r="H101" s="136"/>
      <c r="I101" s="136"/>
      <c r="J101" s="136"/>
      <c r="K101" s="136"/>
      <c r="L101" s="138"/>
      <c r="M101" s="127"/>
      <c r="N101" s="126"/>
      <c r="O101" s="130"/>
      <c r="P101" s="130"/>
      <c r="Q101" s="130"/>
      <c r="R101" s="126"/>
      <c r="S101" s="37"/>
      <c r="T101" s="37"/>
      <c r="U101" s="37"/>
      <c r="V101" s="8"/>
      <c r="W101" s="37"/>
      <c r="X101" s="8"/>
      <c r="Y101" s="8"/>
      <c r="Z101" s="8"/>
      <c r="AB101" s="37"/>
      <c r="AC101" s="37"/>
      <c r="AD101" s="37"/>
      <c r="AE101" s="37"/>
      <c r="AF101" s="37"/>
      <c r="AG101" s="37"/>
      <c r="AH101" s="37"/>
      <c r="AI101" s="37"/>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row>
    <row r="102" spans="1:62" ht="15.75">
      <c r="A102" s="139" t="s">
        <v>87</v>
      </c>
      <c r="B102" s="136"/>
      <c r="C102" s="136"/>
      <c r="D102" s="136"/>
      <c r="E102" s="136"/>
      <c r="F102" s="137"/>
      <c r="G102" s="136"/>
      <c r="H102" s="136"/>
      <c r="I102" s="136"/>
      <c r="J102" s="136"/>
      <c r="K102" s="136"/>
      <c r="L102" s="138"/>
      <c r="M102" s="127"/>
      <c r="N102" s="126"/>
      <c r="O102" s="130"/>
      <c r="P102" s="130"/>
      <c r="Q102" s="130"/>
      <c r="R102" s="126"/>
      <c r="S102" s="37"/>
      <c r="T102" s="37"/>
      <c r="U102" s="37"/>
      <c r="V102" s="8"/>
      <c r="W102" s="37"/>
      <c r="X102" s="8"/>
      <c r="Y102" s="8"/>
      <c r="Z102" s="8"/>
      <c r="AB102" s="37"/>
      <c r="AC102" s="37"/>
      <c r="AD102" s="37"/>
      <c r="AE102" s="37"/>
      <c r="AF102" s="37"/>
      <c r="AG102" s="37"/>
      <c r="AH102" s="37"/>
      <c r="AI102" s="37"/>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row>
    <row r="103" spans="1:62" ht="15.75">
      <c r="A103" s="141" t="s">
        <v>82</v>
      </c>
      <c r="B103" s="136"/>
      <c r="C103" s="136"/>
      <c r="D103" s="136"/>
      <c r="E103" s="136"/>
      <c r="F103" s="137"/>
      <c r="G103" s="136"/>
      <c r="H103" s="136"/>
      <c r="I103" s="136"/>
      <c r="J103" s="136"/>
      <c r="K103" s="136"/>
      <c r="L103" s="138"/>
      <c r="M103" s="127"/>
      <c r="N103" s="127"/>
      <c r="O103" s="129"/>
      <c r="P103" s="129"/>
      <c r="Q103" s="129"/>
      <c r="R103" s="127"/>
    </row>
    <row r="104" spans="1:62" ht="15.75">
      <c r="A104" s="141" t="s">
        <v>83</v>
      </c>
      <c r="B104" s="136"/>
      <c r="C104" s="136"/>
      <c r="D104" s="136"/>
      <c r="E104" s="136"/>
      <c r="F104" s="137"/>
      <c r="G104" s="136"/>
      <c r="H104" s="136"/>
      <c r="I104" s="136"/>
      <c r="J104" s="136"/>
      <c r="K104" s="136"/>
      <c r="L104" s="138"/>
      <c r="M104" s="127"/>
      <c r="N104" s="127"/>
      <c r="O104" s="129"/>
      <c r="P104" s="129"/>
      <c r="Q104" s="129"/>
      <c r="R104" s="127"/>
    </row>
    <row r="105" spans="1:62" s="8" customFormat="1" ht="15.75">
      <c r="A105" s="141" t="s">
        <v>84</v>
      </c>
      <c r="B105" s="136"/>
      <c r="C105" s="136"/>
      <c r="D105" s="136"/>
      <c r="E105" s="136"/>
      <c r="F105" s="137"/>
      <c r="G105" s="136"/>
      <c r="H105" s="136"/>
      <c r="I105" s="136"/>
      <c r="J105" s="136"/>
      <c r="K105" s="136"/>
      <c r="L105" s="138"/>
      <c r="M105" s="127"/>
      <c r="N105" s="127"/>
      <c r="O105" s="129"/>
      <c r="P105" s="129"/>
      <c r="Q105" s="129"/>
      <c r="R105" s="127"/>
      <c r="S105" s="36"/>
      <c r="T105" s="36"/>
      <c r="U105" s="36"/>
      <c r="V105"/>
      <c r="W105" s="36"/>
      <c r="X105"/>
      <c r="Y105"/>
      <c r="Z105"/>
      <c r="AB105" s="36"/>
      <c r="AC105" s="36"/>
      <c r="AD105" s="36"/>
      <c r="AE105" s="36"/>
      <c r="AF105" s="36"/>
      <c r="AG105" s="36"/>
      <c r="AH105" s="36"/>
      <c r="AI105" s="36"/>
      <c r="AJ105" s="61"/>
      <c r="AK105" s="61"/>
      <c r="AL105"/>
      <c r="AM105"/>
      <c r="AN105"/>
      <c r="AO105"/>
      <c r="AP105"/>
      <c r="AQ105"/>
      <c r="AR105"/>
      <c r="AS105"/>
      <c r="AT105"/>
      <c r="AU105"/>
      <c r="AV105"/>
      <c r="AW105"/>
      <c r="AX105"/>
      <c r="AY105"/>
      <c r="AZ105"/>
      <c r="BA105"/>
      <c r="BB105"/>
      <c r="BC105"/>
      <c r="BD105"/>
      <c r="BE105"/>
      <c r="BF105"/>
      <c r="BG105"/>
      <c r="BH105"/>
      <c r="BI105"/>
      <c r="BJ105"/>
    </row>
    <row r="106" spans="1:62" ht="16.5" thickBot="1">
      <c r="A106" s="142" t="s">
        <v>85</v>
      </c>
      <c r="B106" s="143"/>
      <c r="C106" s="143"/>
      <c r="D106" s="143"/>
      <c r="E106" s="143"/>
      <c r="F106" s="144"/>
      <c r="G106" s="143"/>
      <c r="H106" s="143"/>
      <c r="I106" s="143"/>
      <c r="J106" s="143"/>
      <c r="K106" s="143"/>
      <c r="L106" s="145"/>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row>
    <row r="107" spans="1:62" ht="15.75">
      <c r="A107" s="128"/>
      <c r="N107" s="8"/>
      <c r="O107" s="37"/>
      <c r="P107" s="37"/>
      <c r="Q107" s="37"/>
      <c r="R107" s="8"/>
      <c r="S107" s="37"/>
      <c r="T107" s="37"/>
      <c r="U107" s="37"/>
      <c r="V107" s="8"/>
      <c r="W107" s="37"/>
      <c r="X107" s="8"/>
      <c r="Y107" s="8"/>
      <c r="Z107" s="8"/>
      <c r="AB107" s="37"/>
      <c r="AC107" s="37"/>
      <c r="AD107" s="37"/>
      <c r="AE107" s="37"/>
      <c r="AF107" s="37"/>
      <c r="AG107" s="37"/>
      <c r="AH107" s="37"/>
      <c r="AI107" s="37"/>
    </row>
    <row r="108" spans="1:62" ht="15.75">
      <c r="A108"/>
    </row>
    <row r="109" spans="1:62" s="8" customFormat="1" ht="22.5" customHeight="1">
      <c r="A109"/>
      <c r="B109"/>
      <c r="C109"/>
      <c r="D109"/>
      <c r="E109"/>
      <c r="F109" s="5"/>
      <c r="G109"/>
      <c r="H109"/>
      <c r="I109"/>
      <c r="J109"/>
      <c r="K109"/>
      <c r="L109"/>
      <c r="M109"/>
      <c r="N109"/>
      <c r="O109" s="36"/>
      <c r="P109" s="36"/>
      <c r="Q109" s="36"/>
      <c r="R109"/>
      <c r="S109" s="36"/>
      <c r="T109" s="36"/>
      <c r="U109" s="36"/>
      <c r="V109"/>
      <c r="W109" s="36"/>
      <c r="X109"/>
      <c r="Y109"/>
      <c r="Z109"/>
      <c r="AA109"/>
      <c r="AB109" s="36"/>
      <c r="AC109" s="36"/>
      <c r="AD109" s="36"/>
      <c r="AE109" s="36"/>
      <c r="AF109" s="36"/>
      <c r="AG109" s="36"/>
      <c r="AH109" s="36"/>
      <c r="AI109" s="36"/>
      <c r="AJ109" s="61"/>
      <c r="AK109" s="61"/>
      <c r="AL109"/>
      <c r="AM109"/>
      <c r="AN109"/>
      <c r="AO109"/>
      <c r="AP109"/>
      <c r="AQ109"/>
      <c r="AR109"/>
      <c r="AS109"/>
      <c r="AT109"/>
      <c r="AU109"/>
      <c r="AV109"/>
      <c r="AW109"/>
      <c r="AX109"/>
      <c r="AY109"/>
      <c r="AZ109"/>
      <c r="BA109"/>
      <c r="BB109"/>
      <c r="BC109"/>
      <c r="BD109"/>
      <c r="BE109"/>
      <c r="BF109"/>
      <c r="BG109"/>
      <c r="BH109"/>
      <c r="BI109"/>
      <c r="BJ109"/>
    </row>
    <row r="110" spans="1:62" ht="15.75">
      <c r="A110"/>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row>
    <row r="111" spans="1:62" ht="15.75">
      <c r="A111"/>
    </row>
    <row r="112" spans="1:62" ht="28.5" customHeight="1">
      <c r="A112"/>
    </row>
    <row r="113" spans="1:1" ht="15.75">
      <c r="A113"/>
    </row>
    <row r="114" spans="1:1" ht="15.75">
      <c r="A114"/>
    </row>
    <row r="115" spans="1:1" ht="15.75">
      <c r="A115"/>
    </row>
    <row r="116" spans="1:1" ht="15.75">
      <c r="A116"/>
    </row>
    <row r="117" spans="1:1" ht="15.75">
      <c r="A117"/>
    </row>
    <row r="118" spans="1:1" ht="15.75">
      <c r="A118"/>
    </row>
    <row r="119" spans="1:1" ht="15.75">
      <c r="A119"/>
    </row>
    <row r="120" spans="1:1" ht="15.75">
      <c r="A120"/>
    </row>
    <row r="121" spans="1:1" ht="15.75">
      <c r="A121"/>
    </row>
    <row r="122" spans="1:1" ht="15.75">
      <c r="A122"/>
    </row>
    <row r="123" spans="1:1" ht="15.75">
      <c r="A123"/>
    </row>
    <row r="124" spans="1:1" ht="15.75">
      <c r="A124"/>
    </row>
    <row r="125" spans="1:1" ht="15.75">
      <c r="A125"/>
    </row>
    <row r="126" spans="1:1" ht="15.75">
      <c r="A126"/>
    </row>
    <row r="127" spans="1:1" ht="15.75">
      <c r="A127"/>
    </row>
    <row r="128" spans="1:1" ht="15.75">
      <c r="A128"/>
    </row>
    <row r="129" spans="1:1" ht="15.75">
      <c r="A129"/>
    </row>
    <row r="130" spans="1:1" ht="15.75">
      <c r="A130"/>
    </row>
    <row r="131" spans="1:1" ht="15.75">
      <c r="A131"/>
    </row>
  </sheetData>
  <mergeCells count="11">
    <mergeCell ref="D77:J77"/>
    <mergeCell ref="B46:J46"/>
    <mergeCell ref="C73:K74"/>
    <mergeCell ref="B9:C9"/>
    <mergeCell ref="B63:K64"/>
    <mergeCell ref="B50:K51"/>
    <mergeCell ref="AB21:AJ21"/>
    <mergeCell ref="C75:K76"/>
    <mergeCell ref="B24:H24"/>
    <mergeCell ref="O21:W21"/>
    <mergeCell ref="F67:J6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8230b39ff0a402a078cc052756d4fefa">
  <xsd:schema xmlns:xsd="http://www.w3.org/2001/XMLSchema" xmlns:xs="http://www.w3.org/2001/XMLSchema" xmlns:p="http://schemas.microsoft.com/office/2006/metadata/properties" xmlns:ns2="16a415e0-cbd2-494f-bd0b-9ec9526163e9" targetNamespace="http://schemas.microsoft.com/office/2006/metadata/properties" ma:root="true" ma:fieldsID="45ea19f2c2e4cdbd674c4f1863b66b60"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1D9323-3E1E-41FA-82E6-2BDFF3A1CCAF}"/>
</file>

<file path=customXml/itemProps2.xml><?xml version="1.0" encoding="utf-8"?>
<ds:datastoreItem xmlns:ds="http://schemas.openxmlformats.org/officeDocument/2006/customXml" ds:itemID="{763C7148-098E-404D-991D-9E23D0A1C4C2}"/>
</file>

<file path=customXml/itemProps3.xml><?xml version="1.0" encoding="utf-8"?>
<ds:datastoreItem xmlns:ds="http://schemas.openxmlformats.org/officeDocument/2006/customXml" ds:itemID="{A93E394C-62E5-4699-93A8-060BAA3774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Question 1</vt:lpstr>
      <vt:lpstr>ADB</vt:lpstr>
      <vt:lpstr>asset_rate</vt:lpstr>
      <vt:lpstr>flat_fee</vt:lpstr>
      <vt:lpstr>flat_maint_exp</vt:lpstr>
      <vt:lpstr>hurdle</vt:lpstr>
      <vt:lpstr>ic</vt:lpstr>
      <vt:lpstr>iq</vt:lpstr>
      <vt:lpstr>maint_exp</vt:lpstr>
      <vt:lpstr>pct_prem_chg</vt:lpstr>
      <vt:lpstr>precont_exp</vt:lpstr>
      <vt:lpstr>prem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Jeffrey Beckley</cp:lastModifiedBy>
  <dcterms:created xsi:type="dcterms:W3CDTF">2023-05-22T13:28:44Z</dcterms:created>
  <dcterms:modified xsi:type="dcterms:W3CDTF">2025-07-02T15:26:37Z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