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ocietyofactuaries-my.sharepoint.com/personal/mdulceak_soa_org/Documents/U_Drive/Solutions/May 2025 Solutions/GHRM/"/>
    </mc:Choice>
  </mc:AlternateContent>
  <xr:revisionPtr revIDLastSave="3" documentId="8_{4B741D72-41B7-4FEE-8AC8-A09E1F899D79}" xr6:coauthVersionLast="47" xr6:coauthVersionMax="47" xr10:uidLastSave="{5C85A363-37B7-4D3A-8AB9-8C654C2E1EBD}"/>
  <bookViews>
    <workbookView xWindow="-96" yWindow="0" windowWidth="11712" windowHeight="12336" firstSheet="3" activeTab="5" xr2:uid="{68398625-4D7B-4BA6-BD75-7BC18A3B468D}"/>
  </bookViews>
  <sheets>
    <sheet name="Rates" sheetId="1" r:id="rId1"/>
    <sheet name="Census" sheetId="2" r:id="rId2"/>
    <sheet name="Q2 Part a" sheetId="3" r:id="rId3"/>
    <sheet name="Part b" sheetId="9" r:id="rId4"/>
    <sheet name="Calc4" sheetId="10" r:id="rId5"/>
    <sheet name="Q6 Solution" sheetId="11" r:id="rId6"/>
  </sheets>
  <definedNames>
    <definedName name="lamb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1" l="1"/>
  <c r="M10" i="11"/>
  <c r="N10" i="11"/>
  <c r="O10" i="11"/>
  <c r="L11" i="11"/>
  <c r="M11" i="11"/>
  <c r="N11" i="11"/>
  <c r="O11" i="11"/>
  <c r="L12" i="11"/>
  <c r="M12" i="11"/>
  <c r="C45" i="11" s="1"/>
  <c r="D45" i="11" s="1"/>
  <c r="N12" i="11"/>
  <c r="O12" i="11"/>
  <c r="L13" i="11"/>
  <c r="B39" i="11" s="1"/>
  <c r="M13" i="11"/>
  <c r="B45" i="11" s="1"/>
  <c r="N13" i="11"/>
  <c r="O13" i="11"/>
  <c r="L14" i="11"/>
  <c r="M14" i="11"/>
  <c r="N14" i="11"/>
  <c r="O14" i="11"/>
  <c r="L15" i="11"/>
  <c r="M15" i="11"/>
  <c r="N15" i="11"/>
  <c r="O15" i="11"/>
  <c r="L16" i="11"/>
  <c r="M16" i="11"/>
  <c r="N16" i="11"/>
  <c r="O16" i="11"/>
  <c r="L17" i="11"/>
  <c r="M17" i="11"/>
  <c r="N17" i="11"/>
  <c r="O17" i="11"/>
  <c r="L18" i="11"/>
  <c r="M18" i="11"/>
  <c r="N18" i="11"/>
  <c r="O18" i="11"/>
  <c r="L19" i="11"/>
  <c r="M19" i="11"/>
  <c r="N19" i="11"/>
  <c r="O19" i="11"/>
  <c r="L20" i="11"/>
  <c r="M20" i="11"/>
  <c r="N20" i="11"/>
  <c r="O20" i="11"/>
  <c r="L21" i="11"/>
  <c r="M21" i="11"/>
  <c r="N21" i="11"/>
  <c r="O21" i="11"/>
  <c r="L22" i="11"/>
  <c r="M22" i="11"/>
  <c r="N22" i="11"/>
  <c r="O22" i="11"/>
  <c r="L23" i="11"/>
  <c r="M23" i="11"/>
  <c r="N23" i="11"/>
  <c r="O23" i="11"/>
  <c r="L24" i="11"/>
  <c r="M24" i="11"/>
  <c r="N24" i="11"/>
  <c r="O24" i="11"/>
  <c r="L25" i="11"/>
  <c r="M25" i="11"/>
  <c r="N25" i="11"/>
  <c r="O25" i="11"/>
  <c r="C39" i="11"/>
  <c r="B40" i="11"/>
  <c r="C40" i="11"/>
  <c r="B41" i="11"/>
  <c r="C41" i="11"/>
  <c r="D41" i="11" s="1"/>
  <c r="B46" i="11"/>
  <c r="B47" i="11"/>
  <c r="D39" i="11" l="1"/>
  <c r="C47" i="11"/>
  <c r="C46" i="11"/>
  <c r="D46" i="11" s="1"/>
  <c r="D40" i="11"/>
  <c r="A54" i="11"/>
  <c r="A63" i="11"/>
  <c r="A51" i="11"/>
  <c r="A57" i="11"/>
  <c r="C14" i="10"/>
  <c r="D14" i="10"/>
  <c r="C15" i="10"/>
  <c r="D15" i="10" s="1"/>
  <c r="D18" i="10" s="1"/>
  <c r="C16" i="10"/>
  <c r="D16" i="10"/>
  <c r="C17" i="10"/>
  <c r="D17" i="10"/>
  <c r="B18" i="10"/>
  <c r="C18" i="10"/>
  <c r="B40" i="10"/>
  <c r="P54" i="10" s="1"/>
  <c r="C45" i="10"/>
  <c r="K45" i="10" s="1"/>
  <c r="D45" i="10"/>
  <c r="L45" i="10" s="1"/>
  <c r="J45" i="10"/>
  <c r="P45" i="10"/>
  <c r="Z45" i="10"/>
  <c r="C46" i="10"/>
  <c r="D46" i="10"/>
  <c r="J46" i="10"/>
  <c r="P46" i="10" s="1"/>
  <c r="Z46" i="10" s="1"/>
  <c r="K46" i="10"/>
  <c r="Q46" i="10" s="1"/>
  <c r="AA46" i="10" s="1"/>
  <c r="L46" i="10"/>
  <c r="R46" i="10" s="1"/>
  <c r="AB46" i="10" s="1"/>
  <c r="C47" i="10"/>
  <c r="D47" i="10"/>
  <c r="J47" i="10"/>
  <c r="K47" i="10"/>
  <c r="L47" i="10"/>
  <c r="P47" i="10"/>
  <c r="Z47" i="10" s="1"/>
  <c r="Q47" i="10"/>
  <c r="AA47" i="10" s="1"/>
  <c r="R47" i="10"/>
  <c r="AB47" i="10" s="1"/>
  <c r="C48" i="10"/>
  <c r="D48" i="10"/>
  <c r="J48" i="10"/>
  <c r="K48" i="10"/>
  <c r="L48" i="10"/>
  <c r="P48" i="10"/>
  <c r="Q48" i="10"/>
  <c r="R48" i="10"/>
  <c r="Z48" i="10"/>
  <c r="AA48" i="10"/>
  <c r="AB48" i="10"/>
  <c r="B49" i="10"/>
  <c r="P53" i="10"/>
  <c r="T53" i="10" s="1"/>
  <c r="A60" i="11" l="1"/>
  <c r="A66" i="11"/>
  <c r="Q45" i="10"/>
  <c r="AA45" i="10" s="1"/>
  <c r="AA49" i="10" s="1"/>
  <c r="Q55" i="10" s="1"/>
  <c r="K49" i="10"/>
  <c r="Z49" i="10"/>
  <c r="P55" i="10" s="1"/>
  <c r="L49" i="10"/>
  <c r="R45" i="10"/>
  <c r="AB45" i="10" s="1"/>
  <c r="AB49" i="10" s="1"/>
  <c r="R55" i="10" s="1"/>
  <c r="J49" i="10"/>
  <c r="P49" i="10" s="1"/>
  <c r="D49" i="10"/>
  <c r="R54" i="10"/>
  <c r="Q54" i="10"/>
  <c r="T54" i="10" s="1"/>
  <c r="C49" i="10"/>
  <c r="AC23" i="9"/>
  <c r="W23" i="9"/>
  <c r="Y23" i="9" s="1"/>
  <c r="F23" i="9"/>
  <c r="AC22" i="9"/>
  <c r="W22" i="9"/>
  <c r="Y22" i="9" s="1"/>
  <c r="F22" i="9"/>
  <c r="AC21" i="9"/>
  <c r="W21" i="9"/>
  <c r="Y21" i="9" s="1"/>
  <c r="G21" i="9"/>
  <c r="F21" i="9"/>
  <c r="AC20" i="9"/>
  <c r="W20" i="9"/>
  <c r="Y20" i="9" s="1"/>
  <c r="F20" i="9"/>
  <c r="AC19" i="9"/>
  <c r="W19" i="9"/>
  <c r="Y19" i="9" s="1"/>
  <c r="F19" i="9"/>
  <c r="AC18" i="9"/>
  <c r="W18" i="9"/>
  <c r="Y18" i="9" s="1"/>
  <c r="G18" i="9"/>
  <c r="F18" i="9"/>
  <c r="AC17" i="9"/>
  <c r="W17" i="9"/>
  <c r="Y17" i="9" s="1"/>
  <c r="F17" i="9"/>
  <c r="AC16" i="9"/>
  <c r="W16" i="9"/>
  <c r="Y16" i="9" s="1"/>
  <c r="F16" i="9"/>
  <c r="AC15" i="9"/>
  <c r="W15" i="9"/>
  <c r="Y15" i="9" s="1"/>
  <c r="G15" i="9"/>
  <c r="L15" i="9" s="1"/>
  <c r="F15" i="9"/>
  <c r="AC14" i="9"/>
  <c r="W14" i="9"/>
  <c r="Y14" i="9" s="1"/>
  <c r="F14" i="9"/>
  <c r="AC13" i="9"/>
  <c r="W13" i="9"/>
  <c r="Y13" i="9" s="1"/>
  <c r="F13" i="9"/>
  <c r="AC12" i="9"/>
  <c r="W12" i="9"/>
  <c r="Y12" i="9" s="1"/>
  <c r="G12" i="9"/>
  <c r="AB12" i="9" s="1"/>
  <c r="F12" i="9"/>
  <c r="AC11" i="9"/>
  <c r="W11" i="9"/>
  <c r="Y11" i="9" s="1"/>
  <c r="F11" i="9"/>
  <c r="AC10" i="9"/>
  <c r="W10" i="9"/>
  <c r="Y10" i="9" s="1"/>
  <c r="F10" i="9"/>
  <c r="AC9" i="9"/>
  <c r="W9" i="9"/>
  <c r="Y9" i="9" s="1"/>
  <c r="G9" i="9"/>
  <c r="AB9" i="9" s="1"/>
  <c r="F9" i="9"/>
  <c r="AC8" i="9"/>
  <c r="W8" i="9"/>
  <c r="Y8" i="9" s="1"/>
  <c r="F8" i="9"/>
  <c r="AC7" i="9"/>
  <c r="W7" i="9"/>
  <c r="Y7" i="9" s="1"/>
  <c r="F7" i="9"/>
  <c r="AC6" i="9"/>
  <c r="W6" i="9"/>
  <c r="Y6" i="9" s="1"/>
  <c r="G6" i="9"/>
  <c r="F6" i="9"/>
  <c r="P51" i="10" l="1"/>
  <c r="R49" i="10"/>
  <c r="R51" i="10" s="1"/>
  <c r="R57" i="10" s="1"/>
  <c r="T55" i="10"/>
  <c r="Q49" i="10"/>
  <c r="Q51" i="10" s="1"/>
  <c r="Q57" i="10" s="1"/>
  <c r="Z6" i="9"/>
  <c r="M15" i="9"/>
  <c r="Q15" i="9"/>
  <c r="Q16" i="9" s="1"/>
  <c r="Q17" i="9" s="1"/>
  <c r="Q6" i="9"/>
  <c r="Q7" i="9" s="1"/>
  <c r="Q8" i="9" s="1"/>
  <c r="Q9" i="9" s="1"/>
  <c r="Q10" i="9" s="1"/>
  <c r="Q11" i="9" s="1"/>
  <c r="AB6" i="9"/>
  <c r="G16" i="9"/>
  <c r="G17" i="9" s="1"/>
  <c r="L6" i="9"/>
  <c r="M6" i="9" s="1"/>
  <c r="Q12" i="9"/>
  <c r="Q13" i="9" s="1"/>
  <c r="Z9" i="9"/>
  <c r="G10" i="9"/>
  <c r="L18" i="9"/>
  <c r="M18" i="9" s="1"/>
  <c r="G19" i="9"/>
  <c r="Z21" i="9"/>
  <c r="G22" i="9"/>
  <c r="AB21" i="9"/>
  <c r="L12" i="9"/>
  <c r="M12" i="9" s="1"/>
  <c r="G13" i="9"/>
  <c r="Z18" i="9"/>
  <c r="G7" i="9"/>
  <c r="L9" i="9"/>
  <c r="M9" i="9" s="1"/>
  <c r="Z12" i="9"/>
  <c r="Z15" i="9"/>
  <c r="O15" i="9"/>
  <c r="AB15" i="9"/>
  <c r="AB18" i="9"/>
  <c r="L21" i="9"/>
  <c r="M21" i="9" s="1"/>
  <c r="P57" i="10" l="1"/>
  <c r="T51" i="10"/>
  <c r="T57" i="10" s="1"/>
  <c r="T49" i="10"/>
  <c r="N21" i="9"/>
  <c r="N18" i="9"/>
  <c r="N9" i="9"/>
  <c r="R15" i="9"/>
  <c r="S15" i="9" s="1"/>
  <c r="N15" i="9"/>
  <c r="R9" i="9"/>
  <c r="S9" i="9" s="1"/>
  <c r="R6" i="9"/>
  <c r="S6" i="9" s="1"/>
  <c r="L16" i="9"/>
  <c r="M16" i="9" s="1"/>
  <c r="T9" i="9"/>
  <c r="U9" i="9"/>
  <c r="R12" i="9"/>
  <c r="S12" i="9" s="1"/>
  <c r="R16" i="9"/>
  <c r="S16" i="9" s="1"/>
  <c r="L7" i="9"/>
  <c r="M7" i="9" s="1"/>
  <c r="Z16" i="9"/>
  <c r="O18" i="9"/>
  <c r="AB16" i="9"/>
  <c r="O9" i="9"/>
  <c r="Z7" i="9"/>
  <c r="AB7" i="9"/>
  <c r="R7" i="9"/>
  <c r="S7" i="9" s="1"/>
  <c r="G8" i="9"/>
  <c r="AB22" i="9"/>
  <c r="L22" i="9"/>
  <c r="M22" i="9" s="1"/>
  <c r="Z22" i="9"/>
  <c r="G23" i="9"/>
  <c r="L13" i="9"/>
  <c r="M13" i="9" s="1"/>
  <c r="Z19" i="9"/>
  <c r="G20" i="9"/>
  <c r="AB19" i="9"/>
  <c r="L10" i="9"/>
  <c r="M10" i="9" s="1"/>
  <c r="L19" i="9"/>
  <c r="M19" i="9" s="1"/>
  <c r="T15" i="9"/>
  <c r="U15" i="9"/>
  <c r="O6" i="9"/>
  <c r="N6" i="9"/>
  <c r="Z17" i="9"/>
  <c r="R17" i="9"/>
  <c r="S17" i="9" s="1"/>
  <c r="L17" i="9"/>
  <c r="M17" i="9" s="1"/>
  <c r="AB17" i="9"/>
  <c r="L8" i="9"/>
  <c r="M8" i="9" s="1"/>
  <c r="R10" i="9"/>
  <c r="S10" i="9" s="1"/>
  <c r="AB10" i="9"/>
  <c r="Z10" i="9"/>
  <c r="G11" i="9"/>
  <c r="Z13" i="9"/>
  <c r="G14" i="9"/>
  <c r="AB13" i="9"/>
  <c r="R13" i="9"/>
  <c r="S13" i="9" s="1"/>
  <c r="O21" i="9"/>
  <c r="N12" i="9"/>
  <c r="O12" i="9"/>
  <c r="Q18" i="9"/>
  <c r="Q14" i="9"/>
  <c r="E24" i="3"/>
  <c r="E23" i="3"/>
  <c r="E22" i="3"/>
  <c r="E21" i="3"/>
  <c r="E20" i="3"/>
  <c r="E19" i="3"/>
  <c r="E18" i="3"/>
  <c r="E17" i="3"/>
  <c r="E16" i="3"/>
  <c r="E15" i="3"/>
  <c r="E14" i="3"/>
  <c r="E13" i="3"/>
  <c r="E12" i="3"/>
  <c r="E11" i="3"/>
  <c r="E10" i="3"/>
  <c r="E9" i="3"/>
  <c r="E8" i="3"/>
  <c r="E7" i="3"/>
  <c r="G15" i="3"/>
  <c r="G14" i="3"/>
  <c r="G13" i="3"/>
  <c r="G12" i="3"/>
  <c r="G11" i="3"/>
  <c r="G10" i="3"/>
  <c r="G9" i="3"/>
  <c r="G8" i="3"/>
  <c r="G7" i="3"/>
  <c r="F10" i="2"/>
  <c r="F13" i="2" s="1"/>
  <c r="F16" i="2" s="1"/>
  <c r="F19" i="2" s="1"/>
  <c r="F22" i="2" s="1"/>
  <c r="F9" i="2"/>
  <c r="F12" i="2" s="1"/>
  <c r="F15" i="2" s="1"/>
  <c r="F18" i="2" s="1"/>
  <c r="F21" i="2" s="1"/>
  <c r="F8" i="2"/>
  <c r="F11" i="2" s="1"/>
  <c r="F14" i="2" s="1"/>
  <c r="F17" i="2" s="1"/>
  <c r="F20" i="2" s="1"/>
  <c r="F22" i="3"/>
  <c r="F19" i="3"/>
  <c r="F16" i="3"/>
  <c r="F13" i="3"/>
  <c r="F10" i="3"/>
  <c r="F7" i="3"/>
  <c r="N8" i="9" l="1"/>
  <c r="N13" i="9"/>
  <c r="N7" i="9"/>
  <c r="N16" i="9"/>
  <c r="N17" i="9"/>
  <c r="T7" i="9"/>
  <c r="U6" i="9"/>
  <c r="O7" i="9"/>
  <c r="N19" i="9"/>
  <c r="N10" i="9"/>
  <c r="T6" i="9"/>
  <c r="T10" i="9"/>
  <c r="T17" i="9"/>
  <c r="N22" i="9"/>
  <c r="T12" i="9"/>
  <c r="O16" i="9"/>
  <c r="G18" i="3"/>
  <c r="H8" i="9"/>
  <c r="I8" i="9" s="1"/>
  <c r="G19" i="3"/>
  <c r="H9" i="9"/>
  <c r="I9" i="9" s="1"/>
  <c r="H6" i="9"/>
  <c r="I6" i="9" s="1"/>
  <c r="G24" i="3"/>
  <c r="H23" i="9" s="1"/>
  <c r="I23" i="9" s="1"/>
  <c r="H14" i="9"/>
  <c r="G22" i="3"/>
  <c r="H12" i="9"/>
  <c r="I12" i="9" s="1"/>
  <c r="G23" i="3"/>
  <c r="H13" i="9"/>
  <c r="I13" i="9" s="1"/>
  <c r="G20" i="3"/>
  <c r="H10" i="9"/>
  <c r="I10" i="9" s="1"/>
  <c r="H7" i="9"/>
  <c r="I7" i="9" s="1"/>
  <c r="G21" i="3"/>
  <c r="H11" i="9"/>
  <c r="I11" i="9" s="1"/>
  <c r="G17" i="3"/>
  <c r="O10" i="9"/>
  <c r="T13" i="9"/>
  <c r="U13" i="9"/>
  <c r="O13" i="9"/>
  <c r="O22" i="9"/>
  <c r="U12" i="9"/>
  <c r="O17" i="9"/>
  <c r="U7" i="9"/>
  <c r="T16" i="9"/>
  <c r="U16" i="9"/>
  <c r="Z11" i="9"/>
  <c r="AB11" i="9"/>
  <c r="R11" i="9"/>
  <c r="S11" i="9" s="1"/>
  <c r="U17" i="9"/>
  <c r="O19" i="9"/>
  <c r="Z23" i="9"/>
  <c r="L23" i="9"/>
  <c r="M23" i="9" s="1"/>
  <c r="L14" i="9"/>
  <c r="M14" i="9" s="1"/>
  <c r="AB23" i="9"/>
  <c r="Q19" i="9"/>
  <c r="R18" i="9"/>
  <c r="S18" i="9" s="1"/>
  <c r="R14" i="9"/>
  <c r="S14" i="9" s="1"/>
  <c r="AB14" i="9"/>
  <c r="I14" i="9"/>
  <c r="Z14" i="9"/>
  <c r="AB20" i="9"/>
  <c r="L20" i="9"/>
  <c r="M20" i="9" s="1"/>
  <c r="Z20" i="9"/>
  <c r="L11" i="9"/>
  <c r="M11" i="9" s="1"/>
  <c r="U10" i="9"/>
  <c r="R8" i="9"/>
  <c r="S8" i="9" s="1"/>
  <c r="AB8" i="9"/>
  <c r="O8" i="9"/>
  <c r="Z8" i="9"/>
  <c r="G16" i="3"/>
  <c r="H16" i="3" s="1"/>
  <c r="AD15" i="9" s="1"/>
  <c r="AE15" i="9" s="1"/>
  <c r="H22" i="3"/>
  <c r="AD21" i="9" s="1"/>
  <c r="AE21" i="9" s="1"/>
  <c r="H10" i="3"/>
  <c r="I10" i="3" s="1"/>
  <c r="E9" i="9" s="1"/>
  <c r="H19" i="3"/>
  <c r="AD18" i="9" s="1"/>
  <c r="AE18" i="9" s="1"/>
  <c r="H13" i="3"/>
  <c r="F8" i="3"/>
  <c r="F11" i="3"/>
  <c r="F14" i="3"/>
  <c r="H14" i="3" s="1"/>
  <c r="H7" i="3"/>
  <c r="J13" i="9" l="1"/>
  <c r="T14" i="9"/>
  <c r="O11" i="9"/>
  <c r="J12" i="9"/>
  <c r="T8" i="9"/>
  <c r="N14" i="9"/>
  <c r="N20" i="9"/>
  <c r="J11" i="9"/>
  <c r="J14" i="9"/>
  <c r="J10" i="9"/>
  <c r="N23" i="9"/>
  <c r="J23" i="9"/>
  <c r="J6" i="9"/>
  <c r="J9" i="9"/>
  <c r="T11" i="9"/>
  <c r="J7" i="9"/>
  <c r="H16" i="9"/>
  <c r="I16" i="9" s="1"/>
  <c r="H22" i="9"/>
  <c r="I22" i="9" s="1"/>
  <c r="AD9" i="9"/>
  <c r="AE9" i="9" s="1"/>
  <c r="H15" i="9"/>
  <c r="I15" i="9" s="1"/>
  <c r="H20" i="9"/>
  <c r="I20" i="9" s="1"/>
  <c r="H19" i="9"/>
  <c r="I19" i="9" s="1"/>
  <c r="AD13" i="9"/>
  <c r="AE13" i="9" s="1"/>
  <c r="AD6" i="9"/>
  <c r="AE6" i="9" s="1"/>
  <c r="AD12" i="9"/>
  <c r="AE12" i="9" s="1"/>
  <c r="O20" i="9"/>
  <c r="H21" i="9"/>
  <c r="I21" i="9" s="1"/>
  <c r="H18" i="9"/>
  <c r="I18" i="9" s="1"/>
  <c r="H17" i="9"/>
  <c r="I17" i="9" s="1"/>
  <c r="Z24" i="9"/>
  <c r="T18" i="9"/>
  <c r="U18" i="9"/>
  <c r="J8" i="9"/>
  <c r="O14" i="9"/>
  <c r="Q20" i="9"/>
  <c r="R19" i="9"/>
  <c r="S19" i="9" s="1"/>
  <c r="O23" i="9"/>
  <c r="U14" i="9"/>
  <c r="U8" i="9"/>
  <c r="N11" i="9"/>
  <c r="M24" i="9"/>
  <c r="U11" i="9"/>
  <c r="H8" i="3"/>
  <c r="I14" i="3"/>
  <c r="E13" i="9" s="1"/>
  <c r="I19" i="3"/>
  <c r="E18" i="9" s="1"/>
  <c r="I16" i="3"/>
  <c r="E15" i="9" s="1"/>
  <c r="H11" i="3"/>
  <c r="I11" i="3" s="1"/>
  <c r="E10" i="9" s="1"/>
  <c r="I22" i="3"/>
  <c r="E21" i="9" s="1"/>
  <c r="I13" i="3"/>
  <c r="E12" i="9" s="1"/>
  <c r="I7" i="3"/>
  <c r="E6" i="9" s="1"/>
  <c r="F17" i="3"/>
  <c r="J20" i="9" l="1"/>
  <c r="J17" i="9"/>
  <c r="J19" i="9"/>
  <c r="J15" i="9"/>
  <c r="J22" i="9"/>
  <c r="J16" i="9"/>
  <c r="J18" i="9"/>
  <c r="J21" i="9"/>
  <c r="AD7" i="9"/>
  <c r="AE7" i="9" s="1"/>
  <c r="AD10" i="9"/>
  <c r="AE10" i="9" s="1"/>
  <c r="I24" i="9"/>
  <c r="T19" i="9"/>
  <c r="U19" i="9"/>
  <c r="Q21" i="9"/>
  <c r="R20" i="9"/>
  <c r="S20" i="9" s="1"/>
  <c r="I8" i="3"/>
  <c r="E7" i="9" s="1"/>
  <c r="F20" i="3"/>
  <c r="H17" i="3"/>
  <c r="AD16" i="9" s="1"/>
  <c r="AE16" i="9" s="1"/>
  <c r="F23" i="3"/>
  <c r="T20" i="9" l="1"/>
  <c r="U20" i="9"/>
  <c r="Q22" i="9"/>
  <c r="R21" i="9"/>
  <c r="S21" i="9" s="1"/>
  <c r="I17" i="3"/>
  <c r="E16" i="9" s="1"/>
  <c r="H20" i="3"/>
  <c r="F9" i="3"/>
  <c r="H23" i="3"/>
  <c r="AD22" i="9" s="1"/>
  <c r="AE22" i="9" s="1"/>
  <c r="F12" i="3"/>
  <c r="AD19" i="9" l="1"/>
  <c r="AE19" i="9" s="1"/>
  <c r="T21" i="9"/>
  <c r="U21" i="9"/>
  <c r="Q23" i="9"/>
  <c r="R22" i="9"/>
  <c r="S22" i="9" s="1"/>
  <c r="H9" i="3"/>
  <c r="H12" i="3"/>
  <c r="I12" i="3"/>
  <c r="E11" i="9" s="1"/>
  <c r="I20" i="3"/>
  <c r="E19" i="9" s="1"/>
  <c r="I23" i="3"/>
  <c r="E22" i="9" s="1"/>
  <c r="F15" i="3"/>
  <c r="AD11" i="9" l="1"/>
  <c r="AE11" i="9" s="1"/>
  <c r="AD8" i="9"/>
  <c r="AE8" i="9" s="1"/>
  <c r="T22" i="9"/>
  <c r="U22" i="9"/>
  <c r="R23" i="9"/>
  <c r="S23" i="9" s="1"/>
  <c r="H15" i="3"/>
  <c r="I9" i="3"/>
  <c r="E8" i="9" s="1"/>
  <c r="F18" i="3"/>
  <c r="AD14" i="9" l="1"/>
  <c r="AE14" i="9" s="1"/>
  <c r="I15" i="3"/>
  <c r="E14" i="9" s="1"/>
  <c r="T23" i="9"/>
  <c r="U23" i="9"/>
  <c r="S24" i="9"/>
  <c r="H18" i="3"/>
  <c r="I18" i="3" s="1"/>
  <c r="E17" i="9" s="1"/>
  <c r="F21" i="3"/>
  <c r="AD17" i="9" l="1"/>
  <c r="AE17" i="9" s="1"/>
  <c r="H21" i="3"/>
  <c r="AD20" i="9" s="1"/>
  <c r="AE20" i="9" s="1"/>
  <c r="F24" i="3"/>
  <c r="I21" i="3" l="1"/>
  <c r="E20" i="9" s="1"/>
  <c r="H24" i="3"/>
  <c r="AD23" i="9" s="1"/>
  <c r="AE23" i="9" s="1"/>
  <c r="H25" i="3" l="1"/>
  <c r="I24" i="3"/>
  <c r="E23" i="9" s="1"/>
  <c r="Z25" i="9" l="1"/>
  <c r="Z26" i="9" s="1"/>
  <c r="S25" i="9"/>
  <c r="S26" i="9" s="1"/>
  <c r="M25" i="9"/>
  <c r="M26" i="9" s="1"/>
  <c r="I25" i="9"/>
  <c r="I26" i="9" s="1"/>
</calcChain>
</file>

<file path=xl/sharedStrings.xml><?xml version="1.0" encoding="utf-8"?>
<sst xmlns="http://schemas.openxmlformats.org/spreadsheetml/2006/main" count="460" uniqueCount="144">
  <si>
    <t>HMO</t>
  </si>
  <si>
    <t>Plan</t>
  </si>
  <si>
    <t>Coverage Tier</t>
  </si>
  <si>
    <t>Salary Band</t>
  </si>
  <si>
    <t>PPO</t>
  </si>
  <si>
    <t>Employee only</t>
  </si>
  <si>
    <t>Employee with spouse</t>
  </si>
  <si>
    <t>Employee with family</t>
  </si>
  <si>
    <t>Less than $60,000</t>
  </si>
  <si>
    <t>$60,000 - $90,000</t>
  </si>
  <si>
    <t>Over $90,000</t>
  </si>
  <si>
    <t>Employees</t>
  </si>
  <si>
    <t>Employee plus spouse</t>
  </si>
  <si>
    <t>Employee plus family</t>
  </si>
  <si>
    <t>Proportion of medical premium paid by YKW</t>
  </si>
  <si>
    <t>Salary
band</t>
  </si>
  <si>
    <t>Contribution level</t>
  </si>
  <si>
    <t>Given</t>
  </si>
  <si>
    <t>Dependent premium</t>
  </si>
  <si>
    <t>Scenario (i)</t>
  </si>
  <si>
    <t>Scenario (ii)</t>
  </si>
  <si>
    <t>Scenario (iii)</t>
  </si>
  <si>
    <t>PPO premium</t>
  </si>
  <si>
    <t>a</t>
  </si>
  <si>
    <t>EEs</t>
  </si>
  <si>
    <t>EE only premium</t>
  </si>
  <si>
    <t>Average salary</t>
  </si>
  <si>
    <t>EE monthly contribution rate</t>
  </si>
  <si>
    <t>Percentage increase ---&gt;&gt;</t>
  </si>
  <si>
    <t>Scenario (iv)</t>
  </si>
  <si>
    <t>EE  salary rate</t>
  </si>
  <si>
    <t>same as part a with new rates</t>
  </si>
  <si>
    <t>split EE and dependent premiums</t>
  </si>
  <si>
    <t>split YKW contribution rates</t>
  </si>
  <si>
    <t>determine EE contributions first</t>
  </si>
  <si>
    <t>then determine YKW contributions</t>
  </si>
  <si>
    <t>apply census distribution</t>
  </si>
  <si>
    <t>ER monthly contribution rate</t>
  </si>
  <si>
    <t>(1)</t>
  </si>
  <si>
    <t>(2)</t>
  </si>
  <si>
    <t>(3)</t>
  </si>
  <si>
    <t>(1) × (2) × (3)</t>
  </si>
  <si>
    <t>Year X contributions</t>
  </si>
  <si>
    <t>Year X YKW contribution</t>
  </si>
  <si>
    <t>Year X+1 premium</t>
  </si>
  <si>
    <t>Year X+1 YKW contribution</t>
  </si>
  <si>
    <t>(4)</t>
  </si>
  <si>
    <t>(2) – (4)÷(1)</t>
  </si>
  <si>
    <t>Year X premium</t>
  </si>
  <si>
    <t>Year X PEPM medical premiums</t>
  </si>
  <si>
    <t>Year X+1 PEPM medical premiums</t>
  </si>
  <si>
    <t>Year X+1 average annual salary (budgeted)</t>
  </si>
  <si>
    <t>YKW employee census for Year X and Year X+1</t>
  </si>
  <si>
    <t>Commentary on Question:</t>
  </si>
  <si>
    <t>Most candidates performed well on this part of the question.</t>
  </si>
  <si>
    <t>Most candidates performed well on part (i) of the question.  For part (ii), some candidates assumed “80% of PPO premium” applied only to the PPO option, instead of using this defined contribution amount as the YKW baseline for both plan options.</t>
  </si>
  <si>
    <t>Candidates who performed well on part (iii) were able to split the employee and dependent components of the premium and apply the appropriate contribution percentages.  For part (iv), candidates who performed well first determined the monthly employee contribution and then calculated the net monthly YKW contribution rate.</t>
  </si>
  <si>
    <t>align PPO premiums</t>
  </si>
  <si>
    <t>This part of the question requires candidates to be familiar with the ACO operation model and CMS bonus mechanism. Most candidates used the correct overall profit formula, but many candidates did not calculate the inputs correctly.  Common errors included incorrectly calculating a benchmark when it was not necessary, forgetting to include the reduction in expense spending, and dividing rather than multiplying the current revenue by the change in utilization.  Candidates who used a floor of zero for the CMS shared savings also received credit.</t>
  </si>
  <si>
    <r>
      <t>Commentary on Question</t>
    </r>
    <r>
      <rPr>
        <sz val="14"/>
        <color theme="1"/>
        <rFont val="Times New Roman"/>
        <family val="1"/>
      </rPr>
      <t>:</t>
    </r>
  </si>
  <si>
    <t>Net Profit</t>
  </si>
  <si>
    <t>Reduction in direct Expenses</t>
  </si>
  <si>
    <t>Total Admin</t>
  </si>
  <si>
    <t>Start-up Expenses</t>
  </si>
  <si>
    <t>Bonus</t>
  </si>
  <si>
    <t>Total Patient Revenue</t>
  </si>
  <si>
    <t>total</t>
  </si>
  <si>
    <t>Other</t>
  </si>
  <si>
    <t>Physician</t>
  </si>
  <si>
    <t>Outpatient</t>
  </si>
  <si>
    <t>Inpatient</t>
  </si>
  <si>
    <t>Year 3</t>
  </si>
  <si>
    <t>Year 2</t>
  </si>
  <si>
    <t>Year 1</t>
  </si>
  <si>
    <t>Expense savings $</t>
  </si>
  <si>
    <t>Expense savings % on Revenue Change</t>
  </si>
  <si>
    <t>Revenue Change</t>
  </si>
  <si>
    <t>ACO Revenue</t>
  </si>
  <si>
    <t>Utilization management</t>
  </si>
  <si>
    <t>Current Revenue</t>
  </si>
  <si>
    <t>Total Admin Cost</t>
  </si>
  <si>
    <t>Other ongoing administration</t>
  </si>
  <si>
    <t>Electronic Health Record system expense</t>
  </si>
  <si>
    <t>Staff and physician incentive programs expenses</t>
  </si>
  <si>
    <t>Solution</t>
  </si>
  <si>
    <t>(b)  (4 points) Calculate the projected net profit for the ACO in the first three years.</t>
  </si>
  <si>
    <t xml:space="preserve">Projection Duration:  Initial three-year contracting period </t>
  </si>
  <si>
    <t>Bonus Conditions: Assume the ACO meets the program bonus conditions</t>
  </si>
  <si>
    <t>Bonus:  One-sided model with 60% shared savings</t>
  </si>
  <si>
    <t>Other ongoing administration: $0.8 million per year for 3 years</t>
  </si>
  <si>
    <t>Electronic Health Record system expense:  $1.0 million per year for 3 years</t>
  </si>
  <si>
    <t>Staff and physician incentive programs expenses:  $1.5 million per year for 3 years</t>
  </si>
  <si>
    <t>ACO start-up expenses:  Start-up expenses are $6.0 million in Year 1</t>
  </si>
  <si>
    <t xml:space="preserve">Reduction in direct expenses:  60% of the change in revenue can be eliminated to offset the revenue declines </t>
  </si>
  <si>
    <t>Level of ACO utilization management:  The % change on current revenue is projected in the table below</t>
  </si>
  <si>
    <t>Projected Revenue:  The current revenue is projected in the table below</t>
  </si>
  <si>
    <t>Membership:  40,000 members</t>
  </si>
  <si>
    <t>You are given:</t>
  </si>
  <si>
    <t>You are asked to project the net financial impact to the provider organization as an ACO.</t>
  </si>
  <si>
    <t>Question</t>
  </si>
  <si>
    <t>Savings with risk adjustment:</t>
  </si>
  <si>
    <t>Baseline re-weighted claims PMPM:</t>
  </si>
  <si>
    <t>Savings without risk adjustment:</t>
  </si>
  <si>
    <t>Year 1 Total Claims PMPM:</t>
  </si>
  <si>
    <t>Or, if the newly identified strata is excluded:</t>
  </si>
  <si>
    <t>Baseline Total Claims PMPM:</t>
  </si>
  <si>
    <t>Newly Identified</t>
  </si>
  <si>
    <t>Continuing</t>
  </si>
  <si>
    <t>Terminating</t>
  </si>
  <si>
    <t>Claims PMPM</t>
  </si>
  <si>
    <t>Total Claims</t>
  </si>
  <si>
    <t>Total MMs</t>
  </si>
  <si>
    <t>Year 1 Calculations:</t>
  </si>
  <si>
    <t>Baseline Calculations:</t>
  </si>
  <si>
    <t>The Baseline PMPM is reweighted to match the distribution of risk strata in program year 1, following the methodology outlined in Duncan, Chapter 13.</t>
  </si>
  <si>
    <t xml:space="preserve">To calculate risk-adjusted savings, the Baseline PMPM or Year 1 PMPM must be reweighted to align with the distribution of risk strata of the other period. This ensures that the risk mix between the two periods is comparable. </t>
  </si>
  <si>
    <t>Note that Node 10 and 11 should be excluded from the calculation for both baseline and program year 1, because they are not qualified in either pre-baseline, baseline, or program year 1.</t>
  </si>
  <si>
    <t>For Year 1, Node 5, 6, 9, 14, and 16 are terminating; 3, 4, 8, 13, 15 are continuing.</t>
  </si>
  <si>
    <t>For the baseline, Node 1-2 and 12 are terminating, 3-9 are continuing, and 13-16 are newly identified.</t>
  </si>
  <si>
    <t>The population is split up into three strata: terminating, continuing, and newly identified.</t>
  </si>
  <si>
    <t>Yes</t>
  </si>
  <si>
    <t>No</t>
  </si>
  <si>
    <t>N/A</t>
  </si>
  <si>
    <t>Total Year 1 Claims</t>
  </si>
  <si>
    <t>Total Baseline Claims</t>
  </si>
  <si>
    <t>Year 1 Strata</t>
  </si>
  <si>
    <t>Baseline Strata</t>
  </si>
  <si>
    <t>Y1 Chronic</t>
  </si>
  <si>
    <t>BL Chronic</t>
  </si>
  <si>
    <t>Terminated in program year 1</t>
  </si>
  <si>
    <t>[Re-]qualified in the 12 months of program year 1</t>
  </si>
  <si>
    <t>Terminated in the baseline</t>
  </si>
  <si>
    <t>[Re-]qualified in the 12 months of the baseline</t>
  </si>
  <si>
    <t>Qualified in the 12 months before the baseline</t>
  </si>
  <si>
    <t>Node</t>
  </si>
  <si>
    <t>PMPMs</t>
  </si>
  <si>
    <t>MMs</t>
  </si>
  <si>
    <t>Strata</t>
  </si>
  <si>
    <t xml:space="preserve">Credit was given for adjusting the year 1 PMPM to the baseline membership distribution or adjusting the baseline PMPM to the year 1 membership distribution. </t>
  </si>
  <si>
    <t xml:space="preserve">Credit was given for identifying the newly identified strata.  Since there isn’t a node that can be stratified under the newly identified strata in program year 1, credit was given for including or excluding the newly identified strata in the calculation of baseline period average PMPM. </t>
  </si>
  <si>
    <t>The termination status in the baseline determines whether the nodes should be included in program year 1, therefore Nodes 1,2,12 are excluded in program year 1.</t>
  </si>
  <si>
    <t xml:space="preserve">The qualification and termination status in the program are used not only to determine whether nodes should be included in the calculation, but more importantly, to define and group nodes into distinct risk strata.  The grouping of the stratum in the baseline period is based on the combination of qualification status in the 12 months before the baseline, qualification status in the 12 months of the baseline, and termination status in the baseline. The grouping of the stratum in Year 1 is based on the combination of qualification status in the 12 months of the baseline, qualification status in the 12 months of program year 1 and termination status in the program year 1. </t>
  </si>
  <si>
    <t xml:space="preserve">Candidates needed to recognize that there is more than one strata in each of the baseline period and program year 1.  Most candidates failed to recognize this and thus scored poorly on this part of the question. </t>
  </si>
  <si>
    <r>
      <t>Commentary on Question</t>
    </r>
    <r>
      <rPr>
        <sz val="12"/>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</si>
</sst>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_);_(* \(#,##0.0\);_(* &quot;-&quot;?_);_(@_)"/>
    <numFmt numFmtId="168" formatCode="0.000%"/>
    <numFmt numFmtId="169" formatCode="&quot;$&quot;#,##0.00"/>
    <numFmt numFmtId="170" formatCode="0.0"/>
    <numFmt numFmtId="171" formatCode="&quot;$&quot;#,##0"/>
  </numFmts>
  <fonts count="21" x14ac:knownFonts="1">
    <font>
      <sz val="11"/>
      <color theme="1"/>
      <name val="Calibri"/>
      <family val="2"/>
      <scheme val="minor"/>
    </font>
    <font>
      <sz val="11"/>
      <color theme="1"/>
      <name val="Aptos Narrow"/>
      <family val="2"/>
    </font>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b/>
      <sz val="11"/>
      <color theme="1"/>
      <name val="Aptos Narrow"/>
      <family val="2"/>
    </font>
    <font>
      <b/>
      <sz val="14"/>
      <color theme="1"/>
      <name val="Aptos Narrow"/>
      <family val="2"/>
    </font>
    <font>
      <i/>
      <sz val="11"/>
      <color theme="1"/>
      <name val="Aptos Narrow"/>
      <family val="2"/>
    </font>
    <font>
      <sz val="11"/>
      <color rgb="FF000000"/>
      <name val="Calibri"/>
      <family val="2"/>
      <charset val="1"/>
    </font>
    <font>
      <sz val="14"/>
      <color rgb="FF000000"/>
      <name val="Times New Roman"/>
      <family val="1"/>
    </font>
    <font>
      <sz val="14"/>
      <color rgb="FFFF0000"/>
      <name val="Times New Roman"/>
      <family val="1"/>
    </font>
    <font>
      <i/>
      <sz val="14"/>
      <color theme="1"/>
      <name val="Times New Roman"/>
      <family val="1"/>
    </font>
    <font>
      <b/>
      <sz val="14"/>
      <color theme="1"/>
      <name val="Times New Roman"/>
      <family val="1"/>
    </font>
    <font>
      <sz val="14"/>
      <color theme="1"/>
      <name val="Times New Roman"/>
      <family val="1"/>
    </font>
    <font>
      <b/>
      <sz val="14"/>
      <color rgb="FF000000"/>
      <name val="Times New Roman"/>
      <family val="1"/>
    </font>
    <font>
      <b/>
      <sz val="14"/>
      <color rgb="FFFF0000"/>
      <name val="Times New Roman"/>
      <family val="1"/>
    </font>
    <font>
      <sz val="14"/>
      <color rgb="FF2A6099"/>
      <name val="Times New Roman"/>
      <family val="1"/>
    </font>
    <font>
      <i/>
      <sz val="12"/>
      <color theme="1"/>
      <name val="Times New Roman"/>
      <family val="1"/>
    </font>
    <font>
      <b/>
      <sz val="12"/>
      <color theme="1"/>
      <name val="Times New Roman"/>
      <family val="1"/>
    </font>
    <font>
      <sz val="12"/>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CCCCC"/>
        <bgColor rgb="FFCCCC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9" fillId="0" borderId="0"/>
  </cellStyleXfs>
  <cellXfs count="191">
    <xf numFmtId="0" fontId="0" fillId="0" borderId="0" xfId="0"/>
    <xf numFmtId="0" fontId="0" fillId="0" borderId="0" xfId="0" applyAlignment="1">
      <alignment horizontal="left" indent="1"/>
    </xf>
    <xf numFmtId="0" fontId="0" fillId="0" borderId="0" xfId="0" applyAlignment="1">
      <alignment horizontal="center"/>
    </xf>
    <xf numFmtId="0" fontId="0" fillId="0" borderId="0" xfId="0" quotePrefix="1" applyAlignment="1">
      <alignment horizontal="left" indent="1"/>
    </xf>
    <xf numFmtId="0" fontId="0" fillId="0" borderId="1" xfId="0" applyBorder="1" applyAlignment="1">
      <alignment horizontal="left" indent="1"/>
    </xf>
    <xf numFmtId="0" fontId="5" fillId="0" borderId="0" xfId="0" applyFont="1" applyAlignment="1">
      <alignment horizontal="left" indent="1"/>
    </xf>
    <xf numFmtId="0" fontId="0" fillId="0" borderId="2" xfId="0" applyBorder="1" applyAlignment="1">
      <alignment horizontal="left" indent="1"/>
    </xf>
    <xf numFmtId="44" fontId="0" fillId="0" borderId="2" xfId="2" applyFont="1" applyBorder="1"/>
    <xf numFmtId="0" fontId="3" fillId="0" borderId="3" xfId="0" applyFont="1" applyBorder="1" applyAlignment="1">
      <alignment horizontal="center" vertical="center"/>
    </xf>
    <xf numFmtId="0" fontId="3" fillId="0" borderId="4" xfId="0" applyFont="1" applyBorder="1" applyAlignment="1">
      <alignment horizontal="center" wrapText="1"/>
    </xf>
    <xf numFmtId="0" fontId="3" fillId="0" borderId="5" xfId="0" applyFont="1" applyBorder="1" applyAlignment="1">
      <alignment horizontal="center" wrapText="1"/>
    </xf>
    <xf numFmtId="43" fontId="0" fillId="0" borderId="1" xfId="0" applyNumberFormat="1" applyBorder="1"/>
    <xf numFmtId="0" fontId="5" fillId="0" borderId="0" xfId="0" applyFont="1" applyAlignment="1">
      <alignment horizontal="left"/>
    </xf>
    <xf numFmtId="0" fontId="3" fillId="0" borderId="3" xfId="0" applyFont="1" applyBorder="1" applyAlignment="1">
      <alignment horizontal="left" vertical="center" indent="1"/>
    </xf>
    <xf numFmtId="9" fontId="0" fillId="0" borderId="1" xfId="0" applyNumberFormat="1" applyBorder="1" applyAlignment="1">
      <alignment horizontal="center"/>
    </xf>
    <xf numFmtId="0" fontId="0" fillId="0" borderId="1" xfId="0" quotePrefix="1" applyBorder="1" applyAlignment="1">
      <alignment horizontal="left" indent="1"/>
    </xf>
    <xf numFmtId="9" fontId="0" fillId="0" borderId="2" xfId="0" applyNumberForma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165" fontId="0" fillId="0" borderId="0" xfId="2" applyNumberFormat="1" applyFont="1"/>
    <xf numFmtId="166" fontId="0" fillId="0" borderId="0" xfId="1" applyNumberFormat="1" applyFont="1"/>
    <xf numFmtId="167" fontId="0" fillId="0" borderId="0" xfId="0" applyNumberFormat="1"/>
    <xf numFmtId="0" fontId="7" fillId="0" borderId="0" xfId="0" applyFont="1" applyAlignment="1">
      <alignment horizontal="left"/>
    </xf>
    <xf numFmtId="0" fontId="1" fillId="0" borderId="0" xfId="0" applyFont="1" applyAlignment="1">
      <alignment horizontal="left" indent="1"/>
    </xf>
    <xf numFmtId="0" fontId="1" fillId="0" borderId="0" xfId="0" applyFont="1" applyAlignment="1">
      <alignment horizontal="center"/>
    </xf>
    <xf numFmtId="0" fontId="1" fillId="0" borderId="0" xfId="0" applyFont="1"/>
    <xf numFmtId="0" fontId="6" fillId="0" borderId="3" xfId="0" applyFont="1" applyBorder="1" applyAlignment="1">
      <alignment horizontal="center" vertical="center"/>
    </xf>
    <xf numFmtId="0" fontId="6" fillId="0" borderId="4" xfId="0" applyFont="1" applyBorder="1" applyAlignment="1">
      <alignment horizontal="left" vertical="center" indent="1"/>
    </xf>
    <xf numFmtId="0" fontId="6" fillId="0" borderId="6" xfId="0" applyFont="1" applyBorder="1" applyAlignment="1">
      <alignment horizontal="center" vertical="center"/>
    </xf>
    <xf numFmtId="0" fontId="1" fillId="0" borderId="0" xfId="0" applyFont="1" applyAlignment="1">
      <alignment vertical="center"/>
    </xf>
    <xf numFmtId="44" fontId="1" fillId="0" borderId="0" xfId="2" applyFont="1"/>
    <xf numFmtId="9" fontId="1" fillId="0" borderId="0" xfId="0" applyNumberFormat="1" applyFont="1" applyAlignment="1">
      <alignment horizontal="center"/>
    </xf>
    <xf numFmtId="43" fontId="1" fillId="0" borderId="0" xfId="0" applyNumberFormat="1" applyFont="1"/>
    <xf numFmtId="43" fontId="8" fillId="3" borderId="0" xfId="0" applyNumberFormat="1" applyFont="1" applyFill="1"/>
    <xf numFmtId="0" fontId="1" fillId="0" borderId="0" xfId="0" quotePrefix="1" applyFont="1" applyAlignment="1">
      <alignment horizontal="left" indent="1"/>
    </xf>
    <xf numFmtId="0" fontId="1" fillId="0" borderId="10" xfId="0" applyFont="1" applyBorder="1" applyAlignment="1">
      <alignment horizontal="center"/>
    </xf>
    <xf numFmtId="0" fontId="1" fillId="0" borderId="10" xfId="0" applyFont="1" applyBorder="1" applyAlignment="1">
      <alignment horizontal="left" indent="1"/>
    </xf>
    <xf numFmtId="43" fontId="1" fillId="0" borderId="10" xfId="0" applyNumberFormat="1" applyFont="1" applyBorder="1"/>
    <xf numFmtId="9" fontId="1" fillId="0" borderId="10" xfId="0" applyNumberFormat="1" applyFont="1" applyBorder="1" applyAlignment="1">
      <alignment horizontal="center"/>
    </xf>
    <xf numFmtId="43" fontId="8" fillId="3" borderId="10" xfId="0" applyNumberFormat="1" applyFont="1" applyFill="1" applyBorder="1"/>
    <xf numFmtId="0" fontId="1" fillId="0" borderId="12" xfId="0" applyFont="1" applyBorder="1" applyAlignment="1">
      <alignment horizontal="center"/>
    </xf>
    <xf numFmtId="0" fontId="1" fillId="0" borderId="12" xfId="0" applyFont="1" applyBorder="1" applyAlignment="1">
      <alignment horizontal="left" indent="1"/>
    </xf>
    <xf numFmtId="43" fontId="1" fillId="0" borderId="12" xfId="0" applyNumberFormat="1" applyFont="1" applyBorder="1"/>
    <xf numFmtId="9" fontId="1" fillId="0" borderId="12" xfId="0" applyNumberFormat="1" applyFont="1" applyBorder="1" applyAlignment="1">
      <alignment horizontal="center"/>
    </xf>
    <xf numFmtId="43" fontId="8" fillId="3" borderId="12" xfId="0" applyNumberFormat="1" applyFont="1" applyFill="1" applyBorder="1"/>
    <xf numFmtId="43" fontId="1" fillId="0" borderId="11" xfId="0" applyNumberFormat="1" applyFont="1" applyBorder="1"/>
    <xf numFmtId="43" fontId="8" fillId="3" borderId="11" xfId="0" applyNumberFormat="1" applyFont="1" applyFill="1" applyBorder="1"/>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left" vertical="center" indent="1"/>
    </xf>
    <xf numFmtId="0" fontId="8" fillId="3" borderId="14" xfId="0" applyFont="1" applyFill="1" applyBorder="1" applyAlignment="1">
      <alignment horizontal="center" vertical="center" wrapText="1"/>
    </xf>
    <xf numFmtId="0" fontId="6" fillId="0" borderId="14" xfId="0" applyFont="1" applyBorder="1" applyAlignment="1">
      <alignment horizontal="center" vertical="center"/>
    </xf>
    <xf numFmtId="0" fontId="1" fillId="0" borderId="14"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4" xfId="0" applyFont="1" applyBorder="1" applyAlignment="1">
      <alignment vertical="center"/>
    </xf>
    <xf numFmtId="0" fontId="8" fillId="6"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43" fontId="1" fillId="2" borderId="0" xfId="0" applyNumberFormat="1" applyFont="1" applyFill="1"/>
    <xf numFmtId="43" fontId="1" fillId="0" borderId="0" xfId="1" applyFont="1"/>
    <xf numFmtId="43" fontId="8" fillId="6" borderId="0" xfId="0" applyNumberFormat="1" applyFont="1" applyFill="1"/>
    <xf numFmtId="166" fontId="1" fillId="0" borderId="0" xfId="1" applyNumberFormat="1" applyFont="1"/>
    <xf numFmtId="168" fontId="1" fillId="0" borderId="0" xfId="3" applyNumberFormat="1" applyFont="1"/>
    <xf numFmtId="44" fontId="8" fillId="3" borderId="0" xfId="0" applyNumberFormat="1" applyFont="1" applyFill="1"/>
    <xf numFmtId="43" fontId="1" fillId="0" borderId="10" xfId="1" applyFont="1" applyBorder="1"/>
    <xf numFmtId="43" fontId="1" fillId="2" borderId="10" xfId="0" applyNumberFormat="1" applyFont="1" applyFill="1" applyBorder="1"/>
    <xf numFmtId="0" fontId="1" fillId="0" borderId="10" xfId="0" applyFont="1" applyBorder="1"/>
    <xf numFmtId="43" fontId="8" fillId="6" borderId="10" xfId="0" applyNumberFormat="1" applyFont="1" applyFill="1" applyBorder="1"/>
    <xf numFmtId="166" fontId="1" fillId="0" borderId="10" xfId="1" applyNumberFormat="1" applyFont="1" applyBorder="1"/>
    <xf numFmtId="168" fontId="1" fillId="0" borderId="10" xfId="3" applyNumberFormat="1" applyFont="1" applyBorder="1"/>
    <xf numFmtId="43" fontId="1" fillId="0" borderId="12" xfId="1" applyFont="1" applyBorder="1"/>
    <xf numFmtId="43" fontId="1" fillId="2" borderId="12" xfId="0" applyNumberFormat="1" applyFont="1" applyFill="1" applyBorder="1"/>
    <xf numFmtId="0" fontId="1" fillId="0" borderId="12" xfId="0" applyFont="1" applyBorder="1"/>
    <xf numFmtId="43" fontId="8" fillId="6" borderId="12" xfId="0" applyNumberFormat="1" applyFont="1" applyFill="1" applyBorder="1"/>
    <xf numFmtId="166" fontId="1" fillId="0" borderId="12" xfId="1" applyNumberFormat="1" applyFont="1" applyBorder="1"/>
    <xf numFmtId="168" fontId="1" fillId="0" borderId="12" xfId="3" applyNumberFormat="1" applyFont="1" applyBorder="1"/>
    <xf numFmtId="0" fontId="1" fillId="0" borderId="11" xfId="0" applyFont="1" applyBorder="1" applyAlignment="1">
      <alignment horizontal="center"/>
    </xf>
    <xf numFmtId="0" fontId="1" fillId="0" borderId="11" xfId="0" applyFont="1" applyBorder="1" applyAlignment="1">
      <alignment horizontal="left" indent="1"/>
    </xf>
    <xf numFmtId="43" fontId="1" fillId="0" borderId="11" xfId="1" applyFont="1" applyBorder="1"/>
    <xf numFmtId="9" fontId="1" fillId="0" borderId="11" xfId="0" applyNumberFormat="1" applyFont="1" applyBorder="1" applyAlignment="1">
      <alignment horizontal="center"/>
    </xf>
    <xf numFmtId="43" fontId="1" fillId="2" borderId="11" xfId="0" applyNumberFormat="1" applyFont="1" applyFill="1" applyBorder="1"/>
    <xf numFmtId="0" fontId="1" fillId="0" borderId="11" xfId="0" applyFont="1" applyBorder="1"/>
    <xf numFmtId="43" fontId="8" fillId="6" borderId="11" xfId="0" applyNumberFormat="1" applyFont="1" applyFill="1" applyBorder="1"/>
    <xf numFmtId="166" fontId="1" fillId="0" borderId="11" xfId="1" applyNumberFormat="1" applyFont="1" applyBorder="1"/>
    <xf numFmtId="168" fontId="1" fillId="0" borderId="11" xfId="3" applyNumberFormat="1" applyFont="1" applyBorder="1"/>
    <xf numFmtId="0" fontId="1" fillId="0" borderId="0" xfId="0" applyFont="1" applyAlignment="1">
      <alignment horizontal="right" indent="1"/>
    </xf>
    <xf numFmtId="44" fontId="6" fillId="0" borderId="0" xfId="2" applyFont="1" applyFill="1"/>
    <xf numFmtId="44" fontId="1" fillId="0" borderId="0" xfId="0" applyNumberFormat="1" applyFont="1"/>
    <xf numFmtId="0" fontId="7" fillId="0" borderId="0" xfId="0" applyFont="1" applyAlignment="1">
      <alignment horizontal="right" indent="1"/>
    </xf>
    <xf numFmtId="164" fontId="7" fillId="4" borderId="0" xfId="3" applyNumberFormat="1" applyFont="1" applyFill="1"/>
    <xf numFmtId="164" fontId="6" fillId="0" borderId="0" xfId="3" applyNumberFormat="1" applyFont="1"/>
    <xf numFmtId="0" fontId="8" fillId="0" borderId="0" xfId="0" applyFont="1" applyAlignment="1">
      <alignment horizontal="left"/>
    </xf>
    <xf numFmtId="0" fontId="1" fillId="0" borderId="0" xfId="0" applyFont="1" applyAlignment="1">
      <alignment horizontal="left"/>
    </xf>
    <xf numFmtId="0" fontId="8" fillId="0" borderId="0" xfId="0" applyFont="1" applyAlignment="1">
      <alignment horizontal="right"/>
    </xf>
    <xf numFmtId="0" fontId="8" fillId="2" borderId="0" xfId="0" applyFont="1" applyFill="1" applyAlignment="1">
      <alignment horizontal="left" indent="1"/>
    </xf>
    <xf numFmtId="0" fontId="1" fillId="2" borderId="0" xfId="0" applyFont="1" applyFill="1"/>
    <xf numFmtId="0" fontId="8" fillId="2" borderId="0" xfId="0" applyFont="1" applyFill="1" applyAlignment="1">
      <alignment horizontal="right"/>
    </xf>
    <xf numFmtId="0" fontId="1" fillId="0" borderId="0" xfId="0" applyFont="1" applyAlignment="1">
      <alignment horizontal="center" vertical="center"/>
    </xf>
    <xf numFmtId="0" fontId="1" fillId="0" borderId="0" xfId="0" applyFont="1" applyAlignment="1">
      <alignment horizontal="left" vertical="center"/>
    </xf>
    <xf numFmtId="0" fontId="1" fillId="0" borderId="10" xfId="0" quotePrefix="1" applyFont="1" applyBorder="1" applyAlignment="1">
      <alignment horizontal="center" vertical="center"/>
    </xf>
    <xf numFmtId="0" fontId="1" fillId="0" borderId="0" xfId="0" quotePrefix="1" applyFont="1" applyAlignment="1">
      <alignment horizontal="center" vertical="center"/>
    </xf>
    <xf numFmtId="44" fontId="8" fillId="5" borderId="0" xfId="2" applyFont="1" applyFill="1"/>
    <xf numFmtId="43" fontId="8" fillId="5" borderId="0" xfId="0" applyNumberFormat="1" applyFont="1" applyFill="1"/>
    <xf numFmtId="43" fontId="8" fillId="5" borderId="10" xfId="0" applyNumberFormat="1" applyFont="1" applyFill="1" applyBorder="1"/>
    <xf numFmtId="43" fontId="8" fillId="5" borderId="12" xfId="0" applyNumberFormat="1" applyFont="1" applyFill="1" applyBorder="1"/>
    <xf numFmtId="43" fontId="8" fillId="5" borderId="11" xfId="0" applyNumberFormat="1" applyFont="1" applyFill="1" applyBorder="1"/>
    <xf numFmtId="0" fontId="6" fillId="0" borderId="0" xfId="0" applyFont="1" applyAlignment="1">
      <alignment horizontal="left"/>
    </xf>
    <xf numFmtId="169" fontId="7" fillId="2" borderId="0" xfId="2" applyNumberFormat="1" applyFont="1" applyFill="1" applyAlignment="1"/>
    <xf numFmtId="0" fontId="1" fillId="0" borderId="16" xfId="0" quotePrefix="1" applyFont="1" applyBorder="1" applyAlignment="1">
      <alignment horizontal="center" vertical="center"/>
    </xf>
    <xf numFmtId="0" fontId="0" fillId="0" borderId="16" xfId="0" applyBorder="1" applyAlignment="1">
      <alignment horizontal="center" vertical="center"/>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6" fillId="0" borderId="0" xfId="0" applyFont="1"/>
    <xf numFmtId="0" fontId="1" fillId="2" borderId="0" xfId="0" applyFont="1" applyFill="1" applyAlignment="1">
      <alignment horizontal="right"/>
    </xf>
    <xf numFmtId="0" fontId="8" fillId="2" borderId="0" xfId="0" applyFont="1" applyFill="1" applyAlignment="1">
      <alignment horizontal="left"/>
    </xf>
    <xf numFmtId="164" fontId="7" fillId="0" borderId="0" xfId="3" applyNumberFormat="1" applyFont="1" applyFill="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0" xfId="4"/>
    <xf numFmtId="0" fontId="10" fillId="0" borderId="0" xfId="4" applyFont="1"/>
    <xf numFmtId="0" fontId="11" fillId="0" borderId="0" xfId="4" applyFont="1" applyAlignment="1">
      <alignment horizontal="center"/>
    </xf>
    <xf numFmtId="0" fontId="12" fillId="0" borderId="0" xfId="0" applyFont="1" applyAlignment="1">
      <alignment horizontal="left" vertical="top" wrapText="1"/>
    </xf>
    <xf numFmtId="0" fontId="13" fillId="0" borderId="0" xfId="0" applyFont="1" applyAlignment="1">
      <alignment horizontal="left" vertical="center"/>
    </xf>
    <xf numFmtId="0" fontId="15" fillId="0" borderId="0" xfId="4" applyFont="1"/>
    <xf numFmtId="0" fontId="16" fillId="0" borderId="0" xfId="4" applyFont="1" applyAlignment="1">
      <alignment horizontal="center"/>
    </xf>
    <xf numFmtId="2" fontId="15" fillId="7" borderId="0" xfId="4" applyNumberFormat="1" applyFont="1" applyFill="1"/>
    <xf numFmtId="170" fontId="15" fillId="7" borderId="0" xfId="4" applyNumberFormat="1" applyFont="1" applyFill="1"/>
    <xf numFmtId="170" fontId="10" fillId="0" borderId="0" xfId="4" applyNumberFormat="1" applyFont="1"/>
    <xf numFmtId="2" fontId="11" fillId="0" borderId="0" xfId="4" applyNumberFormat="1" applyFont="1" applyAlignment="1">
      <alignment horizontal="left"/>
    </xf>
    <xf numFmtId="0" fontId="17" fillId="0" borderId="0" xfId="4" applyFont="1"/>
    <xf numFmtId="10" fontId="11" fillId="0" borderId="0" xfId="4" applyNumberFormat="1" applyFont="1" applyAlignment="1">
      <alignment horizontal="center"/>
    </xf>
    <xf numFmtId="2" fontId="11" fillId="0" borderId="0" xfId="4" applyNumberFormat="1" applyFont="1" applyAlignment="1">
      <alignment horizontal="center"/>
    </xf>
    <xf numFmtId="10" fontId="17" fillId="0" borderId="0" xfId="4" applyNumberFormat="1" applyFont="1"/>
    <xf numFmtId="9" fontId="11" fillId="0" borderId="0" xfId="4" applyNumberFormat="1" applyFont="1" applyAlignment="1">
      <alignment horizontal="center"/>
    </xf>
    <xf numFmtId="1" fontId="11" fillId="0" borderId="0" xfId="4" applyNumberFormat="1" applyFont="1" applyAlignment="1">
      <alignment horizontal="center"/>
    </xf>
    <xf numFmtId="9" fontId="17" fillId="0" borderId="0" xfId="4" applyNumberFormat="1" applyFont="1"/>
    <xf numFmtId="170" fontId="11" fillId="0" borderId="0" xfId="4" applyNumberFormat="1" applyFont="1" applyAlignment="1">
      <alignment horizontal="center"/>
    </xf>
    <xf numFmtId="1" fontId="11" fillId="0" borderId="0" xfId="4" applyNumberFormat="1" applyFont="1" applyAlignment="1">
      <alignment horizontal="left"/>
    </xf>
    <xf numFmtId="170" fontId="15" fillId="0" borderId="0" xfId="4" applyNumberFormat="1" applyFont="1"/>
    <xf numFmtId="170" fontId="10" fillId="2" borderId="0" xfId="4" applyNumberFormat="1" applyFont="1" applyFill="1"/>
    <xf numFmtId="2" fontId="10" fillId="0" borderId="0" xfId="4" applyNumberFormat="1" applyFont="1"/>
    <xf numFmtId="170" fontId="17" fillId="0" borderId="0" xfId="4" applyNumberFormat="1" applyFont="1"/>
    <xf numFmtId="0" fontId="10" fillId="8" borderId="0" xfId="4" applyFont="1" applyFill="1"/>
    <xf numFmtId="0" fontId="15" fillId="8" borderId="0" xfId="4" applyFont="1" applyFill="1"/>
    <xf numFmtId="9" fontId="10" fillId="8" borderId="0" xfId="4" applyNumberFormat="1" applyFont="1" applyFill="1"/>
    <xf numFmtId="169" fontId="0" fillId="2" borderId="0" xfId="0" applyNumberFormat="1" applyFill="1"/>
    <xf numFmtId="169" fontId="0" fillId="0" borderId="0" xfId="0" applyNumberFormat="1"/>
    <xf numFmtId="171" fontId="0" fillId="0" borderId="0" xfId="0" applyNumberFormat="1"/>
    <xf numFmtId="3" fontId="0" fillId="0" borderId="0" xfId="0" applyNumberFormat="1"/>
    <xf numFmtId="169" fontId="0" fillId="0" borderId="17" xfId="0" applyNumberFormat="1" applyBorder="1" applyAlignment="1">
      <alignment horizontal="center"/>
    </xf>
    <xf numFmtId="169" fontId="0" fillId="0" borderId="18" xfId="0" applyNumberFormat="1" applyBorder="1" applyAlignment="1">
      <alignment horizontal="center"/>
    </xf>
    <xf numFmtId="3" fontId="0" fillId="0" borderId="17" xfId="0" applyNumberFormat="1" applyBorder="1" applyAlignment="1">
      <alignment horizontal="center"/>
    </xf>
    <xf numFmtId="3" fontId="0" fillId="0" borderId="19" xfId="0" applyNumberFormat="1"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left"/>
    </xf>
    <xf numFmtId="169" fontId="0" fillId="0" borderId="22" xfId="0" applyNumberFormat="1" applyBorder="1" applyAlignment="1">
      <alignment horizontal="center"/>
    </xf>
    <xf numFmtId="169" fontId="0" fillId="0" borderId="9" xfId="0" applyNumberFormat="1" applyBorder="1" applyAlignment="1">
      <alignment horizontal="center"/>
    </xf>
    <xf numFmtId="3" fontId="0" fillId="0" borderId="22" xfId="0" applyNumberFormat="1" applyBorder="1" applyAlignment="1">
      <alignment horizontal="center"/>
    </xf>
    <xf numFmtId="3" fontId="0" fillId="0" borderId="23" xfId="0" applyNumberFormat="1"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0" fontId="0" fillId="0" borderId="24" xfId="0" applyBorder="1" applyAlignment="1">
      <alignment horizontal="left"/>
    </xf>
    <xf numFmtId="169" fontId="0" fillId="0" borderId="25" xfId="0" applyNumberFormat="1" applyBorder="1" applyAlignment="1">
      <alignment horizontal="center"/>
    </xf>
    <xf numFmtId="169" fontId="0" fillId="0" borderId="26" xfId="0" applyNumberFormat="1" applyBorder="1" applyAlignment="1">
      <alignment horizontal="center"/>
    </xf>
    <xf numFmtId="3" fontId="0" fillId="0" borderId="25" xfId="0" applyNumberFormat="1" applyBorder="1" applyAlignment="1">
      <alignment horizontal="center"/>
    </xf>
    <xf numFmtId="3" fontId="0" fillId="0" borderId="27" xfId="0" applyNumberFormat="1"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0" fontId="0" fillId="0" borderId="29" xfId="0" applyBorder="1" applyAlignment="1">
      <alignment horizontal="left"/>
    </xf>
    <xf numFmtId="0" fontId="0" fillId="0" borderId="0" xfId="0" applyAlignment="1">
      <alignment horizontal="center" wrapText="1"/>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0" xfId="0" applyFont="1" applyBorder="1" applyAlignment="1">
      <alignment horizontal="center" wrapText="1"/>
    </xf>
    <xf numFmtId="0" fontId="3" fillId="0" borderId="33" xfId="0" applyFont="1" applyBorder="1" applyAlignment="1">
      <alignment horizontal="center" wrapText="1"/>
    </xf>
    <xf numFmtId="0" fontId="3" fillId="0" borderId="32" xfId="0" applyFont="1" applyBorder="1" applyAlignment="1">
      <alignment horizontal="center" wrapText="1"/>
    </xf>
    <xf numFmtId="0" fontId="3" fillId="0" borderId="34" xfId="0" applyFont="1" applyBorder="1" applyAlignment="1">
      <alignment horizontal="left"/>
    </xf>
    <xf numFmtId="0" fontId="3" fillId="0" borderId="5" xfId="0" applyFont="1" applyBorder="1" applyAlignment="1">
      <alignment horizontal="centerContinuous"/>
    </xf>
    <xf numFmtId="0" fontId="3" fillId="0" borderId="13" xfId="0" applyFont="1" applyBorder="1" applyAlignment="1">
      <alignment horizontal="centerContinuous"/>
    </xf>
    <xf numFmtId="0" fontId="3" fillId="0" borderId="3" xfId="0" applyFont="1" applyBorder="1" applyAlignment="1">
      <alignment horizontal="centerContinuous"/>
    </xf>
    <xf numFmtId="0" fontId="3" fillId="0" borderId="4" xfId="0" applyFont="1" applyBorder="1" applyAlignment="1">
      <alignment horizontal="centerContinuous"/>
    </xf>
    <xf numFmtId="0" fontId="3" fillId="0" borderId="15" xfId="0" applyFont="1" applyBorder="1" applyAlignment="1">
      <alignment horizontal="left"/>
    </xf>
    <xf numFmtId="0" fontId="18" fillId="0" borderId="0" xfId="0" applyFont="1" applyAlignment="1">
      <alignment horizontal="left" vertical="center"/>
    </xf>
    <xf numFmtId="0" fontId="19" fillId="0" borderId="0" xfId="0" applyFont="1" applyAlignment="1">
      <alignment horizontal="left" vertical="center"/>
    </xf>
  </cellXfs>
  <cellStyles count="5">
    <cellStyle name="Comma" xfId="1" builtinId="3"/>
    <cellStyle name="Currency" xfId="2" builtinId="4"/>
    <cellStyle name="Normal" xfId="0" builtinId="0"/>
    <cellStyle name="Normal 3" xfId="4" xr:uid="{7C489A14-ACD8-4AE9-B68E-1A169150350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4555-1395-4A0E-BE68-38B35CB8FCBC}">
  <dimension ref="B2:J12"/>
  <sheetViews>
    <sheetView workbookViewId="0"/>
  </sheetViews>
  <sheetFormatPr defaultColWidth="11.6640625" defaultRowHeight="14.4" x14ac:dyDescent="0.3"/>
  <cols>
    <col min="1" max="1" width="5.6640625" customWidth="1"/>
    <col min="2" max="2" width="17.6640625" style="1" bestFit="1" customWidth="1"/>
    <col min="3" max="5" width="11.6640625" customWidth="1"/>
    <col min="6" max="6" width="5.33203125" customWidth="1"/>
    <col min="9" max="9" width="11.6640625" customWidth="1"/>
  </cols>
  <sheetData>
    <row r="2" spans="2:10" ht="18.600000000000001" thickBot="1" x14ac:dyDescent="0.4">
      <c r="B2" s="5" t="s">
        <v>49</v>
      </c>
      <c r="G2" s="5" t="s">
        <v>50</v>
      </c>
    </row>
    <row r="3" spans="2:10" ht="29.4" thickBot="1" x14ac:dyDescent="0.35">
      <c r="B3" s="13" t="s">
        <v>1</v>
      </c>
      <c r="C3" s="9" t="s">
        <v>5</v>
      </c>
      <c r="D3" s="9" t="s">
        <v>12</v>
      </c>
      <c r="E3" s="10" t="s">
        <v>13</v>
      </c>
      <c r="G3" s="13" t="s">
        <v>1</v>
      </c>
      <c r="H3" s="9" t="s">
        <v>5</v>
      </c>
      <c r="I3" s="9" t="s">
        <v>12</v>
      </c>
      <c r="J3" s="10" t="s">
        <v>13</v>
      </c>
    </row>
    <row r="4" spans="2:10" x14ac:dyDescent="0.3">
      <c r="B4" s="6" t="s">
        <v>4</v>
      </c>
      <c r="C4" s="7">
        <v>560.16999999999996</v>
      </c>
      <c r="D4" s="7">
        <v>1176.3599999999999</v>
      </c>
      <c r="E4" s="7">
        <v>1568.48</v>
      </c>
      <c r="G4" s="6" t="s">
        <v>4</v>
      </c>
      <c r="H4" s="7">
        <v>599.38</v>
      </c>
      <c r="I4" s="7">
        <v>1258.71</v>
      </c>
      <c r="J4" s="7">
        <v>1678.27</v>
      </c>
    </row>
    <row r="5" spans="2:10" x14ac:dyDescent="0.3">
      <c r="B5" s="4" t="s">
        <v>0</v>
      </c>
      <c r="C5" s="11">
        <v>667.76</v>
      </c>
      <c r="D5" s="11">
        <v>1402.3</v>
      </c>
      <c r="E5" s="11">
        <v>1869.73</v>
      </c>
      <c r="G5" s="4" t="s">
        <v>0</v>
      </c>
      <c r="H5" s="11">
        <v>704.49</v>
      </c>
      <c r="I5" s="11">
        <v>1479.43</v>
      </c>
      <c r="J5" s="11">
        <v>1972.57</v>
      </c>
    </row>
    <row r="8" spans="2:10" ht="18.600000000000001" thickBot="1" x14ac:dyDescent="0.4">
      <c r="B8" s="5" t="s">
        <v>14</v>
      </c>
    </row>
    <row r="9" spans="2:10" ht="29.4" thickBot="1" x14ac:dyDescent="0.35">
      <c r="B9" s="17" t="s">
        <v>15</v>
      </c>
      <c r="C9" s="9" t="s">
        <v>5</v>
      </c>
      <c r="D9" s="9" t="s">
        <v>12</v>
      </c>
      <c r="E9" s="10" t="s">
        <v>13</v>
      </c>
    </row>
    <row r="10" spans="2:10" x14ac:dyDescent="0.3">
      <c r="B10" s="6" t="s">
        <v>8</v>
      </c>
      <c r="C10" s="16">
        <v>0.8</v>
      </c>
      <c r="D10" s="16">
        <v>0.8</v>
      </c>
      <c r="E10" s="16">
        <v>0.8</v>
      </c>
    </row>
    <row r="11" spans="2:10" x14ac:dyDescent="0.3">
      <c r="B11" s="15" t="s">
        <v>9</v>
      </c>
      <c r="C11" s="14">
        <v>0.8</v>
      </c>
      <c r="D11" s="14">
        <v>0.75</v>
      </c>
      <c r="E11" s="14">
        <v>0.75</v>
      </c>
    </row>
    <row r="12" spans="2:10" x14ac:dyDescent="0.3">
      <c r="B12" s="4" t="s">
        <v>10</v>
      </c>
      <c r="C12" s="14">
        <v>0.75</v>
      </c>
      <c r="D12" s="14">
        <v>0.65</v>
      </c>
      <c r="E12" s="14">
        <v>0.65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4F77-076D-45A2-94A0-1E242E55DBF1}">
  <dimension ref="A2:G25"/>
  <sheetViews>
    <sheetView workbookViewId="0"/>
  </sheetViews>
  <sheetFormatPr defaultRowHeight="14.4" x14ac:dyDescent="0.3"/>
  <cols>
    <col min="2" max="2" width="7.88671875" style="2" customWidth="1"/>
    <col min="3" max="3" width="23.109375" style="1" customWidth="1"/>
    <col min="4" max="4" width="22.6640625" style="1" bestFit="1" customWidth="1"/>
    <col min="5" max="5" width="10.6640625" style="2" bestFit="1" customWidth="1"/>
    <col min="6" max="6" width="12.6640625" customWidth="1"/>
    <col min="7" max="7" width="9.33203125" bestFit="1" customWidth="1"/>
  </cols>
  <sheetData>
    <row r="2" spans="1:7" ht="18" x14ac:dyDescent="0.35">
      <c r="B2" s="12" t="s">
        <v>52</v>
      </c>
    </row>
    <row r="3" spans="1:7" ht="15" thickBot="1" x14ac:dyDescent="0.35"/>
    <row r="4" spans="1:7" ht="58.2" thickBot="1" x14ac:dyDescent="0.35">
      <c r="A4" t="s">
        <v>23</v>
      </c>
      <c r="B4" s="8" t="s">
        <v>1</v>
      </c>
      <c r="C4" s="18" t="s">
        <v>2</v>
      </c>
      <c r="D4" s="18" t="s">
        <v>3</v>
      </c>
      <c r="E4" s="19" t="s">
        <v>11</v>
      </c>
      <c r="F4" s="20" t="s">
        <v>51</v>
      </c>
    </row>
    <row r="5" spans="1:7" x14ac:dyDescent="0.3">
      <c r="B5" s="2" t="s">
        <v>0</v>
      </c>
      <c r="C5" s="1" t="s">
        <v>5</v>
      </c>
      <c r="D5" s="1" t="s">
        <v>8</v>
      </c>
      <c r="E5" s="2">
        <v>1</v>
      </c>
      <c r="F5" s="21">
        <v>53000</v>
      </c>
    </row>
    <row r="6" spans="1:7" x14ac:dyDescent="0.3">
      <c r="B6" s="2" t="s">
        <v>0</v>
      </c>
      <c r="C6" s="1" t="s">
        <v>5</v>
      </c>
      <c r="D6" s="3" t="s">
        <v>9</v>
      </c>
      <c r="E6" s="2">
        <v>2</v>
      </c>
      <c r="F6" s="22">
        <v>75000</v>
      </c>
      <c r="G6" s="23"/>
    </row>
    <row r="7" spans="1:7" x14ac:dyDescent="0.3">
      <c r="B7" s="2" t="s">
        <v>0</v>
      </c>
      <c r="C7" s="1" t="s">
        <v>5</v>
      </c>
      <c r="D7" s="1" t="s">
        <v>10</v>
      </c>
      <c r="E7" s="2">
        <v>2</v>
      </c>
      <c r="F7" s="22">
        <v>115000</v>
      </c>
      <c r="G7" s="23"/>
    </row>
    <row r="8" spans="1:7" x14ac:dyDescent="0.3">
      <c r="B8" s="2" t="s">
        <v>0</v>
      </c>
      <c r="C8" s="1" t="s">
        <v>6</v>
      </c>
      <c r="D8" s="1" t="s">
        <v>8</v>
      </c>
      <c r="E8" s="2">
        <v>2</v>
      </c>
      <c r="F8" s="22">
        <f>F5</f>
        <v>53000</v>
      </c>
    </row>
    <row r="9" spans="1:7" x14ac:dyDescent="0.3">
      <c r="B9" s="2" t="s">
        <v>0</v>
      </c>
      <c r="C9" s="1" t="s">
        <v>6</v>
      </c>
      <c r="D9" s="3" t="s">
        <v>9</v>
      </c>
      <c r="E9" s="2">
        <v>3</v>
      </c>
      <c r="F9" s="22">
        <f>F6</f>
        <v>75000</v>
      </c>
    </row>
    <row r="10" spans="1:7" x14ac:dyDescent="0.3">
      <c r="B10" s="2" t="s">
        <v>0</v>
      </c>
      <c r="C10" s="1" t="s">
        <v>6</v>
      </c>
      <c r="D10" s="1" t="s">
        <v>10</v>
      </c>
      <c r="E10" s="2">
        <v>2</v>
      </c>
      <c r="F10" s="22">
        <f t="shared" ref="F10:F22" si="0">F7</f>
        <v>115000</v>
      </c>
    </row>
    <row r="11" spans="1:7" x14ac:dyDescent="0.3">
      <c r="B11" s="2" t="s">
        <v>0</v>
      </c>
      <c r="C11" s="1" t="s">
        <v>7</v>
      </c>
      <c r="D11" s="1" t="s">
        <v>8</v>
      </c>
      <c r="E11" s="2">
        <v>1</v>
      </c>
      <c r="F11" s="22">
        <f t="shared" si="0"/>
        <v>53000</v>
      </c>
    </row>
    <row r="12" spans="1:7" x14ac:dyDescent="0.3">
      <c r="B12" s="2" t="s">
        <v>0</v>
      </c>
      <c r="C12" s="1" t="s">
        <v>7</v>
      </c>
      <c r="D12" s="3" t="s">
        <v>9</v>
      </c>
      <c r="E12" s="2">
        <v>2</v>
      </c>
      <c r="F12" s="22">
        <f t="shared" si="0"/>
        <v>75000</v>
      </c>
    </row>
    <row r="13" spans="1:7" x14ac:dyDescent="0.3">
      <c r="B13" s="2" t="s">
        <v>0</v>
      </c>
      <c r="C13" s="1" t="s">
        <v>7</v>
      </c>
      <c r="D13" s="1" t="s">
        <v>10</v>
      </c>
      <c r="E13" s="2">
        <v>2</v>
      </c>
      <c r="F13" s="22">
        <f t="shared" si="0"/>
        <v>115000</v>
      </c>
    </row>
    <row r="14" spans="1:7" x14ac:dyDescent="0.3">
      <c r="B14" s="2" t="s">
        <v>4</v>
      </c>
      <c r="C14" s="1" t="s">
        <v>5</v>
      </c>
      <c r="D14" s="1" t="s">
        <v>8</v>
      </c>
      <c r="E14" s="2">
        <v>6</v>
      </c>
      <c r="F14" s="22">
        <f t="shared" si="0"/>
        <v>53000</v>
      </c>
    </row>
    <row r="15" spans="1:7" x14ac:dyDescent="0.3">
      <c r="B15" s="2" t="s">
        <v>4</v>
      </c>
      <c r="C15" s="1" t="s">
        <v>5</v>
      </c>
      <c r="D15" s="3" t="s">
        <v>9</v>
      </c>
      <c r="E15" s="2">
        <v>8</v>
      </c>
      <c r="F15" s="22">
        <f t="shared" si="0"/>
        <v>75000</v>
      </c>
    </row>
    <row r="16" spans="1:7" x14ac:dyDescent="0.3">
      <c r="B16" s="2" t="s">
        <v>4</v>
      </c>
      <c r="C16" s="1" t="s">
        <v>5</v>
      </c>
      <c r="D16" s="1" t="s">
        <v>10</v>
      </c>
      <c r="E16" s="2">
        <v>2</v>
      </c>
      <c r="F16" s="22">
        <f t="shared" si="0"/>
        <v>115000</v>
      </c>
    </row>
    <row r="17" spans="2:6" x14ac:dyDescent="0.3">
      <c r="B17" s="2" t="s">
        <v>4</v>
      </c>
      <c r="C17" s="1" t="s">
        <v>6</v>
      </c>
      <c r="D17" s="1" t="s">
        <v>8</v>
      </c>
      <c r="E17" s="2">
        <v>3</v>
      </c>
      <c r="F17" s="22">
        <f t="shared" si="0"/>
        <v>53000</v>
      </c>
    </row>
    <row r="18" spans="2:6" x14ac:dyDescent="0.3">
      <c r="B18" s="2" t="s">
        <v>4</v>
      </c>
      <c r="C18" s="1" t="s">
        <v>6</v>
      </c>
      <c r="D18" s="3" t="s">
        <v>9</v>
      </c>
      <c r="E18" s="2">
        <v>1</v>
      </c>
      <c r="F18" s="22">
        <f t="shared" si="0"/>
        <v>75000</v>
      </c>
    </row>
    <row r="19" spans="2:6" x14ac:dyDescent="0.3">
      <c r="B19" s="2" t="s">
        <v>4</v>
      </c>
      <c r="C19" s="1" t="s">
        <v>6</v>
      </c>
      <c r="D19" s="1" t="s">
        <v>10</v>
      </c>
      <c r="E19" s="2">
        <v>1</v>
      </c>
      <c r="F19" s="22">
        <f t="shared" si="0"/>
        <v>115000</v>
      </c>
    </row>
    <row r="20" spans="2:6" x14ac:dyDescent="0.3">
      <c r="B20" s="2" t="s">
        <v>4</v>
      </c>
      <c r="C20" s="1" t="s">
        <v>7</v>
      </c>
      <c r="D20" s="1" t="s">
        <v>8</v>
      </c>
      <c r="E20" s="2">
        <v>2</v>
      </c>
      <c r="F20" s="22">
        <f t="shared" si="0"/>
        <v>53000</v>
      </c>
    </row>
    <row r="21" spans="2:6" x14ac:dyDescent="0.3">
      <c r="B21" s="2" t="s">
        <v>4</v>
      </c>
      <c r="C21" s="1" t="s">
        <v>7</v>
      </c>
      <c r="D21" s="3" t="s">
        <v>9</v>
      </c>
      <c r="E21" s="2">
        <v>3</v>
      </c>
      <c r="F21" s="22">
        <f t="shared" si="0"/>
        <v>75000</v>
      </c>
    </row>
    <row r="22" spans="2:6" x14ac:dyDescent="0.3">
      <c r="B22" s="2" t="s">
        <v>4</v>
      </c>
      <c r="C22" s="1" t="s">
        <v>7</v>
      </c>
      <c r="D22" s="1" t="s">
        <v>10</v>
      </c>
      <c r="E22" s="2">
        <v>2</v>
      </c>
      <c r="F22" s="22">
        <f t="shared" si="0"/>
        <v>115000</v>
      </c>
    </row>
    <row r="25" spans="2:6" x14ac:dyDescent="0.3">
      <c r="D25" s="3"/>
    </row>
  </sheetData>
  <sortState xmlns:xlrd2="http://schemas.microsoft.com/office/spreadsheetml/2017/richdata2" ref="B5:E22">
    <sortCondition ref="B5:B22"/>
  </sortState>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C231-0E92-490D-8960-A2A0F3EDBBD8}">
  <dimension ref="B3:I29"/>
  <sheetViews>
    <sheetView showGridLines="0" workbookViewId="0">
      <selection activeCell="B2" sqref="B2"/>
    </sheetView>
  </sheetViews>
  <sheetFormatPr defaultColWidth="9.109375" defaultRowHeight="14.4" x14ac:dyDescent="0.3"/>
  <cols>
    <col min="1" max="1" width="9.109375" style="27"/>
    <col min="2" max="2" width="7.88671875" style="26" customWidth="1"/>
    <col min="3" max="3" width="23.109375" style="25" customWidth="1"/>
    <col min="4" max="4" width="22.6640625" style="25" bestFit="1" customWidth="1"/>
    <col min="5" max="5" width="10.88671875" style="26" bestFit="1" customWidth="1"/>
    <col min="6" max="6" width="11.6640625" style="27" customWidth="1"/>
    <col min="7" max="7" width="12.6640625" style="26" customWidth="1"/>
    <col min="8" max="8" width="14.33203125" style="27" bestFit="1" customWidth="1"/>
    <col min="9" max="9" width="11.6640625" style="27" customWidth="1"/>
    <col min="10" max="10" width="9.33203125" style="27" bestFit="1" customWidth="1"/>
    <col min="11" max="16384" width="9.109375" style="27"/>
  </cols>
  <sheetData>
    <row r="3" spans="2:9" x14ac:dyDescent="0.3">
      <c r="E3" s="26" t="s">
        <v>17</v>
      </c>
      <c r="F3" s="26" t="s">
        <v>17</v>
      </c>
      <c r="G3" s="26" t="s">
        <v>17</v>
      </c>
    </row>
    <row r="4" spans="2:9" s="31" customFormat="1" ht="19.5" customHeight="1" x14ac:dyDescent="0.35">
      <c r="B4" s="24" t="s">
        <v>42</v>
      </c>
      <c r="C4" s="99"/>
      <c r="D4" s="99"/>
      <c r="E4" s="100" t="s">
        <v>38</v>
      </c>
      <c r="F4" s="100" t="s">
        <v>39</v>
      </c>
      <c r="G4" s="100" t="s">
        <v>40</v>
      </c>
      <c r="H4" s="101" t="s">
        <v>46</v>
      </c>
    </row>
    <row r="5" spans="2:9" s="31" customFormat="1" ht="19.5" customHeight="1" thickBot="1" x14ac:dyDescent="0.35">
      <c r="B5" s="98"/>
      <c r="C5" s="99"/>
      <c r="D5" s="99"/>
      <c r="E5" s="101"/>
      <c r="F5" s="101"/>
      <c r="G5" s="101"/>
      <c r="H5" s="109" t="s">
        <v>41</v>
      </c>
      <c r="I5" s="110" t="s">
        <v>47</v>
      </c>
    </row>
    <row r="6" spans="2:9" s="31" customFormat="1" ht="43.8" thickBot="1" x14ac:dyDescent="0.35">
      <c r="B6" s="28" t="s">
        <v>1</v>
      </c>
      <c r="C6" s="29" t="s">
        <v>2</v>
      </c>
      <c r="D6" s="29" t="s">
        <v>3</v>
      </c>
      <c r="E6" s="30" t="s">
        <v>11</v>
      </c>
      <c r="F6" s="111" t="s">
        <v>48</v>
      </c>
      <c r="G6" s="111" t="s">
        <v>16</v>
      </c>
      <c r="H6" s="112" t="s">
        <v>43</v>
      </c>
      <c r="I6" s="113" t="s">
        <v>27</v>
      </c>
    </row>
    <row r="7" spans="2:9" x14ac:dyDescent="0.3">
      <c r="B7" s="26" t="s">
        <v>0</v>
      </c>
      <c r="C7" s="25" t="s">
        <v>5</v>
      </c>
      <c r="D7" s="25" t="s">
        <v>8</v>
      </c>
      <c r="E7" s="26">
        <f>Census!E5</f>
        <v>1</v>
      </c>
      <c r="F7" s="32">
        <f>Rates!C5</f>
        <v>667.76</v>
      </c>
      <c r="G7" s="33">
        <f>Rates!C10</f>
        <v>0.8</v>
      </c>
      <c r="H7" s="32">
        <f>PRODUCT(E7:G7)</f>
        <v>534.20799999999997</v>
      </c>
      <c r="I7" s="102">
        <f>F7-H7/E7</f>
        <v>133.55200000000002</v>
      </c>
    </row>
    <row r="8" spans="2:9" x14ac:dyDescent="0.3">
      <c r="B8" s="26" t="s">
        <v>0</v>
      </c>
      <c r="C8" s="25" t="s">
        <v>5</v>
      </c>
      <c r="D8" s="36" t="s">
        <v>9</v>
      </c>
      <c r="E8" s="26">
        <f>Census!E6</f>
        <v>2</v>
      </c>
      <c r="F8" s="34">
        <f>F7</f>
        <v>667.76</v>
      </c>
      <c r="G8" s="33">
        <f>Rates!C11</f>
        <v>0.8</v>
      </c>
      <c r="H8" s="34">
        <f t="shared" ref="H8:H24" si="0">PRODUCT(E8:G8)</f>
        <v>1068.4159999999999</v>
      </c>
      <c r="I8" s="103">
        <f t="shared" ref="I8:I24" si="1">F8-H8/E8</f>
        <v>133.55200000000002</v>
      </c>
    </row>
    <row r="9" spans="2:9" x14ac:dyDescent="0.3">
      <c r="B9" s="37" t="s">
        <v>0</v>
      </c>
      <c r="C9" s="38" t="s">
        <v>5</v>
      </c>
      <c r="D9" s="38" t="s">
        <v>10</v>
      </c>
      <c r="E9" s="37">
        <f>Census!E7</f>
        <v>2</v>
      </c>
      <c r="F9" s="39">
        <f>F8</f>
        <v>667.76</v>
      </c>
      <c r="G9" s="40">
        <f>Rates!C12</f>
        <v>0.75</v>
      </c>
      <c r="H9" s="39">
        <f t="shared" si="0"/>
        <v>1001.64</v>
      </c>
      <c r="I9" s="104">
        <f t="shared" si="1"/>
        <v>166.94</v>
      </c>
    </row>
    <row r="10" spans="2:9" x14ac:dyDescent="0.3">
      <c r="B10" s="26" t="s">
        <v>0</v>
      </c>
      <c r="C10" s="25" t="s">
        <v>6</v>
      </c>
      <c r="D10" s="25" t="s">
        <v>8</v>
      </c>
      <c r="E10" s="26">
        <f>Census!E8</f>
        <v>2</v>
      </c>
      <c r="F10" s="34">
        <f>Rates!D5</f>
        <v>1402.3</v>
      </c>
      <c r="G10" s="33">
        <f>Rates!D10</f>
        <v>0.8</v>
      </c>
      <c r="H10" s="34">
        <f t="shared" si="0"/>
        <v>2243.6799999999998</v>
      </c>
      <c r="I10" s="103">
        <f t="shared" si="1"/>
        <v>280.46000000000004</v>
      </c>
    </row>
    <row r="11" spans="2:9" x14ac:dyDescent="0.3">
      <c r="B11" s="26" t="s">
        <v>0</v>
      </c>
      <c r="C11" s="25" t="s">
        <v>6</v>
      </c>
      <c r="D11" s="36" t="s">
        <v>9</v>
      </c>
      <c r="E11" s="26">
        <f>Census!E9</f>
        <v>3</v>
      </c>
      <c r="F11" s="34">
        <f>F10</f>
        <v>1402.3</v>
      </c>
      <c r="G11" s="33">
        <f>Rates!D11</f>
        <v>0.75</v>
      </c>
      <c r="H11" s="34">
        <f t="shared" si="0"/>
        <v>3155.1749999999997</v>
      </c>
      <c r="I11" s="103">
        <f t="shared" si="1"/>
        <v>350.57500000000005</v>
      </c>
    </row>
    <row r="12" spans="2:9" x14ac:dyDescent="0.3">
      <c r="B12" s="37" t="s">
        <v>0</v>
      </c>
      <c r="C12" s="38" t="s">
        <v>6</v>
      </c>
      <c r="D12" s="38" t="s">
        <v>10</v>
      </c>
      <c r="E12" s="37">
        <f>Census!E10</f>
        <v>2</v>
      </c>
      <c r="F12" s="39">
        <f>F11</f>
        <v>1402.3</v>
      </c>
      <c r="G12" s="40">
        <f>Rates!D12</f>
        <v>0.65</v>
      </c>
      <c r="H12" s="39">
        <f t="shared" si="0"/>
        <v>1822.99</v>
      </c>
      <c r="I12" s="104">
        <f t="shared" si="1"/>
        <v>490.80499999999995</v>
      </c>
    </row>
    <row r="13" spans="2:9" x14ac:dyDescent="0.3">
      <c r="B13" s="26" t="s">
        <v>0</v>
      </c>
      <c r="C13" s="25" t="s">
        <v>7</v>
      </c>
      <c r="D13" s="25" t="s">
        <v>8</v>
      </c>
      <c r="E13" s="26">
        <f>Census!E11</f>
        <v>1</v>
      </c>
      <c r="F13" s="34">
        <f>Rates!E5</f>
        <v>1869.73</v>
      </c>
      <c r="G13" s="33">
        <f>Rates!E10</f>
        <v>0.8</v>
      </c>
      <c r="H13" s="34">
        <f t="shared" si="0"/>
        <v>1495.7840000000001</v>
      </c>
      <c r="I13" s="103">
        <f t="shared" si="1"/>
        <v>373.94599999999991</v>
      </c>
    </row>
    <row r="14" spans="2:9" x14ac:dyDescent="0.3">
      <c r="B14" s="26" t="s">
        <v>0</v>
      </c>
      <c r="C14" s="25" t="s">
        <v>7</v>
      </c>
      <c r="D14" s="36" t="s">
        <v>9</v>
      </c>
      <c r="E14" s="26">
        <f>Census!E12</f>
        <v>2</v>
      </c>
      <c r="F14" s="34">
        <f>F13</f>
        <v>1869.73</v>
      </c>
      <c r="G14" s="33">
        <f>Rates!E11</f>
        <v>0.75</v>
      </c>
      <c r="H14" s="34">
        <f t="shared" si="0"/>
        <v>2804.5950000000003</v>
      </c>
      <c r="I14" s="103">
        <f t="shared" si="1"/>
        <v>467.43249999999989</v>
      </c>
    </row>
    <row r="15" spans="2:9" ht="15" thickBot="1" x14ac:dyDescent="0.35">
      <c r="B15" s="42" t="s">
        <v>0</v>
      </c>
      <c r="C15" s="43" t="s">
        <v>7</v>
      </c>
      <c r="D15" s="43" t="s">
        <v>10</v>
      </c>
      <c r="E15" s="42">
        <f>Census!E13</f>
        <v>2</v>
      </c>
      <c r="F15" s="44">
        <f>F14</f>
        <v>1869.73</v>
      </c>
      <c r="G15" s="45">
        <f>Rates!E12</f>
        <v>0.65</v>
      </c>
      <c r="H15" s="44">
        <f t="shared" si="0"/>
        <v>2430.6489999999999</v>
      </c>
      <c r="I15" s="105">
        <f t="shared" si="1"/>
        <v>654.40550000000007</v>
      </c>
    </row>
    <row r="16" spans="2:9" x14ac:dyDescent="0.3">
      <c r="B16" s="26" t="s">
        <v>4</v>
      </c>
      <c r="C16" s="25" t="s">
        <v>5</v>
      </c>
      <c r="D16" s="25" t="s">
        <v>8</v>
      </c>
      <c r="E16" s="26">
        <f>Census!E14</f>
        <v>6</v>
      </c>
      <c r="F16" s="32">
        <f>Rates!C4</f>
        <v>560.16999999999996</v>
      </c>
      <c r="G16" s="33">
        <f>G7</f>
        <v>0.8</v>
      </c>
      <c r="H16" s="32">
        <f t="shared" si="0"/>
        <v>2688.8159999999998</v>
      </c>
      <c r="I16" s="102">
        <f t="shared" si="1"/>
        <v>112.03399999999999</v>
      </c>
    </row>
    <row r="17" spans="2:9" x14ac:dyDescent="0.3">
      <c r="B17" s="26" t="s">
        <v>4</v>
      </c>
      <c r="C17" s="25" t="s">
        <v>5</v>
      </c>
      <c r="D17" s="36" t="s">
        <v>9</v>
      </c>
      <c r="E17" s="26">
        <f>Census!E15</f>
        <v>8</v>
      </c>
      <c r="F17" s="34">
        <f>F16</f>
        <v>560.16999999999996</v>
      </c>
      <c r="G17" s="33">
        <f t="shared" ref="G17:G24" si="2">G8</f>
        <v>0.8</v>
      </c>
      <c r="H17" s="34">
        <f t="shared" si="0"/>
        <v>3585.0879999999997</v>
      </c>
      <c r="I17" s="103">
        <f t="shared" si="1"/>
        <v>112.03399999999999</v>
      </c>
    </row>
    <row r="18" spans="2:9" x14ac:dyDescent="0.3">
      <c r="B18" s="37" t="s">
        <v>4</v>
      </c>
      <c r="C18" s="38" t="s">
        <v>5</v>
      </c>
      <c r="D18" s="38" t="s">
        <v>10</v>
      </c>
      <c r="E18" s="37">
        <f>Census!E16</f>
        <v>2</v>
      </c>
      <c r="F18" s="39">
        <f>F17</f>
        <v>560.16999999999996</v>
      </c>
      <c r="G18" s="40">
        <f t="shared" si="2"/>
        <v>0.75</v>
      </c>
      <c r="H18" s="39">
        <f t="shared" si="0"/>
        <v>840.25499999999988</v>
      </c>
      <c r="I18" s="104">
        <f t="shared" si="1"/>
        <v>140.04250000000002</v>
      </c>
    </row>
    <row r="19" spans="2:9" x14ac:dyDescent="0.3">
      <c r="B19" s="26" t="s">
        <v>4</v>
      </c>
      <c r="C19" s="25" t="s">
        <v>6</v>
      </c>
      <c r="D19" s="25" t="s">
        <v>8</v>
      </c>
      <c r="E19" s="26">
        <f>Census!E17</f>
        <v>3</v>
      </c>
      <c r="F19" s="34">
        <f>Rates!D4</f>
        <v>1176.3599999999999</v>
      </c>
      <c r="G19" s="33">
        <f t="shared" si="2"/>
        <v>0.8</v>
      </c>
      <c r="H19" s="34">
        <f t="shared" si="0"/>
        <v>2823.2640000000001</v>
      </c>
      <c r="I19" s="103">
        <f t="shared" si="1"/>
        <v>235.27199999999982</v>
      </c>
    </row>
    <row r="20" spans="2:9" x14ac:dyDescent="0.3">
      <c r="B20" s="26" t="s">
        <v>4</v>
      </c>
      <c r="C20" s="25" t="s">
        <v>6</v>
      </c>
      <c r="D20" s="36" t="s">
        <v>9</v>
      </c>
      <c r="E20" s="26">
        <f>Census!E18</f>
        <v>1</v>
      </c>
      <c r="F20" s="34">
        <f>F19</f>
        <v>1176.3599999999999</v>
      </c>
      <c r="G20" s="33">
        <f t="shared" si="2"/>
        <v>0.75</v>
      </c>
      <c r="H20" s="34">
        <f t="shared" si="0"/>
        <v>882.27</v>
      </c>
      <c r="I20" s="103">
        <f t="shared" si="1"/>
        <v>294.08999999999992</v>
      </c>
    </row>
    <row r="21" spans="2:9" x14ac:dyDescent="0.3">
      <c r="B21" s="37" t="s">
        <v>4</v>
      </c>
      <c r="C21" s="38" t="s">
        <v>6</v>
      </c>
      <c r="D21" s="38" t="s">
        <v>10</v>
      </c>
      <c r="E21" s="37">
        <f>Census!E19</f>
        <v>1</v>
      </c>
      <c r="F21" s="39">
        <f>F20</f>
        <v>1176.3599999999999</v>
      </c>
      <c r="G21" s="40">
        <f t="shared" si="2"/>
        <v>0.65</v>
      </c>
      <c r="H21" s="39">
        <f t="shared" si="0"/>
        <v>764.63400000000001</v>
      </c>
      <c r="I21" s="104">
        <f t="shared" si="1"/>
        <v>411.72599999999989</v>
      </c>
    </row>
    <row r="22" spans="2:9" x14ac:dyDescent="0.3">
      <c r="B22" s="26" t="s">
        <v>4</v>
      </c>
      <c r="C22" s="25" t="s">
        <v>7</v>
      </c>
      <c r="D22" s="25" t="s">
        <v>8</v>
      </c>
      <c r="E22" s="26">
        <f>Census!E20</f>
        <v>2</v>
      </c>
      <c r="F22" s="34">
        <f>Rates!E4</f>
        <v>1568.48</v>
      </c>
      <c r="G22" s="33">
        <f t="shared" si="2"/>
        <v>0.8</v>
      </c>
      <c r="H22" s="34">
        <f t="shared" si="0"/>
        <v>2509.5680000000002</v>
      </c>
      <c r="I22" s="103">
        <f t="shared" si="1"/>
        <v>313.69599999999991</v>
      </c>
    </row>
    <row r="23" spans="2:9" x14ac:dyDescent="0.3">
      <c r="B23" s="26" t="s">
        <v>4</v>
      </c>
      <c r="C23" s="25" t="s">
        <v>7</v>
      </c>
      <c r="D23" s="36" t="s">
        <v>9</v>
      </c>
      <c r="E23" s="26">
        <f>Census!E21</f>
        <v>3</v>
      </c>
      <c r="F23" s="34">
        <f>F22</f>
        <v>1568.48</v>
      </c>
      <c r="G23" s="33">
        <f t="shared" si="2"/>
        <v>0.75</v>
      </c>
      <c r="H23" s="34">
        <f t="shared" si="0"/>
        <v>3529.0800000000004</v>
      </c>
      <c r="I23" s="103">
        <f t="shared" si="1"/>
        <v>392.11999999999989</v>
      </c>
    </row>
    <row r="24" spans="2:9" ht="15" thickBot="1" x14ac:dyDescent="0.35">
      <c r="B24" s="37" t="s">
        <v>4</v>
      </c>
      <c r="C24" s="38" t="s">
        <v>7</v>
      </c>
      <c r="D24" s="38" t="s">
        <v>10</v>
      </c>
      <c r="E24" s="37">
        <f>Census!E22</f>
        <v>2</v>
      </c>
      <c r="F24" s="39">
        <f>F23</f>
        <v>1568.48</v>
      </c>
      <c r="G24" s="40">
        <f t="shared" si="2"/>
        <v>0.65</v>
      </c>
      <c r="H24" s="47">
        <f t="shared" si="0"/>
        <v>2039.0240000000001</v>
      </c>
      <c r="I24" s="106">
        <f t="shared" si="1"/>
        <v>548.96799999999996</v>
      </c>
    </row>
    <row r="25" spans="2:9" ht="18.600000000000001" thickTop="1" x14ac:dyDescent="0.35">
      <c r="H25" s="108">
        <f>SUM(H7:H24)</f>
        <v>36219.135999999999</v>
      </c>
    </row>
    <row r="27" spans="2:9" ht="18" x14ac:dyDescent="0.35">
      <c r="B27" s="24"/>
      <c r="D27" s="36"/>
    </row>
    <row r="28" spans="2:9" x14ac:dyDescent="0.3">
      <c r="B28" s="107" t="s">
        <v>53</v>
      </c>
    </row>
    <row r="29" spans="2:9" x14ac:dyDescent="0.3">
      <c r="B29" s="92" t="s">
        <v>54</v>
      </c>
    </row>
  </sheetData>
  <pageMargins left="0.7" right="0.7" top="0.75" bottom="0.75" header="0.3" footer="0.3"/>
  <ignoredErrors>
    <ignoredError sqref="E4:H4" numberStoredAsText="1"/>
    <ignoredError sqref="F10:F2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FC19-059D-473C-8024-DBB93BE0FF37}">
  <dimension ref="B2:AE34"/>
  <sheetViews>
    <sheetView workbookViewId="0">
      <selection activeCell="E6" sqref="E6"/>
    </sheetView>
  </sheetViews>
  <sheetFormatPr defaultColWidth="9.109375" defaultRowHeight="14.4" x14ac:dyDescent="0.3"/>
  <cols>
    <col min="1" max="1" width="3.33203125" style="27" customWidth="1"/>
    <col min="2" max="2" width="7.88671875" style="26" customWidth="1"/>
    <col min="3" max="3" width="23.109375" style="25" customWidth="1"/>
    <col min="4" max="4" width="22.6640625" style="25" bestFit="1" customWidth="1"/>
    <col min="5" max="5" width="12" style="25" customWidth="1"/>
    <col min="6" max="6" width="5.6640625" style="26" customWidth="1"/>
    <col min="7" max="7" width="11.6640625" style="27" customWidth="1"/>
    <col min="8" max="8" width="12.6640625" style="26" customWidth="1"/>
    <col min="9" max="9" width="11.88671875" style="27" bestFit="1" customWidth="1"/>
    <col min="10" max="10" width="12" style="27" customWidth="1"/>
    <col min="11" max="11" width="3" style="27" customWidth="1"/>
    <col min="12" max="12" width="11.33203125" style="27" bestFit="1" customWidth="1"/>
    <col min="13" max="13" width="11.88671875" style="27" bestFit="1" customWidth="1"/>
    <col min="14" max="14" width="11.6640625" style="27" customWidth="1"/>
    <col min="15" max="15" width="12" style="27" customWidth="1"/>
    <col min="16" max="16" width="3" style="27" customWidth="1"/>
    <col min="17" max="17" width="10.109375" style="27" bestFit="1" customWidth="1"/>
    <col min="18" max="18" width="10.88671875" style="27" bestFit="1" customWidth="1"/>
    <col min="19" max="19" width="11.88671875" style="27" bestFit="1" customWidth="1"/>
    <col min="20" max="20" width="11.6640625" style="27" customWidth="1"/>
    <col min="21" max="21" width="12" style="27" customWidth="1"/>
    <col min="22" max="22" width="3" style="27" customWidth="1"/>
    <col min="23" max="23" width="9" style="27" bestFit="1" customWidth="1"/>
    <col min="24" max="24" width="12.109375" style="27" customWidth="1"/>
    <col min="25" max="25" width="12" style="27" customWidth="1"/>
    <col min="26" max="26" width="11.6640625" style="27" customWidth="1"/>
    <col min="27" max="27" width="3.6640625" style="27" customWidth="1"/>
    <col min="28" max="31" width="12" style="27" customWidth="1"/>
    <col min="32" max="16384" width="9.109375" style="27"/>
  </cols>
  <sheetData>
    <row r="2" spans="2:31" ht="18" x14ac:dyDescent="0.35">
      <c r="B2" s="24" t="s">
        <v>42</v>
      </c>
      <c r="G2" s="118" t="s">
        <v>19</v>
      </c>
      <c r="H2" s="119"/>
      <c r="I2" s="120"/>
      <c r="J2" s="49"/>
      <c r="L2" s="118" t="s">
        <v>20</v>
      </c>
      <c r="M2" s="119"/>
      <c r="N2" s="119"/>
      <c r="O2" s="120"/>
      <c r="Q2" s="118" t="s">
        <v>21</v>
      </c>
      <c r="R2" s="119"/>
      <c r="S2" s="119"/>
      <c r="T2" s="119"/>
      <c r="U2" s="120"/>
      <c r="W2" s="118" t="s">
        <v>29</v>
      </c>
      <c r="X2" s="119"/>
      <c r="Y2" s="119"/>
      <c r="Z2" s="120"/>
    </row>
    <row r="3" spans="2:31" ht="18" x14ac:dyDescent="0.35">
      <c r="B3" s="24"/>
      <c r="G3" s="49"/>
      <c r="H3" s="49"/>
      <c r="I3" s="49"/>
      <c r="J3" s="49"/>
      <c r="L3" s="49"/>
      <c r="M3" s="49"/>
      <c r="N3" s="49"/>
      <c r="O3" s="49"/>
      <c r="Q3" s="49"/>
      <c r="R3" s="49"/>
      <c r="S3" s="49"/>
      <c r="T3" s="49"/>
      <c r="U3" s="49"/>
      <c r="W3" s="49"/>
      <c r="X3" s="49"/>
      <c r="Y3" s="49"/>
      <c r="Z3" s="49"/>
    </row>
    <row r="4" spans="2:31" ht="15" thickBot="1" x14ac:dyDescent="0.35">
      <c r="F4" s="26" t="s">
        <v>17</v>
      </c>
      <c r="G4" s="26" t="s">
        <v>17</v>
      </c>
      <c r="H4" s="26" t="s">
        <v>17</v>
      </c>
    </row>
    <row r="5" spans="2:31" s="31" customFormat="1" ht="43.8" thickBot="1" x14ac:dyDescent="0.35">
      <c r="B5" s="50" t="s">
        <v>1</v>
      </c>
      <c r="C5" s="51" t="s">
        <v>2</v>
      </c>
      <c r="D5" s="51" t="s">
        <v>3</v>
      </c>
      <c r="E5" s="52" t="s">
        <v>27</v>
      </c>
      <c r="F5" s="53" t="s">
        <v>24</v>
      </c>
      <c r="G5" s="54" t="s">
        <v>44</v>
      </c>
      <c r="H5" s="54" t="s">
        <v>16</v>
      </c>
      <c r="I5" s="55" t="s">
        <v>45</v>
      </c>
      <c r="J5" s="52" t="s">
        <v>27</v>
      </c>
      <c r="K5" s="56"/>
      <c r="L5" s="54" t="s">
        <v>22</v>
      </c>
      <c r="M5" s="55" t="s">
        <v>45</v>
      </c>
      <c r="N5" s="57" t="s">
        <v>37</v>
      </c>
      <c r="O5" s="52" t="s">
        <v>27</v>
      </c>
      <c r="P5" s="56"/>
      <c r="Q5" s="54" t="s">
        <v>25</v>
      </c>
      <c r="R5" s="54" t="s">
        <v>18</v>
      </c>
      <c r="S5" s="55" t="s">
        <v>45</v>
      </c>
      <c r="T5" s="57" t="s">
        <v>37</v>
      </c>
      <c r="U5" s="52" t="s">
        <v>27</v>
      </c>
      <c r="V5" s="56"/>
      <c r="W5" s="54" t="s">
        <v>26</v>
      </c>
      <c r="X5" s="54" t="s">
        <v>30</v>
      </c>
      <c r="Y5" s="52" t="s">
        <v>27</v>
      </c>
      <c r="Z5" s="58" t="s">
        <v>45</v>
      </c>
      <c r="AA5" s="27"/>
      <c r="AB5" s="54" t="s">
        <v>44</v>
      </c>
      <c r="AC5" s="54" t="s">
        <v>16</v>
      </c>
      <c r="AD5" s="55" t="s">
        <v>43</v>
      </c>
      <c r="AE5" s="52" t="s">
        <v>27</v>
      </c>
    </row>
    <row r="6" spans="2:31" x14ac:dyDescent="0.3">
      <c r="B6" s="26" t="s">
        <v>0</v>
      </c>
      <c r="C6" s="25" t="s">
        <v>5</v>
      </c>
      <c r="D6" s="25" t="s">
        <v>8</v>
      </c>
      <c r="E6" s="35">
        <f>'Q2 Part a'!I7</f>
        <v>133.55200000000002</v>
      </c>
      <c r="F6" s="26">
        <f>Census!E5</f>
        <v>1</v>
      </c>
      <c r="G6" s="32">
        <f>Rates!H5</f>
        <v>704.49</v>
      </c>
      <c r="H6" s="33">
        <f>'Q2 Part a'!G7</f>
        <v>0.8</v>
      </c>
      <c r="I6" s="59">
        <f>PRODUCT(F6:H6)</f>
        <v>563.59199999999998</v>
      </c>
      <c r="J6" s="35">
        <f>G6-I6/F6</f>
        <v>140.89800000000002</v>
      </c>
      <c r="L6" s="60">
        <f>G15</f>
        <v>599.38</v>
      </c>
      <c r="M6" s="34">
        <f t="shared" ref="M6:M23" si="0">0.8*L6*F6</f>
        <v>479.50400000000002</v>
      </c>
      <c r="N6" s="61">
        <f>M6/$F6</f>
        <v>479.50400000000002</v>
      </c>
      <c r="O6" s="35">
        <f>G6-M6/F6</f>
        <v>224.98599999999999</v>
      </c>
      <c r="Q6" s="34">
        <f>G6</f>
        <v>704.49</v>
      </c>
      <c r="R6" s="34">
        <f t="shared" ref="R6:R23" si="1">G6-Q6</f>
        <v>0</v>
      </c>
      <c r="S6" s="34">
        <f t="shared" ref="S6:S23" si="2">F6*(Q6*0.85+0.5*R6)</f>
        <v>598.81650000000002</v>
      </c>
      <c r="T6" s="61">
        <f t="shared" ref="T6:T23" si="3">S6/$F6</f>
        <v>598.81650000000002</v>
      </c>
      <c r="U6" s="35">
        <f>G6-S6/F6</f>
        <v>105.67349999999999</v>
      </c>
      <c r="W6" s="62">
        <f>Census!F5</f>
        <v>53000</v>
      </c>
      <c r="X6" s="63">
        <v>2.3999999999999998E-3</v>
      </c>
      <c r="Y6" s="35">
        <f>W6*X6</f>
        <v>127.19999999999999</v>
      </c>
      <c r="Z6" s="34">
        <f>(G6-Y6)*F6</f>
        <v>577.29</v>
      </c>
      <c r="AB6" s="32">
        <f>G6</f>
        <v>704.49</v>
      </c>
      <c r="AC6" s="33">
        <f>'Q2 Part a'!AB7</f>
        <v>0</v>
      </c>
      <c r="AD6" s="59">
        <f>'Q2 Part a'!H7</f>
        <v>534.20799999999997</v>
      </c>
      <c r="AE6" s="64">
        <f>AB6-AD6/F6</f>
        <v>170.28200000000004</v>
      </c>
    </row>
    <row r="7" spans="2:31" x14ac:dyDescent="0.3">
      <c r="B7" s="26" t="s">
        <v>0</v>
      </c>
      <c r="C7" s="25" t="s">
        <v>5</v>
      </c>
      <c r="D7" s="36" t="s">
        <v>9</v>
      </c>
      <c r="E7" s="35">
        <f>'Q2 Part a'!I8</f>
        <v>133.55200000000002</v>
      </c>
      <c r="F7" s="26">
        <f>Census!E6</f>
        <v>2</v>
      </c>
      <c r="G7" s="60">
        <f>G6</f>
        <v>704.49</v>
      </c>
      <c r="H7" s="33">
        <f>'Q2 Part a'!G8</f>
        <v>0.8</v>
      </c>
      <c r="I7" s="59">
        <f t="shared" ref="I7:I23" si="4">PRODUCT(F7:H7)</f>
        <v>1127.184</v>
      </c>
      <c r="J7" s="35">
        <f t="shared" ref="J7:J23" si="5">G7-I7/F7</f>
        <v>140.89800000000002</v>
      </c>
      <c r="L7" s="60">
        <f t="shared" ref="L7:L14" si="6">G16</f>
        <v>599.38</v>
      </c>
      <c r="M7" s="34">
        <f t="shared" si="0"/>
        <v>959.00800000000004</v>
      </c>
      <c r="N7" s="61">
        <f t="shared" ref="N7:N23" si="7">M7/F7</f>
        <v>479.50400000000002</v>
      </c>
      <c r="O7" s="35">
        <f t="shared" ref="O7:O23" si="8">G7-M7/F7</f>
        <v>224.98599999999999</v>
      </c>
      <c r="Q7" s="34">
        <f>Q6</f>
        <v>704.49</v>
      </c>
      <c r="R7" s="34">
        <f t="shared" si="1"/>
        <v>0</v>
      </c>
      <c r="S7" s="34">
        <f t="shared" si="2"/>
        <v>1197.633</v>
      </c>
      <c r="T7" s="61">
        <f t="shared" si="3"/>
        <v>598.81650000000002</v>
      </c>
      <c r="U7" s="35">
        <f t="shared" ref="U7:U23" si="9">G7-S7/F7</f>
        <v>105.67349999999999</v>
      </c>
      <c r="W7" s="62">
        <f>Census!F6</f>
        <v>75000</v>
      </c>
      <c r="X7" s="63">
        <v>2.3999999999999998E-3</v>
      </c>
      <c r="Y7" s="35">
        <f t="shared" ref="Y7:Y23" si="10">W7*X7</f>
        <v>179.99999999999997</v>
      </c>
      <c r="Z7" s="34">
        <f t="shared" ref="Z7:Z23" si="11">(G7-Y7)*F7</f>
        <v>1048.98</v>
      </c>
      <c r="AB7" s="60">
        <f t="shared" ref="AB7:AB23" si="12">G7</f>
        <v>704.49</v>
      </c>
      <c r="AC7" s="33">
        <f>'Q2 Part a'!AB8</f>
        <v>0</v>
      </c>
      <c r="AD7" s="59">
        <f>'Q2 Part a'!H8</f>
        <v>1068.4159999999999</v>
      </c>
      <c r="AE7" s="35">
        <f t="shared" ref="AE7:AE23" si="13">AB7-AD7/F7</f>
        <v>170.28200000000004</v>
      </c>
    </row>
    <row r="8" spans="2:31" x14ac:dyDescent="0.3">
      <c r="B8" s="37" t="s">
        <v>0</v>
      </c>
      <c r="C8" s="38" t="s">
        <v>5</v>
      </c>
      <c r="D8" s="38" t="s">
        <v>10</v>
      </c>
      <c r="E8" s="41">
        <f>'Q2 Part a'!I9</f>
        <v>166.94</v>
      </c>
      <c r="F8" s="37">
        <f>Census!E7</f>
        <v>2</v>
      </c>
      <c r="G8" s="65">
        <f>G7</f>
        <v>704.49</v>
      </c>
      <c r="H8" s="40">
        <f>'Q2 Part a'!G9</f>
        <v>0.75</v>
      </c>
      <c r="I8" s="66">
        <f t="shared" si="4"/>
        <v>1056.7350000000001</v>
      </c>
      <c r="J8" s="41">
        <f t="shared" si="5"/>
        <v>176.12249999999995</v>
      </c>
      <c r="K8" s="67"/>
      <c r="L8" s="65">
        <f t="shared" si="6"/>
        <v>599.38</v>
      </c>
      <c r="M8" s="39">
        <f t="shared" si="0"/>
        <v>959.00800000000004</v>
      </c>
      <c r="N8" s="68">
        <f t="shared" si="7"/>
        <v>479.50400000000002</v>
      </c>
      <c r="O8" s="41">
        <f t="shared" si="8"/>
        <v>224.98599999999999</v>
      </c>
      <c r="P8" s="67"/>
      <c r="Q8" s="39">
        <f t="shared" ref="Q8:Q14" si="14">Q7</f>
        <v>704.49</v>
      </c>
      <c r="R8" s="39">
        <f t="shared" si="1"/>
        <v>0</v>
      </c>
      <c r="S8" s="39">
        <f t="shared" si="2"/>
        <v>1197.633</v>
      </c>
      <c r="T8" s="68">
        <f t="shared" si="3"/>
        <v>598.81650000000002</v>
      </c>
      <c r="U8" s="41">
        <f t="shared" si="9"/>
        <v>105.67349999999999</v>
      </c>
      <c r="V8" s="67"/>
      <c r="W8" s="69">
        <f>Census!F7</f>
        <v>115000</v>
      </c>
      <c r="X8" s="70">
        <v>2.3999999999999998E-3</v>
      </c>
      <c r="Y8" s="41">
        <f t="shared" si="10"/>
        <v>276</v>
      </c>
      <c r="Z8" s="39">
        <f t="shared" si="11"/>
        <v>856.98</v>
      </c>
      <c r="AB8" s="65">
        <f t="shared" si="12"/>
        <v>704.49</v>
      </c>
      <c r="AC8" s="40">
        <f>'Q2 Part a'!AB9</f>
        <v>0</v>
      </c>
      <c r="AD8" s="66">
        <f>'Q2 Part a'!H9</f>
        <v>1001.64</v>
      </c>
      <c r="AE8" s="41">
        <f t="shared" si="13"/>
        <v>203.67000000000002</v>
      </c>
    </row>
    <row r="9" spans="2:31" x14ac:dyDescent="0.3">
      <c r="B9" s="26" t="s">
        <v>0</v>
      </c>
      <c r="C9" s="25" t="s">
        <v>6</v>
      </c>
      <c r="D9" s="25" t="s">
        <v>8</v>
      </c>
      <c r="E9" s="35">
        <f>'Q2 Part a'!I10</f>
        <v>280.46000000000004</v>
      </c>
      <c r="F9" s="26">
        <f>Census!E8</f>
        <v>2</v>
      </c>
      <c r="G9" s="60">
        <f>Rates!I5</f>
        <v>1479.43</v>
      </c>
      <c r="H9" s="33">
        <f>'Q2 Part a'!G10</f>
        <v>0.8</v>
      </c>
      <c r="I9" s="59">
        <f t="shared" si="4"/>
        <v>2367.0880000000002</v>
      </c>
      <c r="J9" s="35">
        <f t="shared" si="5"/>
        <v>295.88599999999997</v>
      </c>
      <c r="L9" s="60">
        <f t="shared" si="6"/>
        <v>1258.71</v>
      </c>
      <c r="M9" s="34">
        <f t="shared" si="0"/>
        <v>2013.9360000000001</v>
      </c>
      <c r="N9" s="61">
        <f t="shared" si="7"/>
        <v>1006.9680000000001</v>
      </c>
      <c r="O9" s="35">
        <f t="shared" si="8"/>
        <v>472.46199999999999</v>
      </c>
      <c r="Q9" s="34">
        <f t="shared" si="14"/>
        <v>704.49</v>
      </c>
      <c r="R9" s="34">
        <f t="shared" si="1"/>
        <v>774.94</v>
      </c>
      <c r="S9" s="34">
        <f t="shared" si="2"/>
        <v>1972.5730000000001</v>
      </c>
      <c r="T9" s="61">
        <f t="shared" si="3"/>
        <v>986.28650000000005</v>
      </c>
      <c r="U9" s="35">
        <f t="shared" si="9"/>
        <v>493.14350000000002</v>
      </c>
      <c r="W9" s="62">
        <f>Census!F8</f>
        <v>53000</v>
      </c>
      <c r="X9" s="63">
        <v>5.0400000000000002E-3</v>
      </c>
      <c r="Y9" s="35">
        <f t="shared" si="10"/>
        <v>267.12</v>
      </c>
      <c r="Z9" s="34">
        <f t="shared" si="11"/>
        <v>2424.62</v>
      </c>
      <c r="AB9" s="60">
        <f t="shared" si="12"/>
        <v>1479.43</v>
      </c>
      <c r="AC9" s="33">
        <f>'Q2 Part a'!AB10</f>
        <v>0</v>
      </c>
      <c r="AD9" s="59">
        <f>'Q2 Part a'!H10</f>
        <v>2243.6799999999998</v>
      </c>
      <c r="AE9" s="35">
        <f t="shared" si="13"/>
        <v>357.59000000000015</v>
      </c>
    </row>
    <row r="10" spans="2:31" x14ac:dyDescent="0.3">
      <c r="B10" s="26" t="s">
        <v>0</v>
      </c>
      <c r="C10" s="25" t="s">
        <v>6</v>
      </c>
      <c r="D10" s="36" t="s">
        <v>9</v>
      </c>
      <c r="E10" s="35">
        <f>'Q2 Part a'!I11</f>
        <v>350.57500000000005</v>
      </c>
      <c r="F10" s="26">
        <f>Census!E9</f>
        <v>3</v>
      </c>
      <c r="G10" s="60">
        <f>G9</f>
        <v>1479.43</v>
      </c>
      <c r="H10" s="33">
        <f>'Q2 Part a'!G11</f>
        <v>0.75</v>
      </c>
      <c r="I10" s="59">
        <f t="shared" si="4"/>
        <v>3328.7174999999997</v>
      </c>
      <c r="J10" s="35">
        <f t="shared" si="5"/>
        <v>369.85750000000007</v>
      </c>
      <c r="L10" s="60">
        <f t="shared" si="6"/>
        <v>1258.71</v>
      </c>
      <c r="M10" s="34">
        <f t="shared" si="0"/>
        <v>3020.9040000000005</v>
      </c>
      <c r="N10" s="61">
        <f t="shared" si="7"/>
        <v>1006.9680000000002</v>
      </c>
      <c r="O10" s="35">
        <f t="shared" si="8"/>
        <v>472.46199999999988</v>
      </c>
      <c r="Q10" s="34">
        <f t="shared" si="14"/>
        <v>704.49</v>
      </c>
      <c r="R10" s="34">
        <f t="shared" si="1"/>
        <v>774.94</v>
      </c>
      <c r="S10" s="34">
        <f t="shared" si="2"/>
        <v>2958.8595</v>
      </c>
      <c r="T10" s="61">
        <f t="shared" si="3"/>
        <v>986.28650000000005</v>
      </c>
      <c r="U10" s="35">
        <f t="shared" si="9"/>
        <v>493.14350000000002</v>
      </c>
      <c r="W10" s="62">
        <f>Census!F9</f>
        <v>75000</v>
      </c>
      <c r="X10" s="63">
        <v>5.0400000000000002E-3</v>
      </c>
      <c r="Y10" s="35">
        <f t="shared" si="10"/>
        <v>378</v>
      </c>
      <c r="Z10" s="34">
        <f t="shared" si="11"/>
        <v>3304.29</v>
      </c>
      <c r="AB10" s="60">
        <f t="shared" si="12"/>
        <v>1479.43</v>
      </c>
      <c r="AC10" s="33">
        <f>'Q2 Part a'!AB11</f>
        <v>0</v>
      </c>
      <c r="AD10" s="59">
        <f>'Q2 Part a'!H11</f>
        <v>3155.1749999999997</v>
      </c>
      <c r="AE10" s="35">
        <f t="shared" si="13"/>
        <v>427.70500000000015</v>
      </c>
    </row>
    <row r="11" spans="2:31" x14ac:dyDescent="0.3">
      <c r="B11" s="37" t="s">
        <v>0</v>
      </c>
      <c r="C11" s="38" t="s">
        <v>6</v>
      </c>
      <c r="D11" s="38" t="s">
        <v>10</v>
      </c>
      <c r="E11" s="41">
        <f>'Q2 Part a'!I12</f>
        <v>490.80499999999995</v>
      </c>
      <c r="F11" s="37">
        <f>Census!E10</f>
        <v>2</v>
      </c>
      <c r="G11" s="65">
        <f>G10</f>
        <v>1479.43</v>
      </c>
      <c r="H11" s="40">
        <f>'Q2 Part a'!G12</f>
        <v>0.65</v>
      </c>
      <c r="I11" s="66">
        <f t="shared" si="4"/>
        <v>1923.2590000000002</v>
      </c>
      <c r="J11" s="41">
        <f t="shared" si="5"/>
        <v>517.80049999999994</v>
      </c>
      <c r="K11" s="67"/>
      <c r="L11" s="65">
        <f t="shared" si="6"/>
        <v>1258.71</v>
      </c>
      <c r="M11" s="39">
        <f t="shared" si="0"/>
        <v>2013.9360000000001</v>
      </c>
      <c r="N11" s="68">
        <f t="shared" si="7"/>
        <v>1006.9680000000001</v>
      </c>
      <c r="O11" s="41">
        <f t="shared" si="8"/>
        <v>472.46199999999999</v>
      </c>
      <c r="P11" s="67"/>
      <c r="Q11" s="39">
        <f t="shared" si="14"/>
        <v>704.49</v>
      </c>
      <c r="R11" s="39">
        <f t="shared" si="1"/>
        <v>774.94</v>
      </c>
      <c r="S11" s="39">
        <f t="shared" si="2"/>
        <v>1972.5730000000001</v>
      </c>
      <c r="T11" s="68">
        <f t="shared" si="3"/>
        <v>986.28650000000005</v>
      </c>
      <c r="U11" s="41">
        <f t="shared" si="9"/>
        <v>493.14350000000002</v>
      </c>
      <c r="V11" s="67"/>
      <c r="W11" s="69">
        <f>Census!F10</f>
        <v>115000</v>
      </c>
      <c r="X11" s="70">
        <v>5.0400000000000002E-3</v>
      </c>
      <c r="Y11" s="41">
        <f t="shared" si="10"/>
        <v>579.6</v>
      </c>
      <c r="Z11" s="39">
        <f t="shared" si="11"/>
        <v>1799.66</v>
      </c>
      <c r="AB11" s="65">
        <f t="shared" si="12"/>
        <v>1479.43</v>
      </c>
      <c r="AC11" s="40">
        <f>'Q2 Part a'!AB12</f>
        <v>0</v>
      </c>
      <c r="AD11" s="66">
        <f>'Q2 Part a'!H12</f>
        <v>1822.99</v>
      </c>
      <c r="AE11" s="41">
        <f t="shared" si="13"/>
        <v>567.93500000000006</v>
      </c>
    </row>
    <row r="12" spans="2:31" x14ac:dyDescent="0.3">
      <c r="B12" s="26" t="s">
        <v>0</v>
      </c>
      <c r="C12" s="25" t="s">
        <v>7</v>
      </c>
      <c r="D12" s="25" t="s">
        <v>8</v>
      </c>
      <c r="E12" s="35">
        <f>'Q2 Part a'!I13</f>
        <v>373.94599999999991</v>
      </c>
      <c r="F12" s="26">
        <f>Census!E11</f>
        <v>1</v>
      </c>
      <c r="G12" s="60">
        <f>Rates!J5</f>
        <v>1972.57</v>
      </c>
      <c r="H12" s="33">
        <f>'Q2 Part a'!G13</f>
        <v>0.8</v>
      </c>
      <c r="I12" s="59">
        <f t="shared" si="4"/>
        <v>1578.056</v>
      </c>
      <c r="J12" s="35">
        <f t="shared" si="5"/>
        <v>394.5139999999999</v>
      </c>
      <c r="L12" s="60">
        <f t="shared" si="6"/>
        <v>1678.27</v>
      </c>
      <c r="M12" s="34">
        <f t="shared" si="0"/>
        <v>1342.616</v>
      </c>
      <c r="N12" s="61">
        <f t="shared" si="7"/>
        <v>1342.616</v>
      </c>
      <c r="O12" s="35">
        <f t="shared" si="8"/>
        <v>629.95399999999995</v>
      </c>
      <c r="Q12" s="34">
        <f t="shared" si="14"/>
        <v>704.49</v>
      </c>
      <c r="R12" s="34">
        <f t="shared" si="1"/>
        <v>1268.08</v>
      </c>
      <c r="S12" s="34">
        <f t="shared" si="2"/>
        <v>1232.8564999999999</v>
      </c>
      <c r="T12" s="61">
        <f t="shared" si="3"/>
        <v>1232.8564999999999</v>
      </c>
      <c r="U12" s="35">
        <f t="shared" si="9"/>
        <v>739.71350000000007</v>
      </c>
      <c r="W12" s="62">
        <f>Census!F11</f>
        <v>53000</v>
      </c>
      <c r="X12" s="63">
        <v>6.7200000000000003E-3</v>
      </c>
      <c r="Y12" s="35">
        <f t="shared" si="10"/>
        <v>356.16</v>
      </c>
      <c r="Z12" s="34">
        <f t="shared" si="11"/>
        <v>1616.4099999999999</v>
      </c>
      <c r="AB12" s="60">
        <f t="shared" si="12"/>
        <v>1972.57</v>
      </c>
      <c r="AC12" s="33">
        <f>'Q2 Part a'!AB13</f>
        <v>0</v>
      </c>
      <c r="AD12" s="59">
        <f>'Q2 Part a'!H13</f>
        <v>1495.7840000000001</v>
      </c>
      <c r="AE12" s="35">
        <f t="shared" si="13"/>
        <v>476.78599999999983</v>
      </c>
    </row>
    <row r="13" spans="2:31" x14ac:dyDescent="0.3">
      <c r="B13" s="26" t="s">
        <v>0</v>
      </c>
      <c r="C13" s="25" t="s">
        <v>7</v>
      </c>
      <c r="D13" s="36" t="s">
        <v>9</v>
      </c>
      <c r="E13" s="35">
        <f>'Q2 Part a'!I14</f>
        <v>467.43249999999989</v>
      </c>
      <c r="F13" s="26">
        <f>Census!E12</f>
        <v>2</v>
      </c>
      <c r="G13" s="60">
        <f>G12</f>
        <v>1972.57</v>
      </c>
      <c r="H13" s="33">
        <f>'Q2 Part a'!G14</f>
        <v>0.75</v>
      </c>
      <c r="I13" s="59">
        <f t="shared" si="4"/>
        <v>2958.855</v>
      </c>
      <c r="J13" s="35">
        <f t="shared" si="5"/>
        <v>493.14249999999993</v>
      </c>
      <c r="L13" s="60">
        <f t="shared" si="6"/>
        <v>1678.27</v>
      </c>
      <c r="M13" s="34">
        <f t="shared" si="0"/>
        <v>2685.232</v>
      </c>
      <c r="N13" s="61">
        <f t="shared" si="7"/>
        <v>1342.616</v>
      </c>
      <c r="O13" s="35">
        <f t="shared" si="8"/>
        <v>629.95399999999995</v>
      </c>
      <c r="Q13" s="34">
        <f t="shared" si="14"/>
        <v>704.49</v>
      </c>
      <c r="R13" s="34">
        <f t="shared" si="1"/>
        <v>1268.08</v>
      </c>
      <c r="S13" s="34">
        <f t="shared" si="2"/>
        <v>2465.7129999999997</v>
      </c>
      <c r="T13" s="61">
        <f t="shared" si="3"/>
        <v>1232.8564999999999</v>
      </c>
      <c r="U13" s="35">
        <f t="shared" si="9"/>
        <v>739.71350000000007</v>
      </c>
      <c r="W13" s="62">
        <f>Census!F12</f>
        <v>75000</v>
      </c>
      <c r="X13" s="63">
        <v>6.7200000000000003E-3</v>
      </c>
      <c r="Y13" s="35">
        <f t="shared" si="10"/>
        <v>504</v>
      </c>
      <c r="Z13" s="34">
        <f t="shared" si="11"/>
        <v>2937.14</v>
      </c>
      <c r="AB13" s="60">
        <f t="shared" si="12"/>
        <v>1972.57</v>
      </c>
      <c r="AC13" s="33">
        <f>'Q2 Part a'!AB14</f>
        <v>0</v>
      </c>
      <c r="AD13" s="59">
        <f>'Q2 Part a'!H14</f>
        <v>2804.5950000000003</v>
      </c>
      <c r="AE13" s="35">
        <f t="shared" si="13"/>
        <v>570.27249999999981</v>
      </c>
    </row>
    <row r="14" spans="2:31" ht="15" thickBot="1" x14ac:dyDescent="0.35">
      <c r="B14" s="42" t="s">
        <v>0</v>
      </c>
      <c r="C14" s="43" t="s">
        <v>7</v>
      </c>
      <c r="D14" s="43" t="s">
        <v>10</v>
      </c>
      <c r="E14" s="46">
        <f>'Q2 Part a'!I15</f>
        <v>654.40550000000007</v>
      </c>
      <c r="F14" s="42">
        <f>Census!E13</f>
        <v>2</v>
      </c>
      <c r="G14" s="71">
        <f>G13</f>
        <v>1972.57</v>
      </c>
      <c r="H14" s="45">
        <f>'Q2 Part a'!G15</f>
        <v>0.65</v>
      </c>
      <c r="I14" s="72">
        <f t="shared" si="4"/>
        <v>2564.3409999999999</v>
      </c>
      <c r="J14" s="46">
        <f t="shared" si="5"/>
        <v>690.39949999999999</v>
      </c>
      <c r="K14" s="73"/>
      <c r="L14" s="71">
        <f t="shared" si="6"/>
        <v>1678.27</v>
      </c>
      <c r="M14" s="44">
        <f t="shared" si="0"/>
        <v>2685.232</v>
      </c>
      <c r="N14" s="74">
        <f t="shared" si="7"/>
        <v>1342.616</v>
      </c>
      <c r="O14" s="46">
        <f t="shared" si="8"/>
        <v>629.95399999999995</v>
      </c>
      <c r="P14" s="73"/>
      <c r="Q14" s="44">
        <f t="shared" si="14"/>
        <v>704.49</v>
      </c>
      <c r="R14" s="44">
        <f t="shared" si="1"/>
        <v>1268.08</v>
      </c>
      <c r="S14" s="44">
        <f t="shared" si="2"/>
        <v>2465.7129999999997</v>
      </c>
      <c r="T14" s="74">
        <f t="shared" si="3"/>
        <v>1232.8564999999999</v>
      </c>
      <c r="U14" s="46">
        <f t="shared" si="9"/>
        <v>739.71350000000007</v>
      </c>
      <c r="V14" s="73"/>
      <c r="W14" s="75">
        <f>Census!F13</f>
        <v>115000</v>
      </c>
      <c r="X14" s="76">
        <v>6.7200000000000003E-3</v>
      </c>
      <c r="Y14" s="46">
        <f t="shared" si="10"/>
        <v>772.80000000000007</v>
      </c>
      <c r="Z14" s="44">
        <f t="shared" si="11"/>
        <v>2399.54</v>
      </c>
      <c r="AB14" s="71">
        <f t="shared" si="12"/>
        <v>1972.57</v>
      </c>
      <c r="AC14" s="45">
        <f>'Q2 Part a'!AB15</f>
        <v>0</v>
      </c>
      <c r="AD14" s="72">
        <f>'Q2 Part a'!H15</f>
        <v>2430.6489999999999</v>
      </c>
      <c r="AE14" s="46">
        <f t="shared" si="13"/>
        <v>757.24549999999999</v>
      </c>
    </row>
    <row r="15" spans="2:31" x14ac:dyDescent="0.3">
      <c r="B15" s="26" t="s">
        <v>4</v>
      </c>
      <c r="C15" s="25" t="s">
        <v>5</v>
      </c>
      <c r="D15" s="25" t="s">
        <v>8</v>
      </c>
      <c r="E15" s="35">
        <f>'Q2 Part a'!I16</f>
        <v>112.03399999999999</v>
      </c>
      <c r="F15" s="26">
        <f>Census!E14</f>
        <v>6</v>
      </c>
      <c r="G15" s="60">
        <f>Rates!H4</f>
        <v>599.38</v>
      </c>
      <c r="H15" s="33">
        <f>'Q2 Part a'!G16</f>
        <v>0.8</v>
      </c>
      <c r="I15" s="59">
        <f t="shared" si="4"/>
        <v>2877.0239999999999</v>
      </c>
      <c r="J15" s="35">
        <f t="shared" si="5"/>
        <v>119.87600000000003</v>
      </c>
      <c r="L15" s="60">
        <f t="shared" ref="L15:L23" si="15">G15</f>
        <v>599.38</v>
      </c>
      <c r="M15" s="34">
        <f t="shared" si="0"/>
        <v>2877.0240000000003</v>
      </c>
      <c r="N15" s="61">
        <f t="shared" si="7"/>
        <v>479.50400000000008</v>
      </c>
      <c r="O15" s="35">
        <f t="shared" si="8"/>
        <v>119.87599999999992</v>
      </c>
      <c r="Q15" s="34">
        <f>G15</f>
        <v>599.38</v>
      </c>
      <c r="R15" s="34">
        <f t="shared" si="1"/>
        <v>0</v>
      </c>
      <c r="S15" s="34">
        <f t="shared" si="2"/>
        <v>3056.8379999999997</v>
      </c>
      <c r="T15" s="61">
        <f t="shared" si="3"/>
        <v>509.47299999999996</v>
      </c>
      <c r="U15" s="35">
        <f t="shared" si="9"/>
        <v>89.907000000000039</v>
      </c>
      <c r="W15" s="62">
        <f>Census!F14</f>
        <v>53000</v>
      </c>
      <c r="X15" s="63">
        <v>2E-3</v>
      </c>
      <c r="Y15" s="35">
        <f t="shared" si="10"/>
        <v>106</v>
      </c>
      <c r="Z15" s="34">
        <f t="shared" si="11"/>
        <v>2960.2799999999997</v>
      </c>
      <c r="AB15" s="60">
        <f t="shared" si="12"/>
        <v>599.38</v>
      </c>
      <c r="AC15" s="33">
        <f>'Q2 Part a'!AB16</f>
        <v>0</v>
      </c>
      <c r="AD15" s="59">
        <f>'Q2 Part a'!H16</f>
        <v>2688.8159999999998</v>
      </c>
      <c r="AE15" s="35">
        <f t="shared" si="13"/>
        <v>151.24400000000003</v>
      </c>
    </row>
    <row r="16" spans="2:31" x14ac:dyDescent="0.3">
      <c r="B16" s="26" t="s">
        <v>4</v>
      </c>
      <c r="C16" s="25" t="s">
        <v>5</v>
      </c>
      <c r="D16" s="36" t="s">
        <v>9</v>
      </c>
      <c r="E16" s="35">
        <f>'Q2 Part a'!I17</f>
        <v>112.03399999999999</v>
      </c>
      <c r="F16" s="26">
        <f>Census!E15</f>
        <v>8</v>
      </c>
      <c r="G16" s="60">
        <f>G15</f>
        <v>599.38</v>
      </c>
      <c r="H16" s="33">
        <f>'Q2 Part a'!G17</f>
        <v>0.8</v>
      </c>
      <c r="I16" s="59">
        <f t="shared" si="4"/>
        <v>3836.0320000000002</v>
      </c>
      <c r="J16" s="35">
        <f t="shared" si="5"/>
        <v>119.87599999999998</v>
      </c>
      <c r="L16" s="60">
        <f t="shared" si="15"/>
        <v>599.38</v>
      </c>
      <c r="M16" s="34">
        <f t="shared" si="0"/>
        <v>3836.0320000000002</v>
      </c>
      <c r="N16" s="61">
        <f t="shared" si="7"/>
        <v>479.50400000000002</v>
      </c>
      <c r="O16" s="35">
        <f t="shared" si="8"/>
        <v>119.87599999999998</v>
      </c>
      <c r="Q16" s="34">
        <f t="shared" ref="Q16:Q23" si="16">Q15</f>
        <v>599.38</v>
      </c>
      <c r="R16" s="34">
        <f t="shared" si="1"/>
        <v>0</v>
      </c>
      <c r="S16" s="34">
        <f t="shared" si="2"/>
        <v>4075.7839999999997</v>
      </c>
      <c r="T16" s="61">
        <f t="shared" si="3"/>
        <v>509.47299999999996</v>
      </c>
      <c r="U16" s="35">
        <f t="shared" si="9"/>
        <v>89.907000000000039</v>
      </c>
      <c r="W16" s="62">
        <f>Census!F15</f>
        <v>75000</v>
      </c>
      <c r="X16" s="63">
        <v>2E-3</v>
      </c>
      <c r="Y16" s="35">
        <f t="shared" si="10"/>
        <v>150</v>
      </c>
      <c r="Z16" s="34">
        <f t="shared" si="11"/>
        <v>3595.04</v>
      </c>
      <c r="AB16" s="60">
        <f t="shared" si="12"/>
        <v>599.38</v>
      </c>
      <c r="AC16" s="33">
        <f>'Q2 Part a'!AB17</f>
        <v>0</v>
      </c>
      <c r="AD16" s="59">
        <f>'Q2 Part a'!H17</f>
        <v>3585.0879999999997</v>
      </c>
      <c r="AE16" s="35">
        <f t="shared" si="13"/>
        <v>151.24400000000003</v>
      </c>
    </row>
    <row r="17" spans="2:31" x14ac:dyDescent="0.3">
      <c r="B17" s="37" t="s">
        <v>4</v>
      </c>
      <c r="C17" s="38" t="s">
        <v>5</v>
      </c>
      <c r="D17" s="38" t="s">
        <v>10</v>
      </c>
      <c r="E17" s="41">
        <f>'Q2 Part a'!I18</f>
        <v>140.04250000000002</v>
      </c>
      <c r="F17" s="37">
        <f>Census!E16</f>
        <v>2</v>
      </c>
      <c r="G17" s="65">
        <f>G16</f>
        <v>599.38</v>
      </c>
      <c r="H17" s="40">
        <f>'Q2 Part a'!G18</f>
        <v>0.75</v>
      </c>
      <c r="I17" s="66">
        <f t="shared" si="4"/>
        <v>899.06999999999994</v>
      </c>
      <c r="J17" s="41">
        <f t="shared" si="5"/>
        <v>149.84500000000003</v>
      </c>
      <c r="K17" s="67"/>
      <c r="L17" s="65">
        <f t="shared" si="15"/>
        <v>599.38</v>
      </c>
      <c r="M17" s="39">
        <f t="shared" si="0"/>
        <v>959.00800000000004</v>
      </c>
      <c r="N17" s="68">
        <f t="shared" si="7"/>
        <v>479.50400000000002</v>
      </c>
      <c r="O17" s="41">
        <f t="shared" si="8"/>
        <v>119.87599999999998</v>
      </c>
      <c r="P17" s="67"/>
      <c r="Q17" s="39">
        <f t="shared" si="16"/>
        <v>599.38</v>
      </c>
      <c r="R17" s="39">
        <f t="shared" si="1"/>
        <v>0</v>
      </c>
      <c r="S17" s="39">
        <f t="shared" si="2"/>
        <v>1018.9459999999999</v>
      </c>
      <c r="T17" s="68">
        <f t="shared" si="3"/>
        <v>509.47299999999996</v>
      </c>
      <c r="U17" s="41">
        <f t="shared" si="9"/>
        <v>89.907000000000039</v>
      </c>
      <c r="V17" s="67"/>
      <c r="W17" s="69">
        <f>Census!F16</f>
        <v>115000</v>
      </c>
      <c r="X17" s="70">
        <v>2E-3</v>
      </c>
      <c r="Y17" s="41">
        <f t="shared" si="10"/>
        <v>230</v>
      </c>
      <c r="Z17" s="39">
        <f t="shared" si="11"/>
        <v>738.76</v>
      </c>
      <c r="AB17" s="65">
        <f t="shared" si="12"/>
        <v>599.38</v>
      </c>
      <c r="AC17" s="40">
        <f>'Q2 Part a'!AB18</f>
        <v>0</v>
      </c>
      <c r="AD17" s="66">
        <f>'Q2 Part a'!H18</f>
        <v>840.25499999999988</v>
      </c>
      <c r="AE17" s="41">
        <f t="shared" si="13"/>
        <v>179.25250000000005</v>
      </c>
    </row>
    <row r="18" spans="2:31" x14ac:dyDescent="0.3">
      <c r="B18" s="26" t="s">
        <v>4</v>
      </c>
      <c r="C18" s="25" t="s">
        <v>6</v>
      </c>
      <c r="D18" s="25" t="s">
        <v>8</v>
      </c>
      <c r="E18" s="35">
        <f>'Q2 Part a'!I19</f>
        <v>235.27199999999982</v>
      </c>
      <c r="F18" s="26">
        <f>Census!E17</f>
        <v>3</v>
      </c>
      <c r="G18" s="60">
        <f>Rates!I4</f>
        <v>1258.71</v>
      </c>
      <c r="H18" s="33">
        <f>'Q2 Part a'!G19</f>
        <v>0.8</v>
      </c>
      <c r="I18" s="59">
        <f t="shared" si="4"/>
        <v>3020.9040000000005</v>
      </c>
      <c r="J18" s="35">
        <f t="shared" si="5"/>
        <v>251.74199999999985</v>
      </c>
      <c r="L18" s="60">
        <f t="shared" si="15"/>
        <v>1258.71</v>
      </c>
      <c r="M18" s="34">
        <f t="shared" si="0"/>
        <v>3020.9040000000005</v>
      </c>
      <c r="N18" s="61">
        <f t="shared" si="7"/>
        <v>1006.9680000000002</v>
      </c>
      <c r="O18" s="35">
        <f t="shared" si="8"/>
        <v>251.74199999999985</v>
      </c>
      <c r="Q18" s="34">
        <f t="shared" si="16"/>
        <v>599.38</v>
      </c>
      <c r="R18" s="34">
        <f t="shared" si="1"/>
        <v>659.33</v>
      </c>
      <c r="S18" s="34">
        <f t="shared" si="2"/>
        <v>2517.4139999999998</v>
      </c>
      <c r="T18" s="61">
        <f t="shared" si="3"/>
        <v>839.13799999999992</v>
      </c>
      <c r="U18" s="35">
        <f t="shared" si="9"/>
        <v>419.57200000000012</v>
      </c>
      <c r="W18" s="62">
        <f>Census!F17</f>
        <v>53000</v>
      </c>
      <c r="X18" s="63">
        <v>4.1999999999999997E-3</v>
      </c>
      <c r="Y18" s="35">
        <f t="shared" si="10"/>
        <v>222.6</v>
      </c>
      <c r="Z18" s="34">
        <f t="shared" si="11"/>
        <v>3108.3300000000004</v>
      </c>
      <c r="AB18" s="60">
        <f t="shared" si="12"/>
        <v>1258.71</v>
      </c>
      <c r="AC18" s="33">
        <f>'Q2 Part a'!AB19</f>
        <v>0</v>
      </c>
      <c r="AD18" s="59">
        <f>'Q2 Part a'!H19</f>
        <v>2823.2640000000001</v>
      </c>
      <c r="AE18" s="35">
        <f t="shared" si="13"/>
        <v>317.62199999999996</v>
      </c>
    </row>
    <row r="19" spans="2:31" x14ac:dyDescent="0.3">
      <c r="B19" s="26" t="s">
        <v>4</v>
      </c>
      <c r="C19" s="25" t="s">
        <v>6</v>
      </c>
      <c r="D19" s="36" t="s">
        <v>9</v>
      </c>
      <c r="E19" s="35">
        <f>'Q2 Part a'!I20</f>
        <v>294.08999999999992</v>
      </c>
      <c r="F19" s="26">
        <f>Census!E18</f>
        <v>1</v>
      </c>
      <c r="G19" s="60">
        <f>G18</f>
        <v>1258.71</v>
      </c>
      <c r="H19" s="33">
        <f>'Q2 Part a'!G20</f>
        <v>0.75</v>
      </c>
      <c r="I19" s="59">
        <f t="shared" si="4"/>
        <v>944.03250000000003</v>
      </c>
      <c r="J19" s="35">
        <f t="shared" si="5"/>
        <v>314.67750000000001</v>
      </c>
      <c r="L19" s="60">
        <f t="shared" si="15"/>
        <v>1258.71</v>
      </c>
      <c r="M19" s="34">
        <f t="shared" si="0"/>
        <v>1006.9680000000001</v>
      </c>
      <c r="N19" s="61">
        <f t="shared" si="7"/>
        <v>1006.9680000000001</v>
      </c>
      <c r="O19" s="35">
        <f t="shared" si="8"/>
        <v>251.74199999999996</v>
      </c>
      <c r="Q19" s="34">
        <f t="shared" si="16"/>
        <v>599.38</v>
      </c>
      <c r="R19" s="34">
        <f t="shared" si="1"/>
        <v>659.33</v>
      </c>
      <c r="S19" s="34">
        <f t="shared" si="2"/>
        <v>839.13799999999992</v>
      </c>
      <c r="T19" s="61">
        <f t="shared" si="3"/>
        <v>839.13799999999992</v>
      </c>
      <c r="U19" s="35">
        <f t="shared" si="9"/>
        <v>419.57200000000012</v>
      </c>
      <c r="W19" s="62">
        <f>Census!F18</f>
        <v>75000</v>
      </c>
      <c r="X19" s="63">
        <v>4.1999999999999997E-3</v>
      </c>
      <c r="Y19" s="35">
        <f t="shared" si="10"/>
        <v>315</v>
      </c>
      <c r="Z19" s="34">
        <f t="shared" si="11"/>
        <v>943.71</v>
      </c>
      <c r="AB19" s="60">
        <f t="shared" si="12"/>
        <v>1258.71</v>
      </c>
      <c r="AC19" s="33">
        <f>'Q2 Part a'!AB20</f>
        <v>0</v>
      </c>
      <c r="AD19" s="59">
        <f>'Q2 Part a'!H20</f>
        <v>882.27</v>
      </c>
      <c r="AE19" s="35">
        <f t="shared" si="13"/>
        <v>376.44000000000005</v>
      </c>
    </row>
    <row r="20" spans="2:31" x14ac:dyDescent="0.3">
      <c r="B20" s="37" t="s">
        <v>4</v>
      </c>
      <c r="C20" s="38" t="s">
        <v>6</v>
      </c>
      <c r="D20" s="38" t="s">
        <v>10</v>
      </c>
      <c r="E20" s="41">
        <f>'Q2 Part a'!I21</f>
        <v>411.72599999999989</v>
      </c>
      <c r="F20" s="37">
        <f>Census!E19</f>
        <v>1</v>
      </c>
      <c r="G20" s="65">
        <f>G19</f>
        <v>1258.71</v>
      </c>
      <c r="H20" s="40">
        <f>'Q2 Part a'!G21</f>
        <v>0.65</v>
      </c>
      <c r="I20" s="66">
        <f t="shared" si="4"/>
        <v>818.16150000000005</v>
      </c>
      <c r="J20" s="41">
        <f t="shared" si="5"/>
        <v>440.54849999999999</v>
      </c>
      <c r="K20" s="67"/>
      <c r="L20" s="65">
        <f t="shared" si="15"/>
        <v>1258.71</v>
      </c>
      <c r="M20" s="39">
        <f>0.8*L20*F20</f>
        <v>1006.9680000000001</v>
      </c>
      <c r="N20" s="68">
        <f t="shared" si="7"/>
        <v>1006.9680000000001</v>
      </c>
      <c r="O20" s="41">
        <f t="shared" si="8"/>
        <v>251.74199999999996</v>
      </c>
      <c r="P20" s="67"/>
      <c r="Q20" s="39">
        <f t="shared" si="16"/>
        <v>599.38</v>
      </c>
      <c r="R20" s="39">
        <f t="shared" si="1"/>
        <v>659.33</v>
      </c>
      <c r="S20" s="39">
        <f t="shared" si="2"/>
        <v>839.13799999999992</v>
      </c>
      <c r="T20" s="68">
        <f t="shared" si="3"/>
        <v>839.13799999999992</v>
      </c>
      <c r="U20" s="41">
        <f t="shared" si="9"/>
        <v>419.57200000000012</v>
      </c>
      <c r="V20" s="67"/>
      <c r="W20" s="69">
        <f>Census!F19</f>
        <v>115000</v>
      </c>
      <c r="X20" s="70">
        <v>4.1999999999999997E-3</v>
      </c>
      <c r="Y20" s="41">
        <f t="shared" si="10"/>
        <v>482.99999999999994</v>
      </c>
      <c r="Z20" s="39">
        <f t="shared" si="11"/>
        <v>775.71</v>
      </c>
      <c r="AB20" s="65">
        <f t="shared" si="12"/>
        <v>1258.71</v>
      </c>
      <c r="AC20" s="40">
        <f>'Q2 Part a'!AB21</f>
        <v>0</v>
      </c>
      <c r="AD20" s="66">
        <f>'Q2 Part a'!H21</f>
        <v>764.63400000000001</v>
      </c>
      <c r="AE20" s="41">
        <f t="shared" si="13"/>
        <v>494.07600000000002</v>
      </c>
    </row>
    <row r="21" spans="2:31" x14ac:dyDescent="0.3">
      <c r="B21" s="26" t="s">
        <v>4</v>
      </c>
      <c r="C21" s="25" t="s">
        <v>7</v>
      </c>
      <c r="D21" s="25" t="s">
        <v>8</v>
      </c>
      <c r="E21" s="35">
        <f>'Q2 Part a'!I22</f>
        <v>313.69599999999991</v>
      </c>
      <c r="F21" s="26">
        <f>Census!E20</f>
        <v>2</v>
      </c>
      <c r="G21" s="60">
        <f>Rates!J4</f>
        <v>1678.27</v>
      </c>
      <c r="H21" s="33">
        <f>'Q2 Part a'!G22</f>
        <v>0.8</v>
      </c>
      <c r="I21" s="59">
        <f t="shared" si="4"/>
        <v>2685.232</v>
      </c>
      <c r="J21" s="35">
        <f t="shared" si="5"/>
        <v>335.654</v>
      </c>
      <c r="L21" s="60">
        <f t="shared" si="15"/>
        <v>1678.27</v>
      </c>
      <c r="M21" s="34">
        <f t="shared" si="0"/>
        <v>2685.232</v>
      </c>
      <c r="N21" s="61">
        <f t="shared" si="7"/>
        <v>1342.616</v>
      </c>
      <c r="O21" s="35">
        <f t="shared" si="8"/>
        <v>335.654</v>
      </c>
      <c r="Q21" s="34">
        <f t="shared" si="16"/>
        <v>599.38</v>
      </c>
      <c r="R21" s="34">
        <f t="shared" si="1"/>
        <v>1078.8899999999999</v>
      </c>
      <c r="S21" s="34">
        <f t="shared" si="2"/>
        <v>2097.8359999999998</v>
      </c>
      <c r="T21" s="61">
        <f t="shared" si="3"/>
        <v>1048.9179999999999</v>
      </c>
      <c r="U21" s="35">
        <f t="shared" si="9"/>
        <v>629.35200000000009</v>
      </c>
      <c r="W21" s="62">
        <f>Census!F20</f>
        <v>53000</v>
      </c>
      <c r="X21" s="63">
        <v>5.5999999999999999E-3</v>
      </c>
      <c r="Y21" s="35">
        <f t="shared" si="10"/>
        <v>296.8</v>
      </c>
      <c r="Z21" s="34">
        <f t="shared" si="11"/>
        <v>2762.94</v>
      </c>
      <c r="AB21" s="60">
        <f t="shared" si="12"/>
        <v>1678.27</v>
      </c>
      <c r="AC21" s="33">
        <f>'Q2 Part a'!AB22</f>
        <v>0</v>
      </c>
      <c r="AD21" s="59">
        <f>'Q2 Part a'!H22</f>
        <v>2509.5680000000002</v>
      </c>
      <c r="AE21" s="35">
        <f t="shared" si="13"/>
        <v>423.48599999999988</v>
      </c>
    </row>
    <row r="22" spans="2:31" x14ac:dyDescent="0.3">
      <c r="B22" s="26" t="s">
        <v>4</v>
      </c>
      <c r="C22" s="25" t="s">
        <v>7</v>
      </c>
      <c r="D22" s="36" t="s">
        <v>9</v>
      </c>
      <c r="E22" s="35">
        <f>'Q2 Part a'!I23</f>
        <v>392.11999999999989</v>
      </c>
      <c r="F22" s="26">
        <f>Census!E21</f>
        <v>3</v>
      </c>
      <c r="G22" s="60">
        <f>G21</f>
        <v>1678.27</v>
      </c>
      <c r="H22" s="33">
        <f>'Q2 Part a'!G23</f>
        <v>0.75</v>
      </c>
      <c r="I22" s="59">
        <f t="shared" si="4"/>
        <v>3776.1074999999996</v>
      </c>
      <c r="J22" s="35">
        <f t="shared" si="5"/>
        <v>419.56750000000011</v>
      </c>
      <c r="L22" s="60">
        <f t="shared" si="15"/>
        <v>1678.27</v>
      </c>
      <c r="M22" s="34">
        <f t="shared" si="0"/>
        <v>4027.848</v>
      </c>
      <c r="N22" s="61">
        <f t="shared" si="7"/>
        <v>1342.616</v>
      </c>
      <c r="O22" s="35">
        <f t="shared" si="8"/>
        <v>335.654</v>
      </c>
      <c r="Q22" s="34">
        <f t="shared" si="16"/>
        <v>599.38</v>
      </c>
      <c r="R22" s="34">
        <f t="shared" si="1"/>
        <v>1078.8899999999999</v>
      </c>
      <c r="S22" s="34">
        <f t="shared" si="2"/>
        <v>3146.7539999999999</v>
      </c>
      <c r="T22" s="61">
        <f t="shared" si="3"/>
        <v>1048.9179999999999</v>
      </c>
      <c r="U22" s="35">
        <f t="shared" si="9"/>
        <v>629.35200000000009</v>
      </c>
      <c r="W22" s="62">
        <f>Census!F21</f>
        <v>75000</v>
      </c>
      <c r="X22" s="63">
        <v>5.5999999999999999E-3</v>
      </c>
      <c r="Y22" s="35">
        <f t="shared" si="10"/>
        <v>420</v>
      </c>
      <c r="Z22" s="34">
        <f t="shared" si="11"/>
        <v>3774.81</v>
      </c>
      <c r="AB22" s="60">
        <f t="shared" si="12"/>
        <v>1678.27</v>
      </c>
      <c r="AC22" s="33">
        <f>'Q2 Part a'!AB23</f>
        <v>0</v>
      </c>
      <c r="AD22" s="59">
        <f>'Q2 Part a'!H23</f>
        <v>3529.0800000000004</v>
      </c>
      <c r="AE22" s="35">
        <f t="shared" si="13"/>
        <v>501.90999999999985</v>
      </c>
    </row>
    <row r="23" spans="2:31" ht="15" thickBot="1" x14ac:dyDescent="0.35">
      <c r="B23" s="77" t="s">
        <v>4</v>
      </c>
      <c r="C23" s="78" t="s">
        <v>7</v>
      </c>
      <c r="D23" s="78" t="s">
        <v>10</v>
      </c>
      <c r="E23" s="48">
        <f>'Q2 Part a'!I24</f>
        <v>548.96799999999996</v>
      </c>
      <c r="F23" s="77">
        <f>Census!E22</f>
        <v>2</v>
      </c>
      <c r="G23" s="79">
        <f>G22</f>
        <v>1678.27</v>
      </c>
      <c r="H23" s="80">
        <f>'Q2 Part a'!G24</f>
        <v>0.65</v>
      </c>
      <c r="I23" s="81">
        <f t="shared" si="4"/>
        <v>2181.7510000000002</v>
      </c>
      <c r="J23" s="48">
        <f t="shared" si="5"/>
        <v>587.39449999999988</v>
      </c>
      <c r="K23" s="82"/>
      <c r="L23" s="79">
        <f t="shared" si="15"/>
        <v>1678.27</v>
      </c>
      <c r="M23" s="47">
        <f t="shared" si="0"/>
        <v>2685.232</v>
      </c>
      <c r="N23" s="83">
        <f t="shared" si="7"/>
        <v>1342.616</v>
      </c>
      <c r="O23" s="48">
        <f t="shared" si="8"/>
        <v>335.654</v>
      </c>
      <c r="P23" s="82"/>
      <c r="Q23" s="47">
        <f t="shared" si="16"/>
        <v>599.38</v>
      </c>
      <c r="R23" s="47">
        <f t="shared" si="1"/>
        <v>1078.8899999999999</v>
      </c>
      <c r="S23" s="47">
        <f t="shared" si="2"/>
        <v>2097.8359999999998</v>
      </c>
      <c r="T23" s="83">
        <f t="shared" si="3"/>
        <v>1048.9179999999999</v>
      </c>
      <c r="U23" s="48">
        <f t="shared" si="9"/>
        <v>629.35200000000009</v>
      </c>
      <c r="V23" s="82"/>
      <c r="W23" s="84">
        <f>Census!F22</f>
        <v>115000</v>
      </c>
      <c r="X23" s="85">
        <v>5.5999999999999999E-3</v>
      </c>
      <c r="Y23" s="48">
        <f t="shared" si="10"/>
        <v>644</v>
      </c>
      <c r="Z23" s="47">
        <f t="shared" si="11"/>
        <v>2068.54</v>
      </c>
      <c r="AB23" s="79">
        <f t="shared" si="12"/>
        <v>1678.27</v>
      </c>
      <c r="AC23" s="80">
        <f>'Q2 Part a'!AB24</f>
        <v>0</v>
      </c>
      <c r="AD23" s="81">
        <f>'Q2 Part a'!H24</f>
        <v>2039.0240000000001</v>
      </c>
      <c r="AE23" s="48">
        <f t="shared" si="13"/>
        <v>658.75799999999992</v>
      </c>
    </row>
    <row r="24" spans="2:31" ht="15" thickTop="1" x14ac:dyDescent="0.3">
      <c r="H24" s="86" t="s">
        <v>45</v>
      </c>
      <c r="I24" s="87">
        <f>SUM(I6:I23)</f>
        <v>38506.141999999993</v>
      </c>
      <c r="J24" s="87"/>
      <c r="M24" s="87">
        <f>SUM(M6:M23)</f>
        <v>38264.592000000004</v>
      </c>
      <c r="N24" s="87"/>
      <c r="O24" s="87"/>
      <c r="S24" s="87">
        <f>SUM(S6:S23)</f>
        <v>35752.054499999998</v>
      </c>
      <c r="T24" s="87"/>
      <c r="Z24" s="87">
        <f>SUM(Z6:Z23)</f>
        <v>37693.03</v>
      </c>
    </row>
    <row r="25" spans="2:31" x14ac:dyDescent="0.3">
      <c r="H25" s="86" t="s">
        <v>43</v>
      </c>
      <c r="I25" s="88">
        <f>'Q2 Part a'!$H$25</f>
        <v>36219.135999999999</v>
      </c>
      <c r="J25" s="88"/>
      <c r="M25" s="88">
        <f>'Q2 Part a'!$H$25</f>
        <v>36219.135999999999</v>
      </c>
      <c r="N25" s="88"/>
      <c r="O25" s="88"/>
      <c r="S25" s="88">
        <f>'Q2 Part a'!$H$25</f>
        <v>36219.135999999999</v>
      </c>
      <c r="T25" s="88"/>
      <c r="Z25" s="88">
        <f>'Q2 Part a'!$H$25</f>
        <v>36219.135999999999</v>
      </c>
    </row>
    <row r="26" spans="2:31" ht="18" x14ac:dyDescent="0.35">
      <c r="D26" s="36"/>
      <c r="E26" s="36"/>
      <c r="H26" s="89" t="s">
        <v>28</v>
      </c>
      <c r="I26" s="90">
        <f>I24/I25-1</f>
        <v>6.3143582442165114E-2</v>
      </c>
      <c r="J26" s="91"/>
      <c r="M26" s="90">
        <f>M24/M25-1</f>
        <v>5.6474455934012457E-2</v>
      </c>
      <c r="N26" s="117"/>
      <c r="S26" s="90">
        <f>S24/S25-1</f>
        <v>-1.2895986806532367E-2</v>
      </c>
      <c r="T26" s="117"/>
      <c r="Z26" s="90">
        <f>Z24/Z25-1</f>
        <v>4.0693792364345782E-2</v>
      </c>
    </row>
    <row r="27" spans="2:31" x14ac:dyDescent="0.3">
      <c r="C27" s="26"/>
      <c r="G27" s="92"/>
      <c r="H27" s="93"/>
      <c r="I27" s="94" t="s">
        <v>31</v>
      </c>
      <c r="K27" s="96"/>
      <c r="L27" s="95"/>
      <c r="M27" s="97" t="s">
        <v>57</v>
      </c>
      <c r="Q27" s="116"/>
      <c r="R27" s="115"/>
      <c r="S27" s="97" t="s">
        <v>32</v>
      </c>
      <c r="X27" s="96"/>
      <c r="Y27" s="96"/>
      <c r="Z27" s="97" t="s">
        <v>34</v>
      </c>
      <c r="AA27" s="114"/>
    </row>
    <row r="28" spans="2:31" x14ac:dyDescent="0.3">
      <c r="K28" s="96"/>
      <c r="L28" s="95"/>
      <c r="M28" s="97" t="s">
        <v>36</v>
      </c>
      <c r="Q28" s="116"/>
      <c r="R28" s="115"/>
      <c r="S28" s="97" t="s">
        <v>33</v>
      </c>
      <c r="X28" s="96"/>
      <c r="Y28" s="96"/>
      <c r="Z28" s="97" t="s">
        <v>35</v>
      </c>
      <c r="AA28" s="114"/>
    </row>
    <row r="29" spans="2:31" x14ac:dyDescent="0.3">
      <c r="Q29" s="96"/>
      <c r="R29" s="115"/>
      <c r="S29" s="97" t="s">
        <v>36</v>
      </c>
      <c r="X29" s="96"/>
      <c r="Y29" s="96"/>
      <c r="Z29" s="97" t="s">
        <v>36</v>
      </c>
      <c r="AA29" s="114"/>
    </row>
    <row r="31" spans="2:31" x14ac:dyDescent="0.3">
      <c r="B31" s="107" t="s">
        <v>53</v>
      </c>
    </row>
    <row r="32" spans="2:31" x14ac:dyDescent="0.3">
      <c r="B32" s="92" t="s">
        <v>55</v>
      </c>
    </row>
    <row r="34" spans="2:2" x14ac:dyDescent="0.3">
      <c r="B34" s="92" t="s">
        <v>56</v>
      </c>
    </row>
  </sheetData>
  <mergeCells count="4">
    <mergeCell ref="G2:I2"/>
    <mergeCell ref="L2:O2"/>
    <mergeCell ref="Q2:U2"/>
    <mergeCell ref="W2:Z2"/>
  </mergeCells>
  <pageMargins left="0.7" right="0.7" top="0.75" bottom="0.75" header="0.3" footer="0.3"/>
  <ignoredErrors>
    <ignoredError sqref="Q15 G9:G2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7D68-73C3-449E-B52A-E5D54BF85234}">
  <dimension ref="A1:AE151"/>
  <sheetViews>
    <sheetView zoomScaleNormal="100" workbookViewId="0">
      <selection activeCell="A8" sqref="A8"/>
    </sheetView>
  </sheetViews>
  <sheetFormatPr defaultColWidth="8.5546875" defaultRowHeight="18" x14ac:dyDescent="0.35"/>
  <cols>
    <col min="1" max="1" width="41.33203125" style="122" customWidth="1"/>
    <col min="2" max="12" width="8.5546875" style="122"/>
    <col min="13" max="14" width="8.5546875" style="123"/>
    <col min="15" max="18" width="8.5546875" style="122"/>
    <col min="19" max="19" width="8.5546875" style="123"/>
    <col min="20" max="20" width="9.33203125" style="123" bestFit="1" customWidth="1"/>
    <col min="21" max="28" width="8.5546875" style="122"/>
    <col min="29" max="29" width="8.5546875" style="123"/>
    <col min="30" max="31" width="8.5546875" style="122"/>
    <col min="32" max="16379" width="8.5546875" style="121"/>
    <col min="16380" max="16384" width="11.5546875" style="121" customWidth="1"/>
  </cols>
  <sheetData>
    <row r="1" spans="1:12" x14ac:dyDescent="0.35">
      <c r="A1" s="146" t="s">
        <v>99</v>
      </c>
      <c r="B1" s="145"/>
      <c r="C1" s="145"/>
      <c r="D1" s="145"/>
      <c r="E1" s="145"/>
      <c r="F1" s="145"/>
      <c r="G1" s="145"/>
      <c r="H1" s="145"/>
      <c r="I1" s="145"/>
      <c r="J1" s="145"/>
      <c r="K1" s="145"/>
      <c r="L1" s="145"/>
    </row>
    <row r="2" spans="1:12" x14ac:dyDescent="0.35">
      <c r="A2" s="146"/>
      <c r="B2" s="145"/>
      <c r="C2" s="145"/>
      <c r="D2" s="145"/>
      <c r="E2" s="145"/>
      <c r="F2" s="145"/>
      <c r="G2" s="145"/>
      <c r="H2" s="145"/>
      <c r="I2" s="145"/>
      <c r="J2" s="145"/>
      <c r="K2" s="145"/>
      <c r="L2" s="145"/>
    </row>
    <row r="3" spans="1:12" x14ac:dyDescent="0.35">
      <c r="A3" s="145" t="s">
        <v>98</v>
      </c>
      <c r="B3" s="145"/>
      <c r="C3" s="145"/>
      <c r="D3" s="145"/>
      <c r="E3" s="145"/>
      <c r="F3" s="145"/>
      <c r="G3" s="145"/>
      <c r="H3" s="145"/>
      <c r="I3" s="145"/>
      <c r="J3" s="145"/>
      <c r="K3" s="145"/>
      <c r="L3" s="145"/>
    </row>
    <row r="4" spans="1:12" x14ac:dyDescent="0.35">
      <c r="A4" s="145"/>
      <c r="B4" s="145"/>
      <c r="C4" s="145"/>
      <c r="D4" s="145"/>
      <c r="E4" s="145"/>
      <c r="F4" s="145"/>
      <c r="G4" s="145"/>
      <c r="H4" s="145"/>
      <c r="I4" s="145"/>
      <c r="J4" s="145"/>
      <c r="K4" s="145"/>
      <c r="L4" s="145"/>
    </row>
    <row r="5" spans="1:12" x14ac:dyDescent="0.35">
      <c r="A5" s="145" t="s">
        <v>97</v>
      </c>
      <c r="B5" s="145"/>
      <c r="C5" s="145"/>
      <c r="D5" s="145"/>
      <c r="E5" s="145"/>
      <c r="F5" s="145"/>
      <c r="G5" s="145"/>
      <c r="H5" s="145"/>
      <c r="I5" s="145"/>
      <c r="J5" s="145"/>
      <c r="K5" s="145"/>
      <c r="L5" s="145"/>
    </row>
    <row r="6" spans="1:12" x14ac:dyDescent="0.35">
      <c r="A6" s="145"/>
      <c r="B6" s="145"/>
      <c r="C6" s="145"/>
      <c r="D6" s="145"/>
      <c r="E6" s="145"/>
      <c r="F6" s="145"/>
      <c r="G6" s="145"/>
      <c r="H6" s="145"/>
      <c r="I6" s="145"/>
      <c r="J6" s="145"/>
      <c r="K6" s="145"/>
      <c r="L6" s="145"/>
    </row>
    <row r="7" spans="1:12" x14ac:dyDescent="0.35">
      <c r="A7" s="145" t="s">
        <v>96</v>
      </c>
      <c r="B7" s="145"/>
      <c r="C7" s="145"/>
      <c r="D7" s="145"/>
      <c r="E7" s="145"/>
      <c r="F7" s="145"/>
      <c r="G7" s="145"/>
      <c r="H7" s="145"/>
      <c r="I7" s="145"/>
      <c r="J7" s="145"/>
      <c r="K7" s="145"/>
      <c r="L7" s="145"/>
    </row>
    <row r="8" spans="1:12" x14ac:dyDescent="0.35">
      <c r="A8" s="145" t="s">
        <v>95</v>
      </c>
      <c r="B8" s="145"/>
      <c r="C8" s="145"/>
      <c r="D8" s="145"/>
      <c r="E8" s="145"/>
      <c r="F8" s="145"/>
      <c r="G8" s="145"/>
      <c r="H8" s="145"/>
      <c r="I8" s="145"/>
      <c r="J8" s="145"/>
      <c r="K8" s="145"/>
      <c r="L8" s="145"/>
    </row>
    <row r="9" spans="1:12" x14ac:dyDescent="0.35">
      <c r="A9" s="145" t="s">
        <v>94</v>
      </c>
      <c r="B9" s="145"/>
      <c r="C9" s="145"/>
      <c r="D9" s="145"/>
      <c r="E9" s="145"/>
      <c r="F9" s="145"/>
      <c r="G9" s="145"/>
      <c r="H9" s="145"/>
      <c r="I9" s="145"/>
      <c r="J9" s="145"/>
      <c r="K9" s="145"/>
      <c r="L9" s="145"/>
    </row>
    <row r="10" spans="1:12" x14ac:dyDescent="0.35">
      <c r="A10" s="145"/>
      <c r="B10" s="145"/>
      <c r="C10" s="145"/>
      <c r="D10" s="145"/>
      <c r="E10" s="145"/>
      <c r="F10" s="145"/>
      <c r="G10" s="145"/>
      <c r="H10" s="145"/>
      <c r="I10" s="145"/>
      <c r="J10" s="145"/>
      <c r="K10" s="145"/>
      <c r="L10" s="145"/>
    </row>
    <row r="11" spans="1:12" x14ac:dyDescent="0.35">
      <c r="A11" s="145"/>
      <c r="B11" s="145" t="s">
        <v>79</v>
      </c>
      <c r="C11" s="145"/>
      <c r="D11" s="145"/>
      <c r="E11" s="145"/>
      <c r="F11" s="145" t="s">
        <v>78</v>
      </c>
      <c r="G11" s="145"/>
      <c r="H11" s="145"/>
      <c r="I11" s="145"/>
      <c r="J11" s="145"/>
      <c r="K11" s="145"/>
      <c r="L11" s="145"/>
    </row>
    <row r="12" spans="1:12" x14ac:dyDescent="0.35">
      <c r="A12" s="145"/>
      <c r="B12" s="145"/>
      <c r="C12" s="145"/>
      <c r="D12" s="145"/>
      <c r="E12" s="145"/>
      <c r="F12" s="145"/>
      <c r="G12" s="145"/>
      <c r="H12" s="145"/>
      <c r="I12" s="145"/>
      <c r="J12" s="145"/>
      <c r="K12" s="145"/>
      <c r="L12" s="145"/>
    </row>
    <row r="13" spans="1:12" x14ac:dyDescent="0.35">
      <c r="A13" s="145"/>
      <c r="B13" s="145" t="s">
        <v>73</v>
      </c>
      <c r="C13" s="145" t="s">
        <v>72</v>
      </c>
      <c r="D13" s="145" t="s">
        <v>71</v>
      </c>
      <c r="E13" s="145"/>
      <c r="F13" s="145" t="s">
        <v>73</v>
      </c>
      <c r="G13" s="145" t="s">
        <v>72</v>
      </c>
      <c r="H13" s="145" t="s">
        <v>71</v>
      </c>
      <c r="I13" s="145"/>
      <c r="J13" s="145"/>
      <c r="K13" s="145"/>
      <c r="L13" s="145"/>
    </row>
    <row r="14" spans="1:12" x14ac:dyDescent="0.35">
      <c r="A14" s="145" t="s">
        <v>70</v>
      </c>
      <c r="B14" s="145">
        <v>180</v>
      </c>
      <c r="C14" s="145">
        <f>ROUND(B14*1.1,0)</f>
        <v>198</v>
      </c>
      <c r="D14" s="145">
        <f>ROUND(C14*1.1,0)</f>
        <v>218</v>
      </c>
      <c r="E14" s="145"/>
      <c r="F14" s="147">
        <v>-0.12</v>
      </c>
      <c r="G14" s="147">
        <v>-0.11</v>
      </c>
      <c r="H14" s="147">
        <v>-0.1</v>
      </c>
      <c r="I14" s="145"/>
      <c r="J14" s="145"/>
      <c r="K14" s="145"/>
      <c r="L14" s="145"/>
    </row>
    <row r="15" spans="1:12" x14ac:dyDescent="0.35">
      <c r="A15" s="145" t="s">
        <v>69</v>
      </c>
      <c r="B15" s="145">
        <v>60</v>
      </c>
      <c r="C15" s="145">
        <f>ROUND(B15*1.1,0)</f>
        <v>66</v>
      </c>
      <c r="D15" s="145">
        <f>ROUND(C15*1.1,0)</f>
        <v>73</v>
      </c>
      <c r="E15" s="145"/>
      <c r="F15" s="147">
        <v>-0.11799999999999999</v>
      </c>
      <c r="G15" s="147">
        <v>-0.11</v>
      </c>
      <c r="H15" s="147">
        <v>-0.1</v>
      </c>
      <c r="I15" s="145"/>
      <c r="J15" s="145"/>
      <c r="K15" s="145"/>
      <c r="L15" s="145"/>
    </row>
    <row r="16" spans="1:12" x14ac:dyDescent="0.35">
      <c r="A16" s="145" t="s">
        <v>68</v>
      </c>
      <c r="B16" s="145">
        <v>120</v>
      </c>
      <c r="C16" s="145">
        <f>ROUND(B16*1.1,0)</f>
        <v>132</v>
      </c>
      <c r="D16" s="145">
        <f>ROUND(C16*1.1,0)</f>
        <v>145</v>
      </c>
      <c r="E16" s="145"/>
      <c r="F16" s="147">
        <v>-0.08</v>
      </c>
      <c r="G16" s="147">
        <v>-0.08</v>
      </c>
      <c r="H16" s="147">
        <v>-0.08</v>
      </c>
      <c r="I16" s="145"/>
      <c r="J16" s="145"/>
      <c r="K16" s="145"/>
      <c r="L16" s="145"/>
    </row>
    <row r="17" spans="1:12" x14ac:dyDescent="0.35">
      <c r="A17" s="145" t="s">
        <v>67</v>
      </c>
      <c r="B17" s="145">
        <v>50</v>
      </c>
      <c r="C17" s="145">
        <f>ROUND(B17*1.1,0)</f>
        <v>55</v>
      </c>
      <c r="D17" s="145">
        <f>ROUND(C17*1.1,0)</f>
        <v>61</v>
      </c>
      <c r="E17" s="145"/>
      <c r="F17" s="147">
        <v>3.3000000000000002E-2</v>
      </c>
      <c r="G17" s="147">
        <v>0.03</v>
      </c>
      <c r="H17" s="147">
        <v>0.03</v>
      </c>
      <c r="I17" s="145"/>
      <c r="J17" s="145"/>
      <c r="K17" s="145"/>
      <c r="L17" s="145"/>
    </row>
    <row r="18" spans="1:12" x14ac:dyDescent="0.35">
      <c r="A18" s="146" t="s">
        <v>65</v>
      </c>
      <c r="B18" s="146">
        <f>SUM(B14:B17)</f>
        <v>410</v>
      </c>
      <c r="C18" s="146">
        <f>SUM(C14:C17)</f>
        <v>451</v>
      </c>
      <c r="D18" s="146">
        <f>SUM(D14:D17)</f>
        <v>497</v>
      </c>
      <c r="E18" s="146"/>
      <c r="F18" s="146"/>
      <c r="G18" s="146"/>
      <c r="H18" s="146"/>
      <c r="I18" s="145"/>
      <c r="J18" s="145"/>
      <c r="K18" s="145"/>
      <c r="L18" s="145"/>
    </row>
    <row r="19" spans="1:12" x14ac:dyDescent="0.35">
      <c r="A19" s="146"/>
      <c r="B19" s="145"/>
      <c r="C19" s="145"/>
      <c r="D19" s="145"/>
      <c r="E19" s="145"/>
      <c r="F19" s="145"/>
      <c r="G19" s="145"/>
      <c r="H19" s="145"/>
      <c r="I19" s="145"/>
      <c r="J19" s="145"/>
      <c r="K19" s="145"/>
      <c r="L19" s="145"/>
    </row>
    <row r="20" spans="1:12" x14ac:dyDescent="0.35">
      <c r="A20" s="145" t="s">
        <v>93</v>
      </c>
      <c r="B20" s="145"/>
      <c r="C20" s="145"/>
      <c r="D20" s="145"/>
      <c r="E20" s="145"/>
      <c r="F20" s="145"/>
      <c r="G20" s="145"/>
      <c r="H20" s="145"/>
      <c r="I20" s="145"/>
      <c r="J20" s="145"/>
      <c r="K20" s="145"/>
      <c r="L20" s="145"/>
    </row>
    <row r="21" spans="1:12" x14ac:dyDescent="0.35">
      <c r="A21" s="145" t="s">
        <v>92</v>
      </c>
      <c r="B21" s="145"/>
      <c r="C21" s="145"/>
      <c r="D21" s="145"/>
      <c r="E21" s="145"/>
      <c r="F21" s="145"/>
      <c r="G21" s="145"/>
      <c r="H21" s="145"/>
      <c r="I21" s="145"/>
      <c r="J21" s="145"/>
      <c r="K21" s="145"/>
      <c r="L21" s="145"/>
    </row>
    <row r="22" spans="1:12" x14ac:dyDescent="0.35">
      <c r="A22" s="145" t="s">
        <v>91</v>
      </c>
      <c r="B22" s="145"/>
      <c r="C22" s="145"/>
      <c r="D22" s="145"/>
      <c r="E22" s="145"/>
      <c r="F22" s="145"/>
      <c r="G22" s="145"/>
      <c r="H22" s="145"/>
      <c r="I22" s="145"/>
      <c r="J22" s="145"/>
      <c r="K22" s="145"/>
      <c r="L22" s="145"/>
    </row>
    <row r="23" spans="1:12" x14ac:dyDescent="0.35">
      <c r="A23" s="145" t="s">
        <v>90</v>
      </c>
      <c r="B23" s="145"/>
      <c r="C23" s="145"/>
      <c r="D23" s="145"/>
      <c r="E23" s="145"/>
      <c r="F23" s="145"/>
      <c r="G23" s="145"/>
      <c r="H23" s="145"/>
      <c r="I23" s="145"/>
      <c r="J23" s="145"/>
      <c r="K23" s="145"/>
      <c r="L23" s="145"/>
    </row>
    <row r="24" spans="1:12" x14ac:dyDescent="0.35">
      <c r="A24" s="145" t="s">
        <v>89</v>
      </c>
      <c r="B24" s="145"/>
      <c r="C24" s="145"/>
      <c r="D24" s="145"/>
      <c r="E24" s="145"/>
      <c r="F24" s="145"/>
      <c r="G24" s="145"/>
      <c r="H24" s="145"/>
      <c r="I24" s="145"/>
      <c r="J24" s="145"/>
      <c r="K24" s="145"/>
      <c r="L24" s="145"/>
    </row>
    <row r="25" spans="1:12" x14ac:dyDescent="0.35">
      <c r="A25" s="145" t="s">
        <v>88</v>
      </c>
      <c r="B25" s="145"/>
      <c r="C25" s="145"/>
      <c r="D25" s="145"/>
      <c r="E25" s="145"/>
      <c r="F25" s="145"/>
      <c r="G25" s="145"/>
      <c r="H25" s="145"/>
      <c r="I25" s="145"/>
      <c r="J25" s="145"/>
      <c r="K25" s="145"/>
      <c r="L25" s="145"/>
    </row>
    <row r="26" spans="1:12" x14ac:dyDescent="0.35">
      <c r="A26" s="145" t="s">
        <v>87</v>
      </c>
      <c r="B26" s="145"/>
      <c r="C26" s="145"/>
      <c r="D26" s="145"/>
      <c r="E26" s="145"/>
      <c r="F26" s="145"/>
      <c r="G26" s="145"/>
      <c r="H26" s="145"/>
      <c r="I26" s="145"/>
      <c r="J26" s="145"/>
      <c r="K26" s="145"/>
      <c r="L26" s="145"/>
    </row>
    <row r="27" spans="1:12" x14ac:dyDescent="0.35">
      <c r="A27" s="145" t="s">
        <v>86</v>
      </c>
      <c r="B27" s="145"/>
      <c r="C27" s="145"/>
      <c r="D27" s="145"/>
      <c r="E27" s="145"/>
      <c r="F27" s="145"/>
      <c r="G27" s="145"/>
      <c r="H27" s="145"/>
      <c r="I27" s="145"/>
      <c r="J27" s="145"/>
      <c r="K27" s="145"/>
      <c r="L27" s="145"/>
    </row>
    <row r="28" spans="1:12" x14ac:dyDescent="0.35">
      <c r="A28" s="145"/>
      <c r="B28" s="145"/>
      <c r="C28" s="145"/>
      <c r="D28" s="145"/>
      <c r="E28" s="145"/>
      <c r="F28" s="145"/>
      <c r="G28" s="145"/>
      <c r="H28" s="145"/>
      <c r="I28" s="145"/>
      <c r="J28" s="145"/>
      <c r="K28" s="145"/>
      <c r="L28" s="145"/>
    </row>
    <row r="29" spans="1:12" x14ac:dyDescent="0.35">
      <c r="A29" s="145" t="s">
        <v>85</v>
      </c>
      <c r="B29" s="145"/>
      <c r="C29" s="145"/>
      <c r="D29" s="145"/>
      <c r="E29" s="145"/>
      <c r="F29" s="145"/>
      <c r="G29" s="145"/>
      <c r="H29" s="145"/>
      <c r="I29" s="145"/>
      <c r="J29" s="145"/>
      <c r="K29" s="145"/>
      <c r="L29" s="145"/>
    </row>
    <row r="30" spans="1:12" x14ac:dyDescent="0.35">
      <c r="A30" s="145"/>
      <c r="B30" s="145"/>
      <c r="C30" s="145"/>
      <c r="D30" s="145"/>
      <c r="E30" s="145"/>
      <c r="F30" s="145"/>
      <c r="G30" s="145"/>
      <c r="H30" s="145"/>
      <c r="I30" s="145"/>
      <c r="J30" s="145"/>
      <c r="K30" s="145"/>
      <c r="L30" s="145"/>
    </row>
    <row r="31" spans="1:12" x14ac:dyDescent="0.35">
      <c r="A31" s="121"/>
      <c r="B31" s="121"/>
      <c r="C31" s="121"/>
      <c r="D31" s="121"/>
      <c r="E31" s="121"/>
      <c r="F31" s="121"/>
      <c r="G31" s="121"/>
      <c r="H31" s="121"/>
    </row>
    <row r="32" spans="1:12" x14ac:dyDescent="0.35">
      <c r="A32" s="126"/>
    </row>
    <row r="33" spans="1:29" x14ac:dyDescent="0.35">
      <c r="A33" s="126" t="s">
        <v>84</v>
      </c>
    </row>
    <row r="34" spans="1:29" x14ac:dyDescent="0.35">
      <c r="A34" s="126"/>
    </row>
    <row r="35" spans="1:29" x14ac:dyDescent="0.35">
      <c r="A35" s="122" t="s">
        <v>63</v>
      </c>
      <c r="B35" s="144">
        <v>6</v>
      </c>
      <c r="C35" s="132"/>
      <c r="D35" s="132"/>
      <c r="E35" s="132"/>
    </row>
    <row r="36" spans="1:29" x14ac:dyDescent="0.35">
      <c r="B36" s="144"/>
      <c r="C36" s="132"/>
      <c r="D36" s="132"/>
      <c r="E36" s="132"/>
    </row>
    <row r="37" spans="1:29" x14ac:dyDescent="0.35">
      <c r="A37" s="122" t="s">
        <v>83</v>
      </c>
      <c r="B37" s="144">
        <v>1.5</v>
      </c>
      <c r="C37" s="132"/>
      <c r="D37" s="132"/>
      <c r="E37" s="132"/>
      <c r="F37" s="132"/>
    </row>
    <row r="38" spans="1:29" x14ac:dyDescent="0.35">
      <c r="A38" s="122" t="s">
        <v>82</v>
      </c>
      <c r="B38" s="144">
        <v>1</v>
      </c>
      <c r="C38" s="132"/>
      <c r="D38" s="132"/>
      <c r="F38" s="132"/>
    </row>
    <row r="39" spans="1:29" x14ac:dyDescent="0.35">
      <c r="A39" s="122" t="s">
        <v>81</v>
      </c>
      <c r="B39" s="144">
        <v>0.8</v>
      </c>
      <c r="C39" s="132"/>
      <c r="D39" s="132"/>
      <c r="E39" s="132"/>
      <c r="F39" s="132"/>
    </row>
    <row r="40" spans="1:29" x14ac:dyDescent="0.35">
      <c r="A40" s="126" t="s">
        <v>80</v>
      </c>
      <c r="B40" s="126">
        <f>SUM(B37:B39)</f>
        <v>3.3</v>
      </c>
      <c r="C40" s="132"/>
      <c r="D40" s="132"/>
      <c r="E40" s="132"/>
      <c r="F40" s="132"/>
    </row>
    <row r="41" spans="1:29" x14ac:dyDescent="0.35">
      <c r="B41" s="132"/>
      <c r="C41" s="132"/>
      <c r="D41" s="132"/>
      <c r="E41" s="132"/>
      <c r="F41" s="132"/>
    </row>
    <row r="42" spans="1:29" x14ac:dyDescent="0.35">
      <c r="B42" s="122" t="s">
        <v>79</v>
      </c>
      <c r="F42" s="122" t="s">
        <v>78</v>
      </c>
      <c r="J42" s="122" t="s">
        <v>77</v>
      </c>
      <c r="P42" s="122" t="s">
        <v>76</v>
      </c>
      <c r="V42" s="122" t="s">
        <v>75</v>
      </c>
      <c r="Z42" s="122" t="s">
        <v>74</v>
      </c>
    </row>
    <row r="44" spans="1:29" x14ac:dyDescent="0.35">
      <c r="B44" s="122" t="s">
        <v>73</v>
      </c>
      <c r="C44" s="122" t="s">
        <v>72</v>
      </c>
      <c r="D44" s="122" t="s">
        <v>71</v>
      </c>
      <c r="F44" s="122" t="s">
        <v>73</v>
      </c>
      <c r="G44" s="122" t="s">
        <v>72</v>
      </c>
      <c r="H44" s="122" t="s">
        <v>71</v>
      </c>
      <c r="J44" s="122" t="s">
        <v>73</v>
      </c>
      <c r="K44" s="122" t="s">
        <v>72</v>
      </c>
      <c r="L44" s="122" t="s">
        <v>71</v>
      </c>
      <c r="P44" s="122" t="s">
        <v>73</v>
      </c>
      <c r="Q44" s="122" t="s">
        <v>72</v>
      </c>
      <c r="R44" s="122" t="s">
        <v>71</v>
      </c>
      <c r="V44" s="122" t="s">
        <v>73</v>
      </c>
      <c r="W44" s="122" t="s">
        <v>72</v>
      </c>
      <c r="X44" s="122" t="s">
        <v>71</v>
      </c>
      <c r="Z44" s="122" t="s">
        <v>73</v>
      </c>
      <c r="AA44" s="122" t="s">
        <v>72</v>
      </c>
      <c r="AB44" s="122" t="s">
        <v>71</v>
      </c>
    </row>
    <row r="45" spans="1:29" x14ac:dyDescent="0.35">
      <c r="A45" s="122" t="s">
        <v>70</v>
      </c>
      <c r="B45" s="132">
        <v>180</v>
      </c>
      <c r="C45" s="132">
        <f>ROUND(B45*1.1,0)</f>
        <v>198</v>
      </c>
      <c r="D45" s="132">
        <f>ROUND(C45*1.1,0)</f>
        <v>218</v>
      </c>
      <c r="E45" s="132"/>
      <c r="F45" s="138">
        <v>-0.12</v>
      </c>
      <c r="G45" s="138">
        <v>-0.11</v>
      </c>
      <c r="H45" s="138">
        <v>-0.1</v>
      </c>
      <c r="J45" s="130">
        <f>B45*(1+F45)</f>
        <v>158.4</v>
      </c>
      <c r="K45" s="130">
        <f>C45*(1+G45)</f>
        <v>176.22</v>
      </c>
      <c r="L45" s="130">
        <f>D45*(1+H45)</f>
        <v>196.20000000000002</v>
      </c>
      <c r="M45" s="137"/>
      <c r="N45" s="137"/>
      <c r="P45" s="130">
        <f>J45-B45</f>
        <v>-21.599999999999994</v>
      </c>
      <c r="Q45" s="130">
        <f>K45-C45</f>
        <v>-21.78</v>
      </c>
      <c r="R45" s="130">
        <f>L45-D45</f>
        <v>-21.799999999999983</v>
      </c>
      <c r="S45" s="137"/>
      <c r="T45" s="137"/>
      <c r="V45" s="138">
        <v>0.6</v>
      </c>
      <c r="W45" s="138">
        <v>0.6</v>
      </c>
      <c r="X45" s="138">
        <v>0.6</v>
      </c>
      <c r="Y45" s="135"/>
      <c r="Z45" s="130">
        <f>V45*P45</f>
        <v>-12.959999999999996</v>
      </c>
      <c r="AA45" s="130">
        <f>W45*Q45</f>
        <v>-13.068</v>
      </c>
      <c r="AB45" s="130">
        <f>X45*R45</f>
        <v>-13.079999999999989</v>
      </c>
      <c r="AC45" s="137"/>
    </row>
    <row r="46" spans="1:29" x14ac:dyDescent="0.35">
      <c r="A46" s="122" t="s">
        <v>69</v>
      </c>
      <c r="B46" s="132">
        <v>60</v>
      </c>
      <c r="C46" s="132">
        <f>ROUND(B46*1.1,0)</f>
        <v>66</v>
      </c>
      <c r="D46" s="132">
        <f>ROUND(C46*1.1,0)</f>
        <v>73</v>
      </c>
      <c r="E46" s="132"/>
      <c r="F46" s="138">
        <v>-0.12</v>
      </c>
      <c r="G46" s="138">
        <v>-0.11</v>
      </c>
      <c r="H46" s="138">
        <v>-0.1</v>
      </c>
      <c r="J46" s="130">
        <f>B46*(1+F46)</f>
        <v>52.8</v>
      </c>
      <c r="K46" s="130">
        <f>C46*(1+G46)</f>
        <v>58.74</v>
      </c>
      <c r="L46" s="130">
        <f>D46*(1+H46)</f>
        <v>65.7</v>
      </c>
      <c r="M46" s="139"/>
      <c r="N46" s="139"/>
      <c r="P46" s="143">
        <f>J46-B46</f>
        <v>-7.2000000000000028</v>
      </c>
      <c r="Q46" s="130">
        <f>K46-C46</f>
        <v>-7.259999999999998</v>
      </c>
      <c r="R46" s="130">
        <f>L46-D46</f>
        <v>-7.2999999999999972</v>
      </c>
      <c r="S46" s="139"/>
      <c r="T46" s="139"/>
      <c r="V46" s="138">
        <v>0.6</v>
      </c>
      <c r="W46" s="138">
        <v>0.6</v>
      </c>
      <c r="X46" s="138">
        <v>0.6</v>
      </c>
      <c r="Y46" s="135"/>
      <c r="Z46" s="130">
        <f>V46*P46</f>
        <v>-4.3200000000000012</v>
      </c>
      <c r="AA46" s="130">
        <f>W46*Q46</f>
        <v>-4.355999999999999</v>
      </c>
      <c r="AB46" s="130">
        <f>X46*R46</f>
        <v>-4.3799999999999981</v>
      </c>
      <c r="AC46" s="139"/>
    </row>
    <row r="47" spans="1:29" x14ac:dyDescent="0.35">
      <c r="A47" s="122" t="s">
        <v>68</v>
      </c>
      <c r="B47" s="132">
        <v>120</v>
      </c>
      <c r="C47" s="132">
        <f>ROUND(B47*1.1,0)</f>
        <v>132</v>
      </c>
      <c r="D47" s="132">
        <f>ROUND(C47*1.1,0)</f>
        <v>145</v>
      </c>
      <c r="E47" s="132"/>
      <c r="F47" s="138">
        <v>-0.08</v>
      </c>
      <c r="G47" s="138">
        <v>-0.08</v>
      </c>
      <c r="H47" s="138">
        <v>-0.08</v>
      </c>
      <c r="J47" s="130">
        <f>B47*(1+F47)</f>
        <v>110.4</v>
      </c>
      <c r="K47" s="130">
        <f>C47*(1+G47)</f>
        <v>121.44000000000001</v>
      </c>
      <c r="L47" s="130">
        <f>D47*(1+H47)</f>
        <v>133.4</v>
      </c>
      <c r="M47" s="139"/>
      <c r="N47" s="139"/>
      <c r="P47" s="130">
        <f>J47-B47</f>
        <v>-9.5999999999999943</v>
      </c>
      <c r="Q47" s="130">
        <f>K47-C47</f>
        <v>-10.559999999999988</v>
      </c>
      <c r="R47" s="130">
        <f>L47-D47</f>
        <v>-11.599999999999994</v>
      </c>
      <c r="S47" s="139"/>
      <c r="T47" s="139"/>
      <c r="V47" s="138">
        <v>0.6</v>
      </c>
      <c r="W47" s="138">
        <v>0.6</v>
      </c>
      <c r="X47" s="138">
        <v>0.6</v>
      </c>
      <c r="Y47" s="135"/>
      <c r="Z47" s="130">
        <f>V47*P47</f>
        <v>-5.7599999999999962</v>
      </c>
      <c r="AA47" s="130">
        <f>W47*Q47</f>
        <v>-6.3359999999999923</v>
      </c>
      <c r="AB47" s="130">
        <f>X47*R47</f>
        <v>-6.9599999999999964</v>
      </c>
      <c r="AC47" s="139"/>
    </row>
    <row r="48" spans="1:29" x14ac:dyDescent="0.35">
      <c r="A48" s="122" t="s">
        <v>67</v>
      </c>
      <c r="B48" s="132">
        <v>50</v>
      </c>
      <c r="C48" s="132">
        <f>ROUND(B48*1.1,0)</f>
        <v>55</v>
      </c>
      <c r="D48" s="132">
        <f>ROUND(C48*1.1,0)</f>
        <v>61</v>
      </c>
      <c r="E48" s="132"/>
      <c r="F48" s="138">
        <v>0.03</v>
      </c>
      <c r="G48" s="138">
        <v>0.03</v>
      </c>
      <c r="H48" s="138">
        <v>0.03</v>
      </c>
      <c r="J48" s="130">
        <f>B48*(1+F48)</f>
        <v>51.5</v>
      </c>
      <c r="K48" s="130">
        <f>C48*(1+G48)</f>
        <v>56.65</v>
      </c>
      <c r="L48" s="130">
        <f>D48*(1+H48)</f>
        <v>62.83</v>
      </c>
      <c r="M48" s="139"/>
      <c r="N48" s="139"/>
      <c r="P48" s="130">
        <f>J48-B48</f>
        <v>1.5</v>
      </c>
      <c r="Q48" s="130">
        <f>K48-C48</f>
        <v>1.6499999999999986</v>
      </c>
      <c r="R48" s="130">
        <f>L48-D48</f>
        <v>1.8299999999999983</v>
      </c>
      <c r="S48" s="139"/>
      <c r="T48" s="139" t="s">
        <v>66</v>
      </c>
      <c r="V48" s="138">
        <v>0.6</v>
      </c>
      <c r="W48" s="138">
        <v>0.6</v>
      </c>
      <c r="X48" s="138">
        <v>0.6</v>
      </c>
      <c r="Y48" s="135"/>
      <c r="Z48" s="142">
        <f>V48*P48</f>
        <v>0.89999999999999991</v>
      </c>
      <c r="AA48" s="142">
        <f>W48*Q48</f>
        <v>0.9899999999999991</v>
      </c>
      <c r="AB48" s="142">
        <f>X48*R48</f>
        <v>1.097999999999999</v>
      </c>
      <c r="AC48" s="139"/>
    </row>
    <row r="49" spans="1:31" x14ac:dyDescent="0.35">
      <c r="A49" s="126" t="s">
        <v>65</v>
      </c>
      <c r="B49" s="126">
        <f>SUM(B45:B48)</f>
        <v>410</v>
      </c>
      <c r="C49" s="126">
        <f>SUM(C45:C48)</f>
        <v>451</v>
      </c>
      <c r="D49" s="126">
        <f>SUM(D45:D48)</f>
        <v>497</v>
      </c>
      <c r="E49" s="126"/>
      <c r="F49" s="126"/>
      <c r="G49" s="126"/>
      <c r="H49" s="126"/>
      <c r="I49" s="126"/>
      <c r="J49" s="141">
        <f>SUM(J45:J48)</f>
        <v>373.1</v>
      </c>
      <c r="K49" s="141">
        <f>SUM(K45:K48)</f>
        <v>413.05</v>
      </c>
      <c r="L49" s="141">
        <f>SUM(L45:L48)</f>
        <v>458.13000000000005</v>
      </c>
      <c r="M49" s="137"/>
      <c r="N49" s="140"/>
      <c r="O49" s="126"/>
      <c r="P49" s="141">
        <f>J49-B49</f>
        <v>-36.899999999999977</v>
      </c>
      <c r="Q49" s="141">
        <f>K49-C49</f>
        <v>-37.949999999999989</v>
      </c>
      <c r="R49" s="141">
        <f>L49-D49</f>
        <v>-38.869999999999948</v>
      </c>
      <c r="S49" s="137"/>
      <c r="T49" s="131">
        <f>SUM(P49:R49)</f>
        <v>-113.71999999999991</v>
      </c>
      <c r="U49" s="126"/>
      <c r="V49" s="126"/>
      <c r="W49" s="126"/>
      <c r="X49" s="126"/>
      <c r="Y49" s="126"/>
      <c r="Z49" s="141">
        <f>SUM(Z45:Z48)</f>
        <v>-22.139999999999993</v>
      </c>
      <c r="AA49" s="141">
        <f>SUM(AA45:AA48)</f>
        <v>-22.769999999999992</v>
      </c>
      <c r="AB49" s="141">
        <f>SUM(AB45:AB48)</f>
        <v>-23.321999999999985</v>
      </c>
      <c r="AC49" s="137"/>
      <c r="AD49" s="140"/>
      <c r="AE49" s="126"/>
    </row>
    <row r="50" spans="1:31" x14ac:dyDescent="0.35">
      <c r="J50" s="130"/>
      <c r="K50" s="130"/>
      <c r="L50" s="130"/>
      <c r="M50" s="139"/>
      <c r="N50" s="139"/>
      <c r="P50" s="130"/>
      <c r="Q50" s="130"/>
      <c r="R50" s="130"/>
      <c r="S50" s="139"/>
      <c r="T50" s="134"/>
      <c r="AC50" s="139"/>
    </row>
    <row r="51" spans="1:31" x14ac:dyDescent="0.35">
      <c r="A51" s="122" t="s">
        <v>64</v>
      </c>
      <c r="J51" s="138">
        <v>0.6</v>
      </c>
      <c r="K51" s="138">
        <v>0.6</v>
      </c>
      <c r="L51" s="138">
        <v>0.6</v>
      </c>
      <c r="M51" s="136"/>
      <c r="N51" s="136"/>
      <c r="P51" s="130">
        <f>-J51*P49</f>
        <v>22.139999999999986</v>
      </c>
      <c r="Q51" s="130">
        <f>-K51*Q49</f>
        <v>22.769999999999992</v>
      </c>
      <c r="R51" s="130">
        <f>-L51*R49</f>
        <v>23.321999999999967</v>
      </c>
      <c r="S51" s="137"/>
      <c r="T51" s="131">
        <f>SUM(P51:R51)</f>
        <v>68.231999999999942</v>
      </c>
      <c r="AC51" s="136"/>
    </row>
    <row r="52" spans="1:31" x14ac:dyDescent="0.35">
      <c r="J52" s="135"/>
      <c r="K52" s="135"/>
      <c r="L52" s="135"/>
      <c r="M52" s="133"/>
      <c r="N52" s="133"/>
      <c r="P52" s="130"/>
      <c r="Q52" s="130"/>
      <c r="R52" s="130"/>
      <c r="S52" s="133"/>
      <c r="T52" s="134"/>
      <c r="AC52" s="133"/>
    </row>
    <row r="53" spans="1:31" x14ac:dyDescent="0.35">
      <c r="A53" s="122" t="s">
        <v>63</v>
      </c>
      <c r="P53" s="130">
        <f>-B35</f>
        <v>-6</v>
      </c>
      <c r="Q53" s="130"/>
      <c r="R53" s="130"/>
      <c r="T53" s="131">
        <f>SUM(P53:R53)</f>
        <v>-6</v>
      </c>
    </row>
    <row r="54" spans="1:31" x14ac:dyDescent="0.35">
      <c r="A54" s="122" t="s">
        <v>62</v>
      </c>
      <c r="P54" s="130">
        <f>-$B$40</f>
        <v>-3.3</v>
      </c>
      <c r="Q54" s="130">
        <f>-$B$40</f>
        <v>-3.3</v>
      </c>
      <c r="R54" s="130">
        <f>-$B$40</f>
        <v>-3.3</v>
      </c>
      <c r="T54" s="131">
        <f>SUM(P54:R54)</f>
        <v>-9.8999999999999986</v>
      </c>
      <c r="U54" s="132"/>
    </row>
    <row r="55" spans="1:31" x14ac:dyDescent="0.35">
      <c r="A55" s="122" t="s">
        <v>61</v>
      </c>
      <c r="P55" s="130">
        <f>-Z49</f>
        <v>22.139999999999993</v>
      </c>
      <c r="Q55" s="130">
        <f>-AA49</f>
        <v>22.769999999999992</v>
      </c>
      <c r="R55" s="130">
        <f>-AB49</f>
        <v>23.321999999999985</v>
      </c>
      <c r="T55" s="131">
        <f>SUM(P55:R55)</f>
        <v>68.231999999999971</v>
      </c>
    </row>
    <row r="56" spans="1:31" x14ac:dyDescent="0.35">
      <c r="P56" s="130"/>
      <c r="Q56" s="130"/>
      <c r="R56" s="130"/>
    </row>
    <row r="57" spans="1:31" ht="17.399999999999999" x14ac:dyDescent="0.3">
      <c r="A57" s="126" t="s">
        <v>60</v>
      </c>
      <c r="B57" s="126"/>
      <c r="C57" s="126"/>
      <c r="D57" s="126"/>
      <c r="E57" s="126"/>
      <c r="F57" s="126"/>
      <c r="G57" s="126"/>
      <c r="H57" s="126"/>
      <c r="I57" s="126"/>
      <c r="J57" s="126"/>
      <c r="K57" s="126"/>
      <c r="L57" s="126"/>
      <c r="M57" s="127"/>
      <c r="N57" s="127"/>
      <c r="O57" s="126"/>
      <c r="P57" s="129">
        <f>SUM(P51:P55,P49)</f>
        <v>-1.9200000000000017</v>
      </c>
      <c r="Q57" s="129">
        <f>SUM(Q51:Q55,Q49)</f>
        <v>4.289999999999992</v>
      </c>
      <c r="R57" s="129">
        <f>SUM(R51:R55,R49)</f>
        <v>4.4740000000000038</v>
      </c>
      <c r="S57" s="127"/>
      <c r="T57" s="128">
        <f>SUM(T51:T55,T49)</f>
        <v>6.8439999999999941</v>
      </c>
      <c r="U57" s="126"/>
      <c r="V57" s="126"/>
      <c r="W57" s="126"/>
      <c r="X57" s="126"/>
      <c r="Y57" s="126"/>
      <c r="Z57" s="126"/>
      <c r="AA57" s="126"/>
      <c r="AB57" s="126"/>
      <c r="AC57" s="127"/>
      <c r="AD57" s="126"/>
      <c r="AE57" s="126"/>
    </row>
    <row r="60" spans="1:31" x14ac:dyDescent="0.35">
      <c r="A60" s="125" t="s">
        <v>59</v>
      </c>
    </row>
    <row r="61" spans="1:31" x14ac:dyDescent="0.35">
      <c r="A61" s="124" t="s">
        <v>58</v>
      </c>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row>
    <row r="62" spans="1:31" x14ac:dyDescent="0.3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row>
    <row r="63" spans="1:31" x14ac:dyDescent="0.3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row>
    <row r="68" spans="18:18" x14ac:dyDescent="0.35">
      <c r="R68"/>
    </row>
    <row r="69" spans="18:18" x14ac:dyDescent="0.35">
      <c r="R69"/>
    </row>
    <row r="70" spans="18:18" x14ac:dyDescent="0.35">
      <c r="R70"/>
    </row>
    <row r="71" spans="18:18" x14ac:dyDescent="0.35">
      <c r="R71"/>
    </row>
    <row r="72" spans="18:18" x14ac:dyDescent="0.35">
      <c r="R72"/>
    </row>
    <row r="73" spans="18:18" x14ac:dyDescent="0.35">
      <c r="R73"/>
    </row>
    <row r="74" spans="18:18" x14ac:dyDescent="0.35">
      <c r="R74"/>
    </row>
    <row r="75" spans="18:18" x14ac:dyDescent="0.35">
      <c r="R75"/>
    </row>
    <row r="76" spans="18:18" x14ac:dyDescent="0.35">
      <c r="R76"/>
    </row>
    <row r="77" spans="18:18" x14ac:dyDescent="0.35">
      <c r="R77"/>
    </row>
    <row r="78" spans="18:18" x14ac:dyDescent="0.35">
      <c r="R78"/>
    </row>
    <row r="79" spans="18:18" x14ac:dyDescent="0.35">
      <c r="R79"/>
    </row>
    <row r="80" spans="18:18" x14ac:dyDescent="0.35">
      <c r="R80"/>
    </row>
    <row r="81" spans="18:18" x14ac:dyDescent="0.35">
      <c r="R81"/>
    </row>
    <row r="82" spans="18:18" x14ac:dyDescent="0.35">
      <c r="R82"/>
    </row>
    <row r="83" spans="18:18" x14ac:dyDescent="0.35">
      <c r="R83"/>
    </row>
    <row r="84" spans="18:18" x14ac:dyDescent="0.35">
      <c r="R84"/>
    </row>
    <row r="85" spans="18:18" x14ac:dyDescent="0.35">
      <c r="R85"/>
    </row>
    <row r="86" spans="18:18" x14ac:dyDescent="0.35">
      <c r="R86"/>
    </row>
    <row r="87" spans="18:18" x14ac:dyDescent="0.35">
      <c r="R87"/>
    </row>
    <row r="88" spans="18:18" x14ac:dyDescent="0.35">
      <c r="R88"/>
    </row>
    <row r="89" spans="18:18" x14ac:dyDescent="0.35">
      <c r="R89"/>
    </row>
    <row r="90" spans="18:18" x14ac:dyDescent="0.35">
      <c r="R90"/>
    </row>
    <row r="91" spans="18:18" x14ac:dyDescent="0.35">
      <c r="R91"/>
    </row>
    <row r="92" spans="18:18" x14ac:dyDescent="0.35">
      <c r="R92"/>
    </row>
    <row r="93" spans="18:18" x14ac:dyDescent="0.35">
      <c r="R93"/>
    </row>
    <row r="94" spans="18:18" x14ac:dyDescent="0.35">
      <c r="R94"/>
    </row>
    <row r="95" spans="18:18" x14ac:dyDescent="0.35">
      <c r="R95"/>
    </row>
    <row r="96" spans="18:18" x14ac:dyDescent="0.35">
      <c r="R96"/>
    </row>
    <row r="97" spans="18:18" x14ac:dyDescent="0.35">
      <c r="R97"/>
    </row>
    <row r="98" spans="18:18" x14ac:dyDescent="0.35">
      <c r="R98"/>
    </row>
    <row r="99" spans="18:18" x14ac:dyDescent="0.35">
      <c r="R99"/>
    </row>
    <row r="100" spans="18:18" x14ac:dyDescent="0.35">
      <c r="R100"/>
    </row>
    <row r="101" spans="18:18" x14ac:dyDescent="0.35">
      <c r="R101"/>
    </row>
    <row r="102" spans="18:18" x14ac:dyDescent="0.35">
      <c r="R102"/>
    </row>
    <row r="103" spans="18:18" x14ac:dyDescent="0.35">
      <c r="R103"/>
    </row>
    <row r="104" spans="18:18" x14ac:dyDescent="0.35">
      <c r="R104"/>
    </row>
    <row r="105" spans="18:18" x14ac:dyDescent="0.35">
      <c r="R105"/>
    </row>
    <row r="106" spans="18:18" x14ac:dyDescent="0.35">
      <c r="R106"/>
    </row>
    <row r="107" spans="18:18" x14ac:dyDescent="0.35">
      <c r="R107"/>
    </row>
    <row r="108" spans="18:18" x14ac:dyDescent="0.35">
      <c r="R108"/>
    </row>
    <row r="109" spans="18:18" x14ac:dyDescent="0.35">
      <c r="R109"/>
    </row>
    <row r="110" spans="18:18" x14ac:dyDescent="0.35">
      <c r="R110"/>
    </row>
    <row r="111" spans="18:18" x14ac:dyDescent="0.35">
      <c r="R111"/>
    </row>
    <row r="112" spans="18:18" x14ac:dyDescent="0.35">
      <c r="R112"/>
    </row>
    <row r="113" spans="18:18" x14ac:dyDescent="0.35">
      <c r="R113"/>
    </row>
    <row r="114" spans="18:18" x14ac:dyDescent="0.35">
      <c r="R114"/>
    </row>
    <row r="115" spans="18:18" x14ac:dyDescent="0.35">
      <c r="R115"/>
    </row>
    <row r="116" spans="18:18" x14ac:dyDescent="0.35">
      <c r="R116"/>
    </row>
    <row r="117" spans="18:18" x14ac:dyDescent="0.35">
      <c r="R117"/>
    </row>
    <row r="118" spans="18:18" x14ac:dyDescent="0.35">
      <c r="R118"/>
    </row>
    <row r="119" spans="18:18" x14ac:dyDescent="0.35">
      <c r="R119"/>
    </row>
    <row r="120" spans="18:18" x14ac:dyDescent="0.35">
      <c r="R120"/>
    </row>
    <row r="121" spans="18:18" x14ac:dyDescent="0.35">
      <c r="R121"/>
    </row>
    <row r="122" spans="18:18" x14ac:dyDescent="0.35">
      <c r="R122"/>
    </row>
    <row r="123" spans="18:18" x14ac:dyDescent="0.35">
      <c r="R123"/>
    </row>
    <row r="124" spans="18:18" x14ac:dyDescent="0.35">
      <c r="R124"/>
    </row>
    <row r="125" spans="18:18" x14ac:dyDescent="0.35">
      <c r="R125"/>
    </row>
    <row r="126" spans="18:18" x14ac:dyDescent="0.35">
      <c r="R126"/>
    </row>
    <row r="127" spans="18:18" x14ac:dyDescent="0.35">
      <c r="R127"/>
    </row>
    <row r="128" spans="18:18" x14ac:dyDescent="0.35">
      <c r="R128"/>
    </row>
    <row r="129" spans="18:18" x14ac:dyDescent="0.35">
      <c r="R129"/>
    </row>
    <row r="130" spans="18:18" x14ac:dyDescent="0.35">
      <c r="R130"/>
    </row>
    <row r="131" spans="18:18" x14ac:dyDescent="0.35">
      <c r="R131"/>
    </row>
    <row r="132" spans="18:18" x14ac:dyDescent="0.35">
      <c r="R132"/>
    </row>
    <row r="133" spans="18:18" x14ac:dyDescent="0.35">
      <c r="R133"/>
    </row>
    <row r="134" spans="18:18" x14ac:dyDescent="0.35">
      <c r="R134"/>
    </row>
    <row r="135" spans="18:18" x14ac:dyDescent="0.35">
      <c r="R135"/>
    </row>
    <row r="136" spans="18:18" x14ac:dyDescent="0.35">
      <c r="R136"/>
    </row>
    <row r="137" spans="18:18" x14ac:dyDescent="0.35">
      <c r="R137"/>
    </row>
    <row r="138" spans="18:18" x14ac:dyDescent="0.35">
      <c r="R138"/>
    </row>
    <row r="139" spans="18:18" x14ac:dyDescent="0.35">
      <c r="R139"/>
    </row>
    <row r="140" spans="18:18" x14ac:dyDescent="0.35">
      <c r="R140"/>
    </row>
    <row r="141" spans="18:18" x14ac:dyDescent="0.35">
      <c r="R141"/>
    </row>
    <row r="142" spans="18:18" x14ac:dyDescent="0.35">
      <c r="R142"/>
    </row>
    <row r="143" spans="18:18" x14ac:dyDescent="0.35">
      <c r="R143"/>
    </row>
    <row r="144" spans="18:18" x14ac:dyDescent="0.35">
      <c r="R144"/>
    </row>
    <row r="145" spans="18:18" x14ac:dyDescent="0.35">
      <c r="R145"/>
    </row>
    <row r="146" spans="18:18" x14ac:dyDescent="0.35">
      <c r="R146"/>
    </row>
    <row r="147" spans="18:18" x14ac:dyDescent="0.35">
      <c r="R147"/>
    </row>
    <row r="148" spans="18:18" x14ac:dyDescent="0.35">
      <c r="R148"/>
    </row>
    <row r="149" spans="18:18" x14ac:dyDescent="0.35">
      <c r="R149"/>
    </row>
    <row r="150" spans="18:18" x14ac:dyDescent="0.35">
      <c r="R150"/>
    </row>
    <row r="151" spans="18:18" x14ac:dyDescent="0.35">
      <c r="R151"/>
    </row>
  </sheetData>
  <mergeCells count="1">
    <mergeCell ref="A61:AB63"/>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0B6A-BD73-4CA4-85BD-1541EA1C15A1}">
  <dimension ref="A1:O66"/>
  <sheetViews>
    <sheetView tabSelected="1" workbookViewId="0">
      <selection activeCell="A27" sqref="A27"/>
    </sheetView>
  </sheetViews>
  <sheetFormatPr defaultColWidth="11.5546875" defaultRowHeight="14.4" x14ac:dyDescent="0.3"/>
  <cols>
    <col min="1" max="10" width="14.109375" customWidth="1"/>
    <col min="12" max="12" width="13.6640625" bestFit="1" customWidth="1"/>
    <col min="14" max="14" width="13.6640625" bestFit="1" customWidth="1"/>
  </cols>
  <sheetData>
    <row r="1" spans="1:15" ht="15.6" x14ac:dyDescent="0.3">
      <c r="A1" s="190" t="s">
        <v>143</v>
      </c>
    </row>
    <row r="2" spans="1:15" ht="15.6" x14ac:dyDescent="0.3">
      <c r="A2" s="189" t="s">
        <v>142</v>
      </c>
    </row>
    <row r="3" spans="1:15" ht="15.6" x14ac:dyDescent="0.3">
      <c r="A3" s="189" t="s">
        <v>141</v>
      </c>
    </row>
    <row r="4" spans="1:15" ht="15.6" x14ac:dyDescent="0.3">
      <c r="A4" s="189" t="s">
        <v>140</v>
      </c>
    </row>
    <row r="5" spans="1:15" ht="15.6" x14ac:dyDescent="0.3">
      <c r="A5" s="189" t="s">
        <v>139</v>
      </c>
    </row>
    <row r="6" spans="1:15" ht="15.6" x14ac:dyDescent="0.3">
      <c r="A6" s="189" t="s">
        <v>138</v>
      </c>
    </row>
    <row r="7" spans="1:15" ht="15" thickBot="1" x14ac:dyDescent="0.35"/>
    <row r="8" spans="1:15" ht="15" thickBot="1" x14ac:dyDescent="0.35">
      <c r="A8" s="188"/>
      <c r="B8" s="186" t="s">
        <v>137</v>
      </c>
      <c r="C8" s="187"/>
      <c r="D8" s="187"/>
      <c r="E8" s="187"/>
      <c r="F8" s="184"/>
      <c r="G8" s="186" t="s">
        <v>136</v>
      </c>
      <c r="H8" s="184"/>
      <c r="I8" s="185" t="s">
        <v>135</v>
      </c>
      <c r="J8" s="184"/>
    </row>
    <row r="9" spans="1:15" ht="58.2" thickBot="1" x14ac:dyDescent="0.35">
      <c r="A9" s="183" t="s">
        <v>134</v>
      </c>
      <c r="B9" s="182" t="s">
        <v>133</v>
      </c>
      <c r="C9" s="181" t="s">
        <v>132</v>
      </c>
      <c r="D9" s="181" t="s">
        <v>131</v>
      </c>
      <c r="E9" s="181" t="s">
        <v>130</v>
      </c>
      <c r="F9" s="180" t="s">
        <v>129</v>
      </c>
      <c r="G9" s="179" t="s">
        <v>128</v>
      </c>
      <c r="H9" s="177" t="s">
        <v>127</v>
      </c>
      <c r="I9" s="178" t="s">
        <v>128</v>
      </c>
      <c r="J9" s="177" t="s">
        <v>127</v>
      </c>
      <c r="L9" s="176" t="s">
        <v>126</v>
      </c>
      <c r="M9" s="176" t="s">
        <v>125</v>
      </c>
      <c r="N9" s="176" t="s">
        <v>124</v>
      </c>
      <c r="O9" s="176" t="s">
        <v>123</v>
      </c>
    </row>
    <row r="10" spans="1:15" x14ac:dyDescent="0.3">
      <c r="A10" s="175">
        <v>1</v>
      </c>
      <c r="B10" s="174" t="s">
        <v>120</v>
      </c>
      <c r="C10" s="173" t="s">
        <v>120</v>
      </c>
      <c r="D10" s="173" t="s">
        <v>120</v>
      </c>
      <c r="E10" s="173" t="s">
        <v>122</v>
      </c>
      <c r="F10" s="172" t="s">
        <v>122</v>
      </c>
      <c r="G10" s="171">
        <v>17210</v>
      </c>
      <c r="H10" s="170">
        <v>0</v>
      </c>
      <c r="I10" s="169">
        <v>1144.8800000000001</v>
      </c>
      <c r="J10" s="168"/>
      <c r="L10" t="str">
        <f>IF(AND(B10="No",C10="No"),"N/A",IF(D10="Yes","Terminating",IF(AND(B10="No",C10="Yes"),"Newly Identified","Continuing")))</f>
        <v>Terminating</v>
      </c>
      <c r="M10" t="str">
        <f>IF(F10="N/A","N/A",IF(F10="Yes","Terminating",IF(AND(B10="No",C10="No",E10="Yes"),"Newly Identified","Continuing")))</f>
        <v>N/A</v>
      </c>
      <c r="N10" s="150">
        <f>G10*I10</f>
        <v>19703384.800000001</v>
      </c>
      <c r="O10" s="150">
        <f>H10*J10</f>
        <v>0</v>
      </c>
    </row>
    <row r="11" spans="1:15" x14ac:dyDescent="0.3">
      <c r="A11" s="167">
        <v>2</v>
      </c>
      <c r="B11" s="166" t="s">
        <v>120</v>
      </c>
      <c r="C11" s="165" t="s">
        <v>121</v>
      </c>
      <c r="D11" s="165" t="s">
        <v>120</v>
      </c>
      <c r="E11" s="165" t="s">
        <v>122</v>
      </c>
      <c r="F11" s="164" t="s">
        <v>122</v>
      </c>
      <c r="G11" s="163">
        <v>6813</v>
      </c>
      <c r="H11" s="162">
        <v>0</v>
      </c>
      <c r="I11" s="161">
        <v>443.88</v>
      </c>
      <c r="J11" s="160"/>
      <c r="L11" t="str">
        <f>IF(AND(B11="No",C11="No"),"N/A",IF(D11="Yes","Terminating",IF(AND(B11="No",C11="Yes"),"Newly Identified","Continuing")))</f>
        <v>Terminating</v>
      </c>
      <c r="M11" t="str">
        <f>IF(F11="N/A","N/A",IF(F11="Yes","Terminating",IF(AND(B11="No",C11="No",E11="Yes"),"Newly Identified","Continuing")))</f>
        <v>N/A</v>
      </c>
      <c r="N11" s="150">
        <f>G11*I11</f>
        <v>3024154.44</v>
      </c>
      <c r="O11" s="150">
        <f>H11*J11</f>
        <v>0</v>
      </c>
    </row>
    <row r="12" spans="1:15" x14ac:dyDescent="0.3">
      <c r="A12" s="167">
        <v>3</v>
      </c>
      <c r="B12" s="166" t="s">
        <v>120</v>
      </c>
      <c r="C12" s="165" t="s">
        <v>120</v>
      </c>
      <c r="D12" s="165" t="s">
        <v>121</v>
      </c>
      <c r="E12" s="165" t="s">
        <v>120</v>
      </c>
      <c r="F12" s="164" t="s">
        <v>121</v>
      </c>
      <c r="G12" s="163">
        <v>93533</v>
      </c>
      <c r="H12" s="162">
        <v>105073</v>
      </c>
      <c r="I12" s="161">
        <v>698.59</v>
      </c>
      <c r="J12" s="160">
        <v>721.66</v>
      </c>
      <c r="L12" t="str">
        <f>IF(AND(B12="No",C12="No"),"N/A",IF(D12="Yes","Terminating",IF(AND(B12="No",C12="Yes"),"Newly Identified","Continuing")))</f>
        <v>Continuing</v>
      </c>
      <c r="M12" t="str">
        <f>IF(F12="N/A","N/A",IF(F12="Yes","Terminating",IF(AND(B12="No",C12="No",E12="Yes"),"Newly Identified","Continuing")))</f>
        <v>Continuing</v>
      </c>
      <c r="N12" s="150">
        <f>G12*I12</f>
        <v>65341218.470000006</v>
      </c>
      <c r="O12" s="150">
        <f>H12*J12</f>
        <v>75826981.179999992</v>
      </c>
    </row>
    <row r="13" spans="1:15" x14ac:dyDescent="0.3">
      <c r="A13" s="167">
        <v>4</v>
      </c>
      <c r="B13" s="166" t="s">
        <v>120</v>
      </c>
      <c r="C13" s="165" t="s">
        <v>120</v>
      </c>
      <c r="D13" s="165" t="s">
        <v>121</v>
      </c>
      <c r="E13" s="165" t="s">
        <v>121</v>
      </c>
      <c r="F13" s="164" t="s">
        <v>121</v>
      </c>
      <c r="G13" s="163">
        <v>31663</v>
      </c>
      <c r="H13" s="162">
        <v>15241</v>
      </c>
      <c r="I13" s="161">
        <v>895.35</v>
      </c>
      <c r="J13" s="160">
        <v>400.77</v>
      </c>
      <c r="L13" t="str">
        <f>IF(AND(B13="No",C13="No"),"N/A",IF(D13="Yes","Terminating",IF(AND(B13="No",C13="Yes"),"Newly Identified","Continuing")))</f>
        <v>Continuing</v>
      </c>
      <c r="M13" t="str">
        <f>IF(F13="N/A","N/A",IF(F13="Yes","Terminating",IF(AND(B13="No",C13="No",E13="Yes"),"Newly Identified","Continuing")))</f>
        <v>Continuing</v>
      </c>
      <c r="N13" s="150">
        <f>G13*I13</f>
        <v>28349467.050000001</v>
      </c>
      <c r="O13" s="150">
        <f>H13*J13</f>
        <v>6108135.5699999994</v>
      </c>
    </row>
    <row r="14" spans="1:15" x14ac:dyDescent="0.3">
      <c r="A14" s="167">
        <v>5</v>
      </c>
      <c r="B14" s="166" t="s">
        <v>120</v>
      </c>
      <c r="C14" s="165" t="s">
        <v>120</v>
      </c>
      <c r="D14" s="165" t="s">
        <v>121</v>
      </c>
      <c r="E14" s="165" t="s">
        <v>120</v>
      </c>
      <c r="F14" s="164" t="s">
        <v>120</v>
      </c>
      <c r="G14" s="163">
        <v>19660</v>
      </c>
      <c r="H14" s="162">
        <v>4875</v>
      </c>
      <c r="I14" s="161">
        <v>832.45</v>
      </c>
      <c r="J14" s="160">
        <v>928.27</v>
      </c>
      <c r="L14" t="str">
        <f>IF(AND(B14="No",C14="No"),"N/A",IF(D14="Yes","Terminating",IF(AND(B14="No",C14="Yes"),"Newly Identified","Continuing")))</f>
        <v>Continuing</v>
      </c>
      <c r="M14" t="str">
        <f>IF(F14="N/A","N/A",IF(F14="Yes","Terminating",IF(AND(B14="No",C14="No",E14="Yes"),"Newly Identified","Continuing")))</f>
        <v>Terminating</v>
      </c>
      <c r="N14" s="150">
        <f>G14*I14</f>
        <v>16365967</v>
      </c>
      <c r="O14" s="150">
        <f>H14*J14</f>
        <v>4525316.25</v>
      </c>
    </row>
    <row r="15" spans="1:15" x14ac:dyDescent="0.3">
      <c r="A15" s="167">
        <v>6</v>
      </c>
      <c r="B15" s="166" t="s">
        <v>120</v>
      </c>
      <c r="C15" s="165" t="s">
        <v>120</v>
      </c>
      <c r="D15" s="165" t="s">
        <v>121</v>
      </c>
      <c r="E15" s="165" t="s">
        <v>121</v>
      </c>
      <c r="F15" s="164" t="s">
        <v>120</v>
      </c>
      <c r="G15" s="163">
        <v>8741</v>
      </c>
      <c r="H15" s="162">
        <v>840</v>
      </c>
      <c r="I15" s="161">
        <v>797.09</v>
      </c>
      <c r="J15" s="160">
        <v>467.82</v>
      </c>
      <c r="L15" t="str">
        <f>IF(AND(B15="No",C15="No"),"N/A",IF(D15="Yes","Terminating",IF(AND(B15="No",C15="Yes"),"Newly Identified","Continuing")))</f>
        <v>Continuing</v>
      </c>
      <c r="M15" t="str">
        <f>IF(F15="N/A","N/A",IF(F15="Yes","Terminating",IF(AND(B15="No",C15="No",E15="Yes"),"Newly Identified","Continuing")))</f>
        <v>Terminating</v>
      </c>
      <c r="N15" s="150">
        <f>G15*I15</f>
        <v>6967363.6900000004</v>
      </c>
      <c r="O15" s="150">
        <f>H15*J15</f>
        <v>392968.8</v>
      </c>
    </row>
    <row r="16" spans="1:15" x14ac:dyDescent="0.3">
      <c r="A16" s="167">
        <v>7</v>
      </c>
      <c r="B16" s="166" t="s">
        <v>120</v>
      </c>
      <c r="C16" s="165" t="s">
        <v>121</v>
      </c>
      <c r="D16" s="165" t="s">
        <v>121</v>
      </c>
      <c r="E16" s="165" t="s">
        <v>122</v>
      </c>
      <c r="F16" s="164" t="s">
        <v>122</v>
      </c>
      <c r="G16" s="163">
        <v>24940</v>
      </c>
      <c r="H16" s="162">
        <v>605</v>
      </c>
      <c r="I16" s="161">
        <v>403.69</v>
      </c>
      <c r="J16" s="160">
        <v>571.04</v>
      </c>
      <c r="L16" t="str">
        <f>IF(AND(B16="No",C16="No"),"N/A",IF(D16="Yes","Terminating",IF(AND(B16="No",C16="Yes"),"Newly Identified","Continuing")))</f>
        <v>Continuing</v>
      </c>
      <c r="M16" t="str">
        <f>IF(F16="N/A","N/A",IF(F16="Yes","Terminating",IF(AND(B16="No",C16="No",E16="Yes"),"Newly Identified","Continuing")))</f>
        <v>N/A</v>
      </c>
      <c r="N16" s="150">
        <f>G16*I16</f>
        <v>10068028.6</v>
      </c>
      <c r="O16" s="150">
        <f>H16*J16</f>
        <v>345479.19999999995</v>
      </c>
    </row>
    <row r="17" spans="1:15" x14ac:dyDescent="0.3">
      <c r="A17" s="167">
        <v>8</v>
      </c>
      <c r="B17" s="166" t="s">
        <v>120</v>
      </c>
      <c r="C17" s="165" t="s">
        <v>121</v>
      </c>
      <c r="D17" s="165" t="s">
        <v>121</v>
      </c>
      <c r="E17" s="165" t="s">
        <v>120</v>
      </c>
      <c r="F17" s="164" t="s">
        <v>121</v>
      </c>
      <c r="G17" s="163">
        <v>6763</v>
      </c>
      <c r="H17" s="162">
        <v>12405</v>
      </c>
      <c r="I17" s="161">
        <v>394.01</v>
      </c>
      <c r="J17" s="160">
        <v>830.48</v>
      </c>
      <c r="L17" t="str">
        <f>IF(AND(B17="No",C17="No"),"N/A",IF(D17="Yes","Terminating",IF(AND(B17="No",C17="Yes"),"Newly Identified","Continuing")))</f>
        <v>Continuing</v>
      </c>
      <c r="M17" t="str">
        <f>IF(F17="N/A","N/A",IF(F17="Yes","Terminating",IF(AND(B17="No",C17="No",E17="Yes"),"Newly Identified","Continuing")))</f>
        <v>Continuing</v>
      </c>
      <c r="N17" s="150">
        <f>G17*I17</f>
        <v>2664689.63</v>
      </c>
      <c r="O17" s="150">
        <f>H17*J17</f>
        <v>10302104.4</v>
      </c>
    </row>
    <row r="18" spans="1:15" x14ac:dyDescent="0.3">
      <c r="A18" s="167">
        <v>9</v>
      </c>
      <c r="B18" s="166" t="s">
        <v>120</v>
      </c>
      <c r="C18" s="165" t="s">
        <v>121</v>
      </c>
      <c r="D18" s="165" t="s">
        <v>121</v>
      </c>
      <c r="E18" s="165" t="s">
        <v>120</v>
      </c>
      <c r="F18" s="164" t="s">
        <v>120</v>
      </c>
      <c r="G18" s="163">
        <v>1376</v>
      </c>
      <c r="H18" s="162">
        <v>984</v>
      </c>
      <c r="I18" s="161">
        <v>505.64</v>
      </c>
      <c r="J18" s="160">
        <v>873.25</v>
      </c>
      <c r="L18" t="str">
        <f>IF(AND(B18="No",C18="No"),"N/A",IF(D18="Yes","Terminating",IF(AND(B18="No",C18="Yes"),"Newly Identified","Continuing")))</f>
        <v>Continuing</v>
      </c>
      <c r="M18" t="str">
        <f>IF(F18="N/A","N/A",IF(F18="Yes","Terminating",IF(AND(B18="No",C18="No",E18="Yes"),"Newly Identified","Continuing")))</f>
        <v>Terminating</v>
      </c>
      <c r="N18" s="150">
        <f>G18*I18</f>
        <v>695760.64</v>
      </c>
      <c r="O18" s="150">
        <f>H18*J18</f>
        <v>859278</v>
      </c>
    </row>
    <row r="19" spans="1:15" x14ac:dyDescent="0.3">
      <c r="A19" s="167">
        <v>10</v>
      </c>
      <c r="B19" s="166" t="s">
        <v>121</v>
      </c>
      <c r="C19" s="165" t="s">
        <v>121</v>
      </c>
      <c r="D19" s="165" t="s">
        <v>121</v>
      </c>
      <c r="E19" s="165" t="s">
        <v>122</v>
      </c>
      <c r="F19" s="164" t="s">
        <v>122</v>
      </c>
      <c r="G19" s="163">
        <v>14977</v>
      </c>
      <c r="H19" s="162">
        <v>59469</v>
      </c>
      <c r="I19" s="161">
        <v>411.3</v>
      </c>
      <c r="J19" s="160">
        <v>479.84</v>
      </c>
      <c r="L19" t="str">
        <f>IF(AND(B19="No",C19="No"),"N/A",IF(D19="Yes","Terminating",IF(AND(B19="No",C19="Yes"),"Newly Identified","Continuing")))</f>
        <v>N/A</v>
      </c>
      <c r="M19" t="str">
        <f>IF(F19="N/A","N/A",IF(F19="Yes","Terminating",IF(AND(B19="No",C19="No",E19="Yes"),"Newly Identified","Continuing")))</f>
        <v>N/A</v>
      </c>
      <c r="N19" s="150">
        <f>G19*I19</f>
        <v>6160040.1000000006</v>
      </c>
      <c r="O19" s="150">
        <f>H19*J19</f>
        <v>28535604.959999997</v>
      </c>
    </row>
    <row r="20" spans="1:15" x14ac:dyDescent="0.3">
      <c r="A20" s="167">
        <v>11</v>
      </c>
      <c r="B20" s="166" t="s">
        <v>121</v>
      </c>
      <c r="C20" s="165" t="s">
        <v>121</v>
      </c>
      <c r="D20" s="165" t="s">
        <v>120</v>
      </c>
      <c r="E20" s="165" t="s">
        <v>122</v>
      </c>
      <c r="F20" s="164" t="s">
        <v>122</v>
      </c>
      <c r="G20" s="163">
        <v>761</v>
      </c>
      <c r="H20" s="162">
        <v>2378</v>
      </c>
      <c r="I20" s="161">
        <v>536.30999999999995</v>
      </c>
      <c r="J20" s="160">
        <v>733.24</v>
      </c>
      <c r="L20" t="str">
        <f>IF(AND(B20="No",C20="No"),"N/A",IF(D20="Yes","Terminating",IF(AND(B20="No",C20="Yes"),"Newly Identified","Continuing")))</f>
        <v>N/A</v>
      </c>
      <c r="M20" t="str">
        <f>IF(F20="N/A","N/A",IF(F20="Yes","Terminating",IF(AND(B20="No",C20="No",E20="Yes"),"Newly Identified","Continuing")))</f>
        <v>N/A</v>
      </c>
      <c r="N20" s="150">
        <f>G20*I20</f>
        <v>408131.91</v>
      </c>
      <c r="O20" s="150">
        <f>H20*J20</f>
        <v>1743644.72</v>
      </c>
    </row>
    <row r="21" spans="1:15" x14ac:dyDescent="0.3">
      <c r="A21" s="167">
        <v>12</v>
      </c>
      <c r="B21" s="166" t="s">
        <v>121</v>
      </c>
      <c r="C21" s="165" t="s">
        <v>120</v>
      </c>
      <c r="D21" s="165" t="s">
        <v>120</v>
      </c>
      <c r="E21" s="165" t="s">
        <v>122</v>
      </c>
      <c r="F21" s="164" t="s">
        <v>122</v>
      </c>
      <c r="G21" s="163">
        <v>6494</v>
      </c>
      <c r="H21" s="162">
        <v>0</v>
      </c>
      <c r="I21" s="161">
        <v>745.44</v>
      </c>
      <c r="J21" s="160"/>
      <c r="L21" t="str">
        <f>IF(AND(B21="No",C21="No"),"N/A",IF(D21="Yes","Terminating",IF(AND(B21="No",C21="Yes"),"Newly Identified","Continuing")))</f>
        <v>Terminating</v>
      </c>
      <c r="M21" t="str">
        <f>IF(F21="N/A","N/A",IF(F21="Yes","Terminating",IF(AND(B21="No",C21="No",E21="Yes"),"Newly Identified","Continuing")))</f>
        <v>N/A</v>
      </c>
      <c r="N21" s="150">
        <f>G21*I21</f>
        <v>4840887.3600000003</v>
      </c>
      <c r="O21" s="150">
        <f>H21*J21</f>
        <v>0</v>
      </c>
    </row>
    <row r="22" spans="1:15" x14ac:dyDescent="0.3">
      <c r="A22" s="167">
        <v>13</v>
      </c>
      <c r="B22" s="166" t="s">
        <v>121</v>
      </c>
      <c r="C22" s="165" t="s">
        <v>120</v>
      </c>
      <c r="D22" s="165" t="s">
        <v>121</v>
      </c>
      <c r="E22" s="165" t="s">
        <v>120</v>
      </c>
      <c r="F22" s="164" t="s">
        <v>121</v>
      </c>
      <c r="G22" s="163">
        <v>29683</v>
      </c>
      <c r="H22" s="162">
        <v>43970</v>
      </c>
      <c r="I22" s="161">
        <v>588.47</v>
      </c>
      <c r="J22" s="160">
        <v>640.36</v>
      </c>
      <c r="L22" t="str">
        <f>IF(AND(B22="No",C22="No"),"N/A",IF(D22="Yes","Terminating",IF(AND(B22="No",C22="Yes"),"Newly Identified","Continuing")))</f>
        <v>Newly Identified</v>
      </c>
      <c r="M22" t="str">
        <f>IF(F22="N/A","N/A",IF(F22="Yes","Terminating",IF(AND(B22="No",C22="No",E22="Yes"),"Newly Identified","Continuing")))</f>
        <v>Continuing</v>
      </c>
      <c r="N22" s="150">
        <f>G22*I22</f>
        <v>17467555.010000002</v>
      </c>
      <c r="O22" s="150">
        <f>H22*J22</f>
        <v>28156629.199999999</v>
      </c>
    </row>
    <row r="23" spans="1:15" x14ac:dyDescent="0.3">
      <c r="A23" s="167">
        <v>14</v>
      </c>
      <c r="B23" s="166" t="s">
        <v>121</v>
      </c>
      <c r="C23" s="165" t="s">
        <v>120</v>
      </c>
      <c r="D23" s="165" t="s">
        <v>121</v>
      </c>
      <c r="E23" s="165" t="s">
        <v>120</v>
      </c>
      <c r="F23" s="164" t="s">
        <v>120</v>
      </c>
      <c r="G23" s="163">
        <v>8581</v>
      </c>
      <c r="H23" s="162">
        <v>5671</v>
      </c>
      <c r="I23" s="161">
        <v>805.59</v>
      </c>
      <c r="J23" s="160">
        <v>838.25</v>
      </c>
      <c r="L23" t="str">
        <f>IF(AND(B23="No",C23="No"),"N/A",IF(D23="Yes","Terminating",IF(AND(B23="No",C23="Yes"),"Newly Identified","Continuing")))</f>
        <v>Newly Identified</v>
      </c>
      <c r="M23" t="str">
        <f>IF(F23="N/A","N/A",IF(F23="Yes","Terminating",IF(AND(B23="No",C23="No",E23="Yes"),"Newly Identified","Continuing")))</f>
        <v>Terminating</v>
      </c>
      <c r="N23" s="150">
        <f>G23*I23</f>
        <v>6912767.79</v>
      </c>
      <c r="O23" s="150">
        <f>H23*J23</f>
        <v>4753715.75</v>
      </c>
    </row>
    <row r="24" spans="1:15" x14ac:dyDescent="0.3">
      <c r="A24" s="167">
        <v>15</v>
      </c>
      <c r="B24" s="166" t="s">
        <v>121</v>
      </c>
      <c r="C24" s="165" t="s">
        <v>120</v>
      </c>
      <c r="D24" s="165" t="s">
        <v>121</v>
      </c>
      <c r="E24" s="165" t="s">
        <v>121</v>
      </c>
      <c r="F24" s="164" t="s">
        <v>121</v>
      </c>
      <c r="G24" s="163">
        <v>22383</v>
      </c>
      <c r="H24" s="162">
        <v>38525</v>
      </c>
      <c r="I24" s="161">
        <v>559.04999999999995</v>
      </c>
      <c r="J24" s="160">
        <v>339.73</v>
      </c>
      <c r="L24" t="str">
        <f>IF(AND(B24="No",C24="No"),"N/A",IF(D24="Yes","Terminating",IF(AND(B24="No",C24="Yes"),"Newly Identified","Continuing")))</f>
        <v>Newly Identified</v>
      </c>
      <c r="M24" t="str">
        <f>IF(F24="N/A","N/A",IF(F24="Yes","Terminating",IF(AND(B24="No",C24="No",E24="Yes"),"Newly Identified","Continuing")))</f>
        <v>Continuing</v>
      </c>
      <c r="N24" s="150">
        <f>G24*I24</f>
        <v>12513216.149999999</v>
      </c>
      <c r="O24" s="150">
        <f>H24*J24</f>
        <v>13088098.25</v>
      </c>
    </row>
    <row r="25" spans="1:15" ht="15" thickBot="1" x14ac:dyDescent="0.35">
      <c r="A25" s="159">
        <v>16</v>
      </c>
      <c r="B25" s="158" t="s">
        <v>121</v>
      </c>
      <c r="C25" s="157" t="s">
        <v>120</v>
      </c>
      <c r="D25" s="157" t="s">
        <v>121</v>
      </c>
      <c r="E25" s="157" t="s">
        <v>121</v>
      </c>
      <c r="F25" s="156" t="s">
        <v>120</v>
      </c>
      <c r="G25" s="155">
        <v>10901</v>
      </c>
      <c r="H25" s="154">
        <v>4257</v>
      </c>
      <c r="I25" s="153">
        <v>506.86</v>
      </c>
      <c r="J25" s="152">
        <v>392.08</v>
      </c>
      <c r="L25" t="str">
        <f>IF(AND(B25="No",C25="No"),"N/A",IF(D25="Yes","Terminating",IF(AND(B25="No",C25="Yes"),"Newly Identified","Continuing")))</f>
        <v>Newly Identified</v>
      </c>
      <c r="M25" t="str">
        <f>IF(F25="N/A","N/A",IF(F25="Yes","Terminating",IF(AND(B25="No",C25="No",E25="Yes"),"Newly Identified","Continuing")))</f>
        <v>Terminating</v>
      </c>
      <c r="N25" s="150">
        <f>G25*I25</f>
        <v>5525280.8600000003</v>
      </c>
      <c r="O25" s="150">
        <f>H25*J25</f>
        <v>1669084.5599999998</v>
      </c>
    </row>
    <row r="27" spans="1:15" x14ac:dyDescent="0.3">
      <c r="A27" t="s">
        <v>119</v>
      </c>
    </row>
    <row r="29" spans="1:15" x14ac:dyDescent="0.3">
      <c r="A29" t="s">
        <v>118</v>
      </c>
    </row>
    <row r="30" spans="1:15" x14ac:dyDescent="0.3">
      <c r="A30" t="s">
        <v>117</v>
      </c>
    </row>
    <row r="32" spans="1:15" x14ac:dyDescent="0.3">
      <c r="A32" t="s">
        <v>116</v>
      </c>
    </row>
    <row r="34" spans="1:4" x14ac:dyDescent="0.3">
      <c r="A34" t="s">
        <v>115</v>
      </c>
    </row>
    <row r="35" spans="1:4" x14ac:dyDescent="0.3">
      <c r="A35" t="s">
        <v>114</v>
      </c>
    </row>
    <row r="37" spans="1:4" x14ac:dyDescent="0.3">
      <c r="A37" t="s">
        <v>113</v>
      </c>
    </row>
    <row r="38" spans="1:4" x14ac:dyDescent="0.3">
      <c r="B38" s="2" t="s">
        <v>111</v>
      </c>
      <c r="C38" s="2" t="s">
        <v>110</v>
      </c>
      <c r="D38" s="2" t="s">
        <v>109</v>
      </c>
    </row>
    <row r="39" spans="1:4" x14ac:dyDescent="0.3">
      <c r="A39" t="s">
        <v>108</v>
      </c>
      <c r="B39" s="151">
        <f>SUMIFS($G$10:$G$25,$L$10:$L$25,$A39)</f>
        <v>30517</v>
      </c>
      <c r="C39" s="150">
        <f>SUMIFS($N$10:$N$25,$L$10:$L$25,$A39)</f>
        <v>27568426.600000001</v>
      </c>
      <c r="D39" s="149">
        <f>C39/B39</f>
        <v>903.37931644657078</v>
      </c>
    </row>
    <row r="40" spans="1:4" x14ac:dyDescent="0.3">
      <c r="A40" t="s">
        <v>107</v>
      </c>
      <c r="B40" s="151">
        <f>SUMIFS($G$10:$G$25,$L$10:$L$25,$A40)</f>
        <v>186676</v>
      </c>
      <c r="C40" s="150">
        <f>SUMIFS($N$10:$N$25,$L$10:$L$25,$A40)</f>
        <v>130452495.08</v>
      </c>
      <c r="D40" s="149">
        <f>C40/B40</f>
        <v>698.81771132871927</v>
      </c>
    </row>
    <row r="41" spans="1:4" x14ac:dyDescent="0.3">
      <c r="A41" t="s">
        <v>106</v>
      </c>
      <c r="B41" s="151">
        <f>SUMIFS($G$10:$G$25,$L$10:$L$25,$A41)</f>
        <v>71548</v>
      </c>
      <c r="C41" s="150">
        <f>SUMIFS($N$10:$N$25,$L$10:$L$25,$A41)</f>
        <v>42418819.810000002</v>
      </c>
      <c r="D41" s="149">
        <f>C41/B41</f>
        <v>592.87219502991002</v>
      </c>
    </row>
    <row r="43" spans="1:4" x14ac:dyDescent="0.3">
      <c r="A43" t="s">
        <v>112</v>
      </c>
    </row>
    <row r="44" spans="1:4" x14ac:dyDescent="0.3">
      <c r="B44" s="2" t="s">
        <v>111</v>
      </c>
      <c r="C44" s="2" t="s">
        <v>110</v>
      </c>
      <c r="D44" s="2" t="s">
        <v>109</v>
      </c>
    </row>
    <row r="45" spans="1:4" x14ac:dyDescent="0.3">
      <c r="A45" t="s">
        <v>108</v>
      </c>
      <c r="B45" s="151">
        <f>SUMIFS($H$10:$H$25,$M$10:$M$25,$A45)</f>
        <v>16627</v>
      </c>
      <c r="C45" s="150">
        <f>SUMIFS($O$10:$O$25,$M$10:$M$25,$A45)</f>
        <v>12200363.360000001</v>
      </c>
      <c r="D45" s="149">
        <f>C45/B45</f>
        <v>733.76816984422931</v>
      </c>
    </row>
    <row r="46" spans="1:4" x14ac:dyDescent="0.3">
      <c r="A46" t="s">
        <v>107</v>
      </c>
      <c r="B46" s="151">
        <f>SUMIFS($H$10:$H$25,$M$10:$M$25,$A46)</f>
        <v>215214</v>
      </c>
      <c r="C46" s="150">
        <f>SUMIFS($O$10:$O$25,$M$10:$M$25,$A46)</f>
        <v>133481948.59999999</v>
      </c>
      <c r="D46" s="149">
        <f>C46/B46</f>
        <v>620.22892841543762</v>
      </c>
    </row>
    <row r="47" spans="1:4" x14ac:dyDescent="0.3">
      <c r="A47" t="s">
        <v>106</v>
      </c>
      <c r="B47" s="151">
        <f>SUMIFS($G$10:$G$25,$M$10:$M$25,$A47)</f>
        <v>0</v>
      </c>
      <c r="C47" s="150">
        <f>SUMIFS($O$10:$O$25,$M$10:$M$25,$A47)</f>
        <v>0</v>
      </c>
      <c r="D47" s="149">
        <v>0</v>
      </c>
    </row>
    <row r="50" spans="1:1" x14ac:dyDescent="0.3">
      <c r="A50" t="s">
        <v>105</v>
      </c>
    </row>
    <row r="51" spans="1:1" x14ac:dyDescent="0.3">
      <c r="A51" s="149">
        <f>SUMPRODUCT(D39:D41,B39:B41)/SUM(B39:B41)</f>
        <v>694.18524383443992</v>
      </c>
    </row>
    <row r="53" spans="1:1" x14ac:dyDescent="0.3">
      <c r="A53" t="s">
        <v>104</v>
      </c>
    </row>
    <row r="54" spans="1:1" x14ac:dyDescent="0.3">
      <c r="A54" s="149">
        <f>SUMPRODUCT(D39:D40,B39:B40)/SUM(B39:B40)</f>
        <v>727.55991988692085</v>
      </c>
    </row>
    <row r="56" spans="1:1" x14ac:dyDescent="0.3">
      <c r="A56" t="s">
        <v>103</v>
      </c>
    </row>
    <row r="57" spans="1:1" x14ac:dyDescent="0.3">
      <c r="A57" s="149">
        <f>SUMPRODUCT(D45:D47,B45:B47)/SUM(B45:B47)</f>
        <v>628.37165108846148</v>
      </c>
    </row>
    <row r="59" spans="1:1" x14ac:dyDescent="0.3">
      <c r="A59" t="s">
        <v>102</v>
      </c>
    </row>
    <row r="60" spans="1:1" x14ac:dyDescent="0.3">
      <c r="A60" s="148">
        <f>A51*1.05-A57</f>
        <v>100.52285493770046</v>
      </c>
    </row>
    <row r="62" spans="1:1" x14ac:dyDescent="0.3">
      <c r="A62" t="s">
        <v>101</v>
      </c>
    </row>
    <row r="63" spans="1:1" x14ac:dyDescent="0.3">
      <c r="A63" s="149">
        <f>SUMPRODUCT(D39:D41,B45:B47)/SUM(B45:B47)</f>
        <v>713.4883080234132</v>
      </c>
    </row>
    <row r="65" spans="1:1" x14ac:dyDescent="0.3">
      <c r="A65" t="s">
        <v>100</v>
      </c>
    </row>
    <row r="66" spans="1:1" x14ac:dyDescent="0.3">
      <c r="A66" s="148">
        <f>A63*1.05-A57</f>
        <v>120.7910723361224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8230b39ff0a402a078cc052756d4fefa">
  <xsd:schema xmlns:xsd="http://www.w3.org/2001/XMLSchema" xmlns:xs="http://www.w3.org/2001/XMLSchema" xmlns:p="http://schemas.microsoft.com/office/2006/metadata/properties" xmlns:ns2="16a415e0-cbd2-494f-bd0b-9ec9526163e9" targetNamespace="http://schemas.microsoft.com/office/2006/metadata/properties" ma:root="true" ma:fieldsID="45ea19f2c2e4cdbd674c4f1863b66b60"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F378A9-6C5A-4B0F-B13E-F2A951093600}"/>
</file>

<file path=customXml/itemProps2.xml><?xml version="1.0" encoding="utf-8"?>
<ds:datastoreItem xmlns:ds="http://schemas.openxmlformats.org/officeDocument/2006/customXml" ds:itemID="{27136C5B-9866-423A-B3AB-7AB2B1FDB8C7}"/>
</file>

<file path=customXml/itemProps3.xml><?xml version="1.0" encoding="utf-8"?>
<ds:datastoreItem xmlns:ds="http://schemas.openxmlformats.org/officeDocument/2006/customXml" ds:itemID="{FB0328F3-A57D-4AFD-A9D3-4459D7A94226}"/>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Rates</vt:lpstr>
      <vt:lpstr>Census</vt:lpstr>
      <vt:lpstr>Q2 Part a</vt:lpstr>
      <vt:lpstr>Part b</vt:lpstr>
      <vt:lpstr>Calc4</vt:lpstr>
      <vt:lpstr>Q6 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Meidlinger</dc:creator>
  <cp:lastModifiedBy>Mark Dulceak</cp:lastModifiedBy>
  <dcterms:created xsi:type="dcterms:W3CDTF">2024-11-08T09:30:13Z</dcterms:created>
  <dcterms:modified xsi:type="dcterms:W3CDTF">2025-07-15T16:13:30Z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2b6c078-73cb-4371-8a5b-e9fc18accbf8_Enabled">
    <vt:lpwstr>true</vt:lpwstr>
  </property>
  <property fmtid="{D5CDD505-2E9C-101B-9397-08002B2CF9AE}" pid="5" name="MSIP_Label_e2b6c078-73cb-4371-8a5b-e9fc18accbf8_SetDate">
    <vt:lpwstr>2024-12-12T04:17:53Z</vt:lpwstr>
  </property>
  <property fmtid="{D5CDD505-2E9C-101B-9397-08002B2CF9AE}" pid="6" name="MSIP_Label_e2b6c078-73cb-4371-8a5b-e9fc18accbf8_Method">
    <vt:lpwstr>Standard</vt:lpwstr>
  </property>
  <property fmtid="{D5CDD505-2E9C-101B-9397-08002B2CF9AE}" pid="7" name="MSIP_Label_e2b6c078-73cb-4371-8a5b-e9fc18accbf8_Name">
    <vt:lpwstr>INTERNAL</vt:lpwstr>
  </property>
  <property fmtid="{D5CDD505-2E9C-101B-9397-08002B2CF9AE}" pid="8" name="MSIP_Label_e2b6c078-73cb-4371-8a5b-e9fc18accbf8_SiteId">
    <vt:lpwstr>56c62bbe-8598-4b85-9e51-1ca753fa50f2</vt:lpwstr>
  </property>
  <property fmtid="{D5CDD505-2E9C-101B-9397-08002B2CF9AE}" pid="9" name="MSIP_Label_e2b6c078-73cb-4371-8a5b-e9fc18accbf8_ActionId">
    <vt:lpwstr>af76e219-3c4b-4d76-b6d5-06f96d9a2a7e</vt:lpwstr>
  </property>
  <property fmtid="{D5CDD505-2E9C-101B-9397-08002B2CF9AE}" pid="10" name="MSIP_Label_e2b6c078-73cb-4371-8a5b-e9fc18accbf8_ContentBits">
    <vt:lpwstr>0</vt:lpwstr>
  </property>
  <property fmtid="{D5CDD505-2E9C-101B-9397-08002B2CF9AE}" pid="11" name="ContentTypeId">
    <vt:lpwstr>0x010100A13D16CE4023BB4BB4110DFC2802C897</vt:lpwstr>
  </property>
</Properties>
</file>