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ocietyofactuaries-my.sharepoint.com/personal/mdulceak_soa_org/Documents/U_Drive/Solutions/May 2025 Solutions/GHDP/"/>
    </mc:Choice>
  </mc:AlternateContent>
  <xr:revisionPtr revIDLastSave="0" documentId="8_{FB30122F-EFE3-4980-839C-B3CC62C1305D}" xr6:coauthVersionLast="47" xr6:coauthVersionMax="47" xr10:uidLastSave="{00000000-0000-0000-0000-000000000000}"/>
  <bookViews>
    <workbookView xWindow="3000" yWindow="3000" windowWidth="17280" windowHeight="8928" activeTab="2" xr2:uid="{4DE0A405-97BE-4042-B481-4604990612A5}"/>
  </bookViews>
  <sheets>
    <sheet name="Notes" sheetId="7" r:id="rId1"/>
    <sheet name="CalculationTable_A" sheetId="62" r:id="rId2"/>
    <sheet name="Q01" sheetId="51" r:id="rId3"/>
    <sheet name="Q02" sheetId="67" r:id="rId4"/>
    <sheet name="Q03" sheetId="63" r:id="rId5"/>
    <sheet name="Q04" sheetId="64" r:id="rId6"/>
    <sheet name="Q05" sheetId="68" r:id="rId7"/>
    <sheet name="Q06" sheetId="69" r:id="rId8"/>
    <sheet name="Q07" sheetId="65" r:id="rId9"/>
    <sheet name="Q08" sheetId="70" r:id="rId10"/>
    <sheet name="Q09" sheetId="66" r:id="rId11"/>
    <sheet name="Q10" sheetId="7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0" i="71" l="1"/>
  <c r="V76" i="71"/>
  <c r="R76" i="71"/>
  <c r="V75" i="71"/>
  <c r="R75" i="71" s="1"/>
  <c r="R73" i="71" s="1"/>
  <c r="R71" i="71"/>
  <c r="C64" i="71"/>
  <c r="R72" i="71" s="1"/>
  <c r="R78" i="71" s="1"/>
  <c r="R80" i="71" l="1"/>
  <c r="R82" i="71" s="1"/>
  <c r="R83" i="71" s="1"/>
  <c r="R84" i="71" s="1"/>
  <c r="T68" i="70"/>
  <c r="S56" i="70"/>
  <c r="R56" i="70"/>
  <c r="Q56" i="70"/>
  <c r="S52" i="70"/>
  <c r="S53" i="70" s="1"/>
  <c r="R52" i="70"/>
  <c r="R53" i="70" s="1"/>
  <c r="Q52" i="70"/>
  <c r="Q53" i="70" s="1"/>
  <c r="E43" i="70"/>
  <c r="T58" i="70" s="1"/>
  <c r="S42" i="70"/>
  <c r="S46" i="70" s="1"/>
  <c r="S54" i="70" s="1"/>
  <c r="R42" i="70"/>
  <c r="R46" i="70" s="1"/>
  <c r="R54" i="70" s="1"/>
  <c r="S41" i="70"/>
  <c r="R41" i="70"/>
  <c r="Q41" i="70"/>
  <c r="T41" i="70" s="1"/>
  <c r="S40" i="70"/>
  <c r="R40" i="70"/>
  <c r="Q40" i="70"/>
  <c r="T40" i="70" s="1"/>
  <c r="S39" i="70"/>
  <c r="R39" i="70"/>
  <c r="Q39" i="70"/>
  <c r="Q42" i="70" s="1"/>
  <c r="T32" i="70"/>
  <c r="S32" i="70"/>
  <c r="R32" i="70"/>
  <c r="Q32" i="70"/>
  <c r="T31" i="70"/>
  <c r="T33" i="70" s="1"/>
  <c r="T61" i="70" s="1"/>
  <c r="S31" i="70"/>
  <c r="S33" i="70" s="1"/>
  <c r="R31" i="70"/>
  <c r="R33" i="70" s="1"/>
  <c r="Q31" i="70"/>
  <c r="Q33" i="70" s="1"/>
  <c r="T30" i="70"/>
  <c r="S30" i="70"/>
  <c r="R30" i="70"/>
  <c r="Q30" i="70"/>
  <c r="R26" i="70"/>
  <c r="Q26" i="70"/>
  <c r="S25" i="70"/>
  <c r="S24" i="70"/>
  <c r="R24" i="70"/>
  <c r="Q24" i="70"/>
  <c r="T24" i="70" s="1"/>
  <c r="S23" i="70"/>
  <c r="R23" i="70"/>
  <c r="R25" i="70" s="1"/>
  <c r="Q23" i="70"/>
  <c r="Q25" i="70" s="1"/>
  <c r="Q34" i="70" l="1"/>
  <c r="T25" i="70"/>
  <c r="Q27" i="70"/>
  <c r="R34" i="70"/>
  <c r="R55" i="70" s="1"/>
  <c r="R27" i="70"/>
  <c r="R45" i="70" s="1"/>
  <c r="R47" i="70" s="1"/>
  <c r="Q46" i="70"/>
  <c r="T42" i="70"/>
  <c r="S34" i="70"/>
  <c r="S55" i="70" s="1"/>
  <c r="S26" i="70"/>
  <c r="T26" i="70" s="1"/>
  <c r="T39" i="70"/>
  <c r="T23" i="70"/>
  <c r="S27" i="70" l="1"/>
  <c r="S45" i="70" s="1"/>
  <c r="S47" i="70" s="1"/>
  <c r="T46" i="70"/>
  <c r="Q54" i="70"/>
  <c r="T27" i="70"/>
  <c r="Q45" i="70"/>
  <c r="Q47" i="70" l="1"/>
  <c r="T47" i="70" s="1"/>
  <c r="T65" i="70" s="1"/>
  <c r="T66" i="70" s="1"/>
  <c r="T45" i="70"/>
  <c r="Q55" i="70"/>
  <c r="T57" i="70" s="1"/>
  <c r="T59" i="70" s="1"/>
  <c r="T62" i="70" s="1"/>
  <c r="T63" i="70" s="1"/>
  <c r="T70" i="70" s="1"/>
  <c r="B61" i="69" l="1"/>
  <c r="B60" i="69"/>
  <c r="B58" i="69"/>
  <c r="B57" i="69"/>
  <c r="B56" i="69"/>
  <c r="B55" i="69"/>
  <c r="B54" i="69"/>
  <c r="B53" i="69"/>
  <c r="B52" i="69"/>
  <c r="Q66" i="69"/>
  <c r="Q65" i="69"/>
  <c r="Q64" i="69"/>
  <c r="Q63" i="69"/>
  <c r="Q62" i="69"/>
  <c r="B62" i="69"/>
  <c r="B63" i="69" s="1"/>
  <c r="B64" i="69" s="1"/>
  <c r="B65" i="69" s="1"/>
  <c r="Q61" i="69"/>
  <c r="Q60" i="69"/>
  <c r="Q59" i="69"/>
  <c r="Q58" i="69"/>
  <c r="Q57" i="69"/>
  <c r="Q56" i="69"/>
  <c r="Q55" i="69"/>
  <c r="Q54" i="69"/>
  <c r="Q53" i="69"/>
  <c r="Q52" i="69"/>
  <c r="Q51" i="69"/>
  <c r="Q50" i="69"/>
  <c r="Q49" i="69"/>
  <c r="Q48" i="69"/>
  <c r="Q47" i="69"/>
  <c r="Q46" i="69"/>
  <c r="Q45" i="69"/>
  <c r="Q44" i="69"/>
  <c r="Q43" i="69"/>
  <c r="Q42" i="69"/>
  <c r="Q67" i="69" s="1"/>
  <c r="Q68" i="69" s="1"/>
  <c r="B49" i="69" s="1"/>
  <c r="B50" i="69" s="1"/>
  <c r="Q41" i="69"/>
  <c r="Q40" i="69"/>
  <c r="Q39" i="69"/>
  <c r="Q38" i="69"/>
  <c r="Q37" i="69"/>
  <c r="P51" i="67" l="1"/>
  <c r="S44" i="67" l="1"/>
  <c r="T47" i="67"/>
  <c r="O18" i="67"/>
  <c r="S45" i="67" s="1"/>
  <c r="P44" i="67"/>
  <c r="O46" i="67"/>
  <c r="O44" i="67"/>
  <c r="Q84" i="67"/>
  <c r="Q85" i="67" s="1"/>
  <c r="Q86" i="67" s="1"/>
  <c r="Q87" i="67" s="1"/>
  <c r="Q88" i="67" s="1"/>
  <c r="P84" i="67"/>
  <c r="P85" i="67" s="1"/>
  <c r="P86" i="67" s="1"/>
  <c r="P87" i="67" s="1"/>
  <c r="P88" i="67" s="1"/>
  <c r="S46" i="67"/>
  <c r="R46" i="67"/>
  <c r="Q46" i="67"/>
  <c r="P46" i="67"/>
  <c r="R45" i="67"/>
  <c r="O45" i="67"/>
  <c r="P45" i="67" s="1"/>
  <c r="C20" i="67"/>
  <c r="C21" i="67" s="1"/>
  <c r="D21" i="67" s="1"/>
  <c r="O19" i="67" l="1"/>
  <c r="P19" i="67" s="1"/>
  <c r="Q45" i="67"/>
  <c r="T45" i="67" s="1"/>
  <c r="T46" i="67" s="1"/>
  <c r="Q44" i="67" l="1"/>
  <c r="R44" i="67"/>
  <c r="T44" i="67" l="1"/>
  <c r="O19" i="66" l="1"/>
  <c r="O14" i="66"/>
  <c r="O9" i="66"/>
  <c r="O6" i="65"/>
  <c r="O7" i="65"/>
  <c r="O8" i="65"/>
  <c r="O9" i="65"/>
  <c r="O10" i="65"/>
  <c r="O11" i="65"/>
  <c r="O12" i="65"/>
  <c r="O13" i="65"/>
  <c r="P19" i="65"/>
  <c r="P25" i="65" s="1"/>
  <c r="P22" i="65"/>
  <c r="P32" i="65"/>
  <c r="U32" i="65"/>
  <c r="P33" i="65"/>
  <c r="P34" i="65"/>
  <c r="P35" i="65"/>
  <c r="P36" i="65"/>
  <c r="P37" i="65"/>
  <c r="P38" i="65"/>
  <c r="Q38" i="65"/>
  <c r="Q37" i="65" s="1"/>
  <c r="Q36" i="65" s="1"/>
  <c r="Q35" i="65" s="1"/>
  <c r="Q34" i="65" s="1"/>
  <c r="Q33" i="65" s="1"/>
  <c r="Q32" i="65" s="1"/>
  <c r="Q31" i="65" s="1"/>
  <c r="S38" i="65"/>
  <c r="S37" i="65" s="1"/>
  <c r="S36" i="65" s="1"/>
  <c r="S35" i="65" s="1"/>
  <c r="R39" i="65"/>
  <c r="P51" i="65"/>
  <c r="R51" i="65"/>
  <c r="W51" i="65" s="1"/>
  <c r="T51" i="65"/>
  <c r="V51" i="65"/>
  <c r="P52" i="65"/>
  <c r="R52" i="65" s="1"/>
  <c r="P53" i="65"/>
  <c r="R53" i="65"/>
  <c r="T53" i="65"/>
  <c r="V53" i="65"/>
  <c r="W53" i="65"/>
  <c r="P54" i="65"/>
  <c r="R54" i="65" s="1"/>
  <c r="T54" i="65" l="1"/>
  <c r="V54" i="65"/>
  <c r="W54" i="65" s="1"/>
  <c r="S34" i="65"/>
  <c r="T34" i="65"/>
  <c r="T52" i="65"/>
  <c r="V52" i="65"/>
  <c r="W52" i="65"/>
  <c r="W56" i="65" s="1"/>
  <c r="U34" i="65"/>
  <c r="S48" i="64"/>
  <c r="T28" i="64"/>
  <c r="S28" i="64"/>
  <c r="U28" i="64" s="1"/>
  <c r="U27" i="64"/>
  <c r="T27" i="64"/>
  <c r="S27" i="64"/>
  <c r="T26" i="64"/>
  <c r="U26" i="64" s="1"/>
  <c r="U29" i="64" s="1"/>
  <c r="S31" i="64" s="1"/>
  <c r="S26" i="64"/>
  <c r="Q23" i="64"/>
  <c r="S33" i="65" l="1"/>
  <c r="T33" i="65"/>
  <c r="U33" i="65" s="1"/>
  <c r="O40" i="65" s="1"/>
  <c r="S49" i="64"/>
  <c r="S32" i="65" l="1"/>
  <c r="T32" i="65"/>
  <c r="Q60" i="63"/>
  <c r="R60" i="63" s="1"/>
  <c r="P60" i="63"/>
  <c r="Q59" i="63"/>
  <c r="P59" i="63"/>
  <c r="R59" i="63" s="1"/>
  <c r="Q58" i="63"/>
  <c r="P58" i="63"/>
  <c r="Q57" i="63"/>
  <c r="P57" i="63"/>
  <c r="R57" i="63" s="1"/>
  <c r="Q56" i="63"/>
  <c r="P56" i="63"/>
  <c r="Q55" i="63"/>
  <c r="P55" i="63"/>
  <c r="R55" i="63" s="1"/>
  <c r="P48" i="63"/>
  <c r="O48" i="63"/>
  <c r="N48" i="63"/>
  <c r="O47" i="63"/>
  <c r="N47" i="63"/>
  <c r="P47" i="63" s="1"/>
  <c r="O46" i="63"/>
  <c r="N46" i="63"/>
  <c r="P46" i="63" s="1"/>
  <c r="O45" i="63"/>
  <c r="N45" i="63"/>
  <c r="S44" i="63"/>
  <c r="S45" i="63" s="1"/>
  <c r="S46" i="63" s="1"/>
  <c r="S47" i="63" s="1"/>
  <c r="S48" i="63" s="1"/>
  <c r="O44" i="63"/>
  <c r="N44" i="63"/>
  <c r="O43" i="63"/>
  <c r="N43" i="63"/>
  <c r="P43" i="63" s="1"/>
  <c r="S31" i="65" l="1"/>
  <c r="T31" i="65"/>
  <c r="U31" i="65" s="1"/>
  <c r="P45" i="63"/>
  <c r="T45" i="63" s="1"/>
  <c r="O57" i="63" s="1"/>
  <c r="T57" i="63" s="1"/>
  <c r="R56" i="63"/>
  <c r="R58" i="63"/>
  <c r="P44" i="63"/>
  <c r="T44" i="63" s="1"/>
  <c r="O56" i="63" s="1"/>
  <c r="T46" i="63"/>
  <c r="O58" i="63" s="1"/>
  <c r="T58" i="63" s="1"/>
  <c r="T47" i="63"/>
  <c r="O59" i="63" s="1"/>
  <c r="T59" i="63" s="1"/>
  <c r="T56" i="63"/>
  <c r="T48" i="63"/>
  <c r="O60" i="63" s="1"/>
  <c r="T60" i="63" s="1"/>
  <c r="T43" i="63"/>
  <c r="P49" i="63" l="1"/>
  <c r="O55" i="63"/>
  <c r="T55" i="63" s="1"/>
  <c r="T61" i="63" s="1"/>
  <c r="T49" i="63"/>
  <c r="O61" i="63" s="1"/>
  <c r="T66" i="63" l="1"/>
  <c r="T65" i="63"/>
  <c r="T64" i="63"/>
  <c r="T67" i="63" l="1"/>
  <c r="T69" i="63" s="1"/>
  <c r="U65" i="51" l="1"/>
  <c r="T66" i="51" l="1"/>
  <c r="R47" i="62" l="1"/>
  <c r="P47" i="62"/>
  <c r="R46" i="62"/>
  <c r="P46" i="62"/>
  <c r="R45" i="62"/>
  <c r="P45" i="62"/>
  <c r="R44" i="62"/>
  <c r="P44" i="62"/>
  <c r="R43" i="62"/>
  <c r="P43" i="62"/>
  <c r="R42" i="62"/>
  <c r="P42" i="62"/>
  <c r="R41" i="62"/>
  <c r="P41" i="62"/>
  <c r="R40" i="62"/>
  <c r="P40" i="62"/>
  <c r="R39" i="62"/>
  <c r="P39" i="62"/>
  <c r="R38" i="62"/>
  <c r="P38" i="62"/>
  <c r="R37" i="62"/>
  <c r="P37" i="62"/>
  <c r="R36" i="62"/>
  <c r="P36" i="62"/>
  <c r="R35" i="62"/>
  <c r="P35" i="62"/>
  <c r="R34" i="62"/>
  <c r="P34" i="62"/>
  <c r="K32" i="62"/>
  <c r="I32" i="62"/>
  <c r="R33" i="62"/>
  <c r="P33" i="62"/>
  <c r="K31" i="62"/>
  <c r="I31" i="62"/>
  <c r="R32" i="62"/>
  <c r="P32" i="62"/>
  <c r="K30" i="62"/>
  <c r="I30" i="62"/>
  <c r="C39" i="62"/>
  <c r="D39" i="62" s="1"/>
  <c r="R31" i="62"/>
  <c r="P31" i="62"/>
  <c r="K29" i="62"/>
  <c r="I29" i="62"/>
  <c r="C38" i="62"/>
  <c r="D38" i="62" s="1"/>
  <c r="R30" i="62"/>
  <c r="P30" i="62"/>
  <c r="K28" i="62"/>
  <c r="I28" i="62"/>
  <c r="C37" i="62"/>
  <c r="D37" i="62" s="1"/>
  <c r="R29" i="62"/>
  <c r="P29" i="62"/>
  <c r="K27" i="62"/>
  <c r="I27" i="62"/>
  <c r="C36" i="62"/>
  <c r="D36" i="62" s="1"/>
  <c r="R28" i="62"/>
  <c r="P28" i="62"/>
  <c r="K26" i="62"/>
  <c r="I26" i="62"/>
  <c r="C35" i="62"/>
  <c r="D35" i="62" s="1"/>
  <c r="R27" i="62"/>
  <c r="P27" i="62"/>
  <c r="K25" i="62"/>
  <c r="I25" i="62"/>
  <c r="C34" i="62"/>
  <c r="D34" i="62" s="1"/>
  <c r="R26" i="62"/>
  <c r="P26" i="62"/>
  <c r="K24" i="62"/>
  <c r="I24" i="62"/>
  <c r="C33" i="62"/>
  <c r="D33" i="62" s="1"/>
  <c r="R25" i="62"/>
  <c r="P25" i="62"/>
  <c r="K23" i="62"/>
  <c r="I23" i="62"/>
  <c r="C32" i="62"/>
  <c r="D32" i="62" s="1"/>
  <c r="R24" i="62"/>
  <c r="P24" i="62"/>
  <c r="K22" i="62"/>
  <c r="I22" i="62"/>
  <c r="C31" i="62"/>
  <c r="D31" i="62" s="1"/>
  <c r="R23" i="62"/>
  <c r="P23" i="62"/>
  <c r="K21" i="62"/>
  <c r="I21" i="62"/>
  <c r="C30" i="62"/>
  <c r="D30" i="62" s="1"/>
  <c r="R22" i="62"/>
  <c r="P22" i="62"/>
  <c r="K20" i="62"/>
  <c r="I20" i="62"/>
  <c r="C29" i="62"/>
  <c r="D29" i="62" s="1"/>
  <c r="R21" i="62"/>
  <c r="P21" i="62"/>
  <c r="K19" i="62"/>
  <c r="I19" i="62"/>
  <c r="C28" i="62"/>
  <c r="D28" i="62" s="1"/>
  <c r="R20" i="62"/>
  <c r="P20" i="62"/>
  <c r="K18" i="62"/>
  <c r="I18" i="62"/>
  <c r="C27" i="62"/>
  <c r="D27" i="62" s="1"/>
  <c r="R19" i="62"/>
  <c r="P19" i="62"/>
  <c r="K17" i="62"/>
  <c r="I17" i="62"/>
  <c r="C26" i="62"/>
  <c r="D26" i="62" s="1"/>
  <c r="R18" i="62"/>
  <c r="P18" i="62"/>
  <c r="K16" i="62"/>
  <c r="I16" i="62"/>
  <c r="C25" i="62"/>
  <c r="D25" i="62" s="1"/>
  <c r="R17" i="62"/>
  <c r="P17" i="62"/>
  <c r="K15" i="62"/>
  <c r="I15" i="62"/>
  <c r="C24" i="62"/>
  <c r="D24" i="62" s="1"/>
  <c r="R16" i="62"/>
  <c r="P16" i="62"/>
  <c r="K14" i="62"/>
  <c r="I14" i="62"/>
  <c r="C23" i="62"/>
  <c r="D23" i="62" s="1"/>
  <c r="R15" i="62"/>
  <c r="P15" i="62"/>
  <c r="K13" i="62"/>
  <c r="I13" i="62"/>
  <c r="C22" i="62"/>
  <c r="D22" i="62" s="1"/>
  <c r="R14" i="62"/>
  <c r="P14" i="62"/>
  <c r="K12" i="62"/>
  <c r="I12" i="62"/>
  <c r="C21" i="62"/>
  <c r="D21" i="62" s="1"/>
  <c r="R13" i="62"/>
  <c r="P13" i="62"/>
  <c r="K11" i="62"/>
  <c r="I11" i="62"/>
  <c r="C20" i="62"/>
  <c r="D20" i="62" s="1"/>
  <c r="R12" i="62"/>
  <c r="P12" i="62"/>
  <c r="C19" i="62"/>
  <c r="D19" i="62" s="1"/>
  <c r="R11" i="62"/>
  <c r="P11" i="62"/>
  <c r="C18" i="62"/>
  <c r="D18" i="62" s="1"/>
  <c r="C17" i="62"/>
  <c r="D17" i="62" s="1"/>
  <c r="C16" i="62"/>
  <c r="D16" i="62" s="1"/>
  <c r="C15" i="62"/>
  <c r="D15" i="62" s="1"/>
  <c r="C14" i="62"/>
  <c r="D14" i="62" s="1"/>
  <c r="C13" i="62"/>
  <c r="D13" i="62" s="1"/>
  <c r="C12" i="62"/>
  <c r="D12" i="62" s="1"/>
  <c r="C11" i="62"/>
  <c r="D11" i="62" s="1"/>
  <c r="C10" i="62"/>
  <c r="D10" i="62" s="1"/>
  <c r="D40" i="62" l="1"/>
  <c r="D41" i="62" s="1"/>
  <c r="P65" i="51" l="1"/>
  <c r="P66" i="51"/>
  <c r="O66" i="51"/>
  <c r="O65" i="51"/>
  <c r="C58" i="51"/>
  <c r="U66" i="51" s="1"/>
  <c r="U71" i="51" s="1"/>
  <c r="U74" i="51" s="1"/>
  <c r="D58" i="51"/>
  <c r="U38" i="51"/>
  <c r="U37" i="51"/>
  <c r="T38" i="51"/>
  <c r="T37" i="51"/>
  <c r="P38" i="51"/>
  <c r="O38" i="51"/>
  <c r="P37" i="51"/>
  <c r="O37" i="51"/>
  <c r="F27" i="51"/>
  <c r="E27" i="51"/>
  <c r="D27" i="51"/>
  <c r="C27" i="51"/>
  <c r="T65" i="51" s="1"/>
  <c r="U72" i="51" s="1"/>
  <c r="T41" i="51" l="1"/>
  <c r="P72" i="51"/>
  <c r="P71" i="51"/>
  <c r="O40" i="51"/>
  <c r="O41" i="51"/>
  <c r="T40" i="51"/>
  <c r="T43" i="51" l="1"/>
  <c r="P74" i="51"/>
  <c r="O43" i="51"/>
</calcChain>
</file>

<file path=xl/sharedStrings.xml><?xml version="1.0" encoding="utf-8"?>
<sst xmlns="http://schemas.openxmlformats.org/spreadsheetml/2006/main" count="1031" uniqueCount="539">
  <si>
    <t>ANSWER:</t>
  </si>
  <si>
    <t>Question 1</t>
  </si>
  <si>
    <t>END OF QUESTION</t>
  </si>
  <si>
    <t>Guidance to GH FSA Exam candidates regarding usage of Excel:</t>
  </si>
  <si>
    <t>You may resize rows and/or columns.</t>
  </si>
  <si>
    <t>You may insert rows and/or columns on the pre-populated tabs.</t>
  </si>
  <si>
    <t>You may revise formatting and link to values on the same or differrent tabs in the workbook.</t>
  </si>
  <si>
    <t>Credit is neither given nor lost based on formatting decisions.</t>
  </si>
  <si>
    <t>However, graders need to be able to evaluate your logic, reasoning, and work.</t>
  </si>
  <si>
    <t>When in doubt, please err towards using more intermediate steps/cells.</t>
  </si>
  <si>
    <t>In the event you have a problem fully responding where indicated, please include a note/cross-reference on where graders may find your work/response.</t>
  </si>
  <si>
    <t>If you would prefer to respond in a text box (instead of directly in Excel cells), you can copy/paste the following text box:</t>
  </si>
  <si>
    <t>Show your work.</t>
  </si>
  <si>
    <t>Generic</t>
  </si>
  <si>
    <t>Total</t>
  </si>
  <si>
    <t>(c)</t>
  </si>
  <si>
    <t>Composite</t>
  </si>
  <si>
    <t>Emergency Room</t>
  </si>
  <si>
    <t>Pharmacy</t>
  </si>
  <si>
    <t>Member Coinsurance</t>
  </si>
  <si>
    <t>(d)</t>
  </si>
  <si>
    <t>(b)</t>
  </si>
  <si>
    <t>(i)</t>
  </si>
  <si>
    <t>20X1</t>
  </si>
  <si>
    <t>20X2</t>
  </si>
  <si>
    <t>(ii)</t>
  </si>
  <si>
    <t>(iii)</t>
  </si>
  <si>
    <t>PMPM</t>
  </si>
  <si>
    <t>Age</t>
  </si>
  <si>
    <t>(a)</t>
  </si>
  <si>
    <t>(2 points)</t>
  </si>
  <si>
    <t>You are given:</t>
  </si>
  <si>
    <t>Unit Cost Trend</t>
  </si>
  <si>
    <t>Severity Trend</t>
  </si>
  <si>
    <t>Mix Trend</t>
  </si>
  <si>
    <t>Core Cost trend</t>
  </si>
  <si>
    <t>State your assumptions and show your work.</t>
  </si>
  <si>
    <t>PMPM w/Year 1 Utilization</t>
  </si>
  <si>
    <t>PMPM w/Year 2 Fee Schedule</t>
  </si>
  <si>
    <t>PMPM w/Year 1 Fee Schedule</t>
  </si>
  <si>
    <t>PMPM w/Year 2 Utilization</t>
  </si>
  <si>
    <t>Alternate Answer, calculates severity first (freezing Year 20X1 Unit Cost)</t>
  </si>
  <si>
    <t>20X1 Fee Schedule</t>
  </si>
  <si>
    <t>Projected 20X2 Fee Schedule</t>
  </si>
  <si>
    <t>20X1 Utilization</t>
  </si>
  <si>
    <t>Projected 20X2 Utilization</t>
  </si>
  <si>
    <t>Actual 20X2 Fee Schedule</t>
  </si>
  <si>
    <t>Actual 20X2 Utilization</t>
  </si>
  <si>
    <t>CPT Code</t>
  </si>
  <si>
    <t>00001</t>
  </si>
  <si>
    <t>00002</t>
  </si>
  <si>
    <t>00003</t>
  </si>
  <si>
    <t>00004</t>
  </si>
  <si>
    <t>00005</t>
  </si>
  <si>
    <t>00006</t>
  </si>
  <si>
    <t>Your medical management team informs you that a new technology was introduced for CPT Code 00006 in 20X2.</t>
  </si>
  <si>
    <t>(1 point)</t>
  </si>
  <si>
    <t>Describe the four stages of the technology curve.</t>
  </si>
  <si>
    <t>(e)</t>
  </si>
  <si>
    <t>Recommend a pricing trend development approach to account for CPT code 00006.</t>
  </si>
  <si>
    <t>Evaluate the impact of the new technology on CPT code 00006.</t>
  </si>
  <si>
    <t>Justify your response.</t>
  </si>
  <si>
    <t>Unit cost trend.</t>
  </si>
  <si>
    <t>Severity trend.</t>
  </si>
  <si>
    <t>Core cost trend.</t>
  </si>
  <si>
    <t>Range of Projected Claims PMPY</t>
  </si>
  <si>
    <t>Average
annual
claims</t>
  </si>
  <si>
    <t>$0.01-$50</t>
  </si>
  <si>
    <t>$50.01-$150</t>
  </si>
  <si>
    <t>$150.01 - $500</t>
  </si>
  <si>
    <t>$500.01-$1000</t>
  </si>
  <si>
    <t>$1000.01-$2000</t>
  </si>
  <si>
    <t>$2000.01-$4000</t>
  </si>
  <si>
    <t>&gt;$ 4,000.01</t>
  </si>
  <si>
    <t>You are given a claim probability distribution (CPD) table of projected experience for a commercial pharmacy plan.</t>
  </si>
  <si>
    <t>Frequency</t>
  </si>
  <si>
    <t>(3 points)</t>
  </si>
  <si>
    <t>Sales tax</t>
  </si>
  <si>
    <t>Vaccination fee</t>
  </si>
  <si>
    <t>Dispensing fee</t>
  </si>
  <si>
    <t>Drug Type</t>
  </si>
  <si>
    <t>Average AWP per script</t>
  </si>
  <si>
    <t>Discount off AWP</t>
  </si>
  <si>
    <t>Claim Frequency</t>
  </si>
  <si>
    <t>Rebates as % of Allowed</t>
  </si>
  <si>
    <t>Preferred Brand</t>
  </si>
  <si>
    <t>Non-Preferred Brand</t>
  </si>
  <si>
    <t>Specialty</t>
  </si>
  <si>
    <t>Calculate the expected net plan liability.</t>
  </si>
  <si>
    <t>Allowed Amount =Ingredient Cost + Dispensing Fee + Vaccine Fee +Sales Tax</t>
  </si>
  <si>
    <t>Ingredient Cost=AWP x (1-discount)</t>
  </si>
  <si>
    <t>(1)</t>
  </si>
  <si>
    <t>(2)</t>
  </si>
  <si>
    <t>(4)=(2)x(3)</t>
  </si>
  <si>
    <t>(5)=(1)-(2)</t>
  </si>
  <si>
    <t>(6)</t>
  </si>
  <si>
    <t>(7)</t>
  </si>
  <si>
    <t>(8)</t>
  </si>
  <si>
    <t>Range of Claims PMPY</t>
  </si>
  <si>
    <t>Annual
cost</t>
  </si>
  <si>
    <t>Accrumulated frequency</t>
  </si>
  <si>
    <t>Deductible/High end of the Range</t>
  </si>
  <si>
    <t>Accumulated annual cost</t>
  </si>
  <si>
    <t>Value of
claim cost in
excess of the
high end of
range</t>
  </si>
  <si>
    <t>Value of deductible equal to the high end of range</t>
  </si>
  <si>
    <t>PMPY Allowed</t>
  </si>
  <si>
    <t xml:space="preserve">Value of 150 deductible is </t>
  </si>
  <si>
    <t>Ingredient Cost</t>
  </si>
  <si>
    <t>Rebates</t>
  </si>
  <si>
    <t>List Medicaid risk-sharing strategies between states and managed care organizations (MCOs).</t>
  </si>
  <si>
    <t>Unadjusted Base Data</t>
  </si>
  <si>
    <t>Category of Service</t>
  </si>
  <si>
    <t>Util/1000</t>
  </si>
  <si>
    <t>Unit Cost</t>
  </si>
  <si>
    <t>Inpatient</t>
  </si>
  <si>
    <t>Outpatient</t>
  </si>
  <si>
    <t>Professional</t>
  </si>
  <si>
    <t>Behavioral Health</t>
  </si>
  <si>
    <t>Program Design Changes</t>
  </si>
  <si>
    <t>Acuity</t>
  </si>
  <si>
    <t>Managed Care Efficiencies</t>
  </si>
  <si>
    <t>Annualized Trends</t>
  </si>
  <si>
    <t>Base Period PMPM Adjustments</t>
  </si>
  <si>
    <t>Administration</t>
  </si>
  <si>
    <t>Underwriting Gain</t>
  </si>
  <si>
    <t>Tax and withhold</t>
  </si>
  <si>
    <t>Non-Benefit Expense Items</t>
  </si>
  <si>
    <t>Adjusted base data.</t>
  </si>
  <si>
    <t>Projected medical.</t>
  </si>
  <si>
    <t>Total capitation rate.</t>
  </si>
  <si>
    <t>Evaluate the results from the perspective of each stakeholder.</t>
  </si>
  <si>
    <t>State ABC.</t>
  </si>
  <si>
    <t>Managed care organizations.</t>
  </si>
  <si>
    <t>Adjusted Base Data</t>
  </si>
  <si>
    <t>All Categories of Service</t>
  </si>
  <si>
    <t>Annualized Trend</t>
  </si>
  <si>
    <t>Program Changes</t>
  </si>
  <si>
    <t>Projected Medical</t>
  </si>
  <si>
    <t>Percent Load</t>
  </si>
  <si>
    <t>Total Non-Medical</t>
  </si>
  <si>
    <t>Total Capitation</t>
  </si>
  <si>
    <t>Member A, employed by ABC Company, becomes ill and is out on long-term disability (LTD) leave.</t>
  </si>
  <si>
    <t>While on LTD, Member A becomes employed in a part-time job.</t>
  </si>
  <si>
    <t>per month</t>
  </si>
  <si>
    <t>Proportionate loss formula</t>
  </si>
  <si>
    <t>50% offset</t>
  </si>
  <si>
    <t>Work incentive offset</t>
  </si>
  <si>
    <t>You are given the following pricing information:</t>
  </si>
  <si>
    <t>Elimination period</t>
  </si>
  <si>
    <t>3 months</t>
  </si>
  <si>
    <t>Annual benefit</t>
  </si>
  <si>
    <t>Annual interest rate</t>
  </si>
  <si>
    <t>All employees are 35-year old females.</t>
  </si>
  <si>
    <t>Assume no offsets.</t>
  </si>
  <si>
    <t>Benefits are paid at the end of each year of disability.</t>
  </si>
  <si>
    <t>Benefit maximum</t>
  </si>
  <si>
    <t>3 years</t>
  </si>
  <si>
    <t>Claim Incident Rate Table</t>
  </si>
  <si>
    <t>Sex</t>
  </si>
  <si>
    <t>Claim Incident Rate (per 1,000 lives)</t>
  </si>
  <si>
    <t>F</t>
  </si>
  <si>
    <t>Under 30</t>
  </si>
  <si>
    <t>30-39</t>
  </si>
  <si>
    <t>40-49</t>
  </si>
  <si>
    <t>50-59</t>
  </si>
  <si>
    <t>60-64</t>
  </si>
  <si>
    <t>65-66</t>
  </si>
  <si>
    <t>M</t>
  </si>
  <si>
    <t>Duration of Disablement after Elimination Period</t>
  </si>
  <si>
    <t>Age at Disablement</t>
  </si>
  <si>
    <t>1st year</t>
  </si>
  <si>
    <t>2nd year</t>
  </si>
  <si>
    <t>3rd year</t>
  </si>
  <si>
    <t>4th year</t>
  </si>
  <si>
    <t>5th year</t>
  </si>
  <si>
    <t>The actual claim experience for a 35-year old female materializes as a 40-49 female in the claim incidence rate table.</t>
  </si>
  <si>
    <t>Response</t>
  </si>
  <si>
    <t>i. Proportionate loss formula</t>
  </si>
  <si>
    <t>ii. 50% offset</t>
  </si>
  <si>
    <t>iii. Work incentive benefit</t>
  </si>
  <si>
    <t>Death &amp; Recovery Rate Table - Females (3-month elimination period)</t>
  </si>
  <si>
    <t>3-month Elimination Period</t>
  </si>
  <si>
    <t>6-month Elimination Period</t>
  </si>
  <si>
    <t>Solution</t>
  </si>
  <si>
    <t>Incidence rate for female, age 30-39</t>
  </si>
  <si>
    <t>=1.6/1,000</t>
  </si>
  <si>
    <t>Year</t>
  </si>
  <si>
    <t>Benefit</t>
  </si>
  <si>
    <t>Death/Recovery Rate</t>
  </si>
  <si>
    <t>Continuance Rate</t>
  </si>
  <si>
    <t>Interest Discount</t>
  </si>
  <si>
    <t>Product</t>
  </si>
  <si>
    <t>Monthly Net Premium</t>
  </si>
  <si>
    <t>Replace incidence rate with 40-49 instead of 30-39 for a female</t>
  </si>
  <si>
    <t>Incidence rate for female, age 40-49</t>
  </si>
  <si>
    <t>=2.5/1,000</t>
  </si>
  <si>
    <t>Monthly Net Premium Shortfall</t>
  </si>
  <si>
    <t>-Meets all applicable LTC benefit eligibility requirements.</t>
  </si>
  <si>
    <t>Resided in nursing facility full time</t>
  </si>
  <si>
    <t>Cost per day of service</t>
  </si>
  <si>
    <t>Policyholder A</t>
  </si>
  <si>
    <t>-Receives LTC services over a 3-year period, then dies at the end of year 3.</t>
  </si>
  <si>
    <t>Received services in his home 5 days a week</t>
  </si>
  <si>
    <t>Standalone LTC</t>
  </si>
  <si>
    <t>You are given the following policy benefit information.</t>
  </si>
  <si>
    <t>Benefits are paid on a reimbursement basis up to a daily maximum of $250 and a lifetime maximum of $250,000.</t>
  </si>
  <si>
    <t>(i)     Standalone LTC</t>
  </si>
  <si>
    <t>Base Plan Member Cost Sharing</t>
  </si>
  <si>
    <t>Deductible</t>
  </si>
  <si>
    <t>Plan Beneficiary Coinsurance</t>
  </si>
  <si>
    <t>Maximum Out-of-Pocket</t>
  </si>
  <si>
    <t>Number of Employees</t>
  </si>
  <si>
    <t>Individual Claim Probability Distribution</t>
  </si>
  <si>
    <t>Monte Carlo Simulation - 500,000 Trials - Plan Retained Claim with $50,000 Specific Deductible</t>
  </si>
  <si>
    <t>Monte Carlo Simulation - 500,000 Trials - Plan Claim Without Specific Stop-Loss</t>
  </si>
  <si>
    <t>Average Claim Cost</t>
  </si>
  <si>
    <t>Member Cost Share</t>
  </si>
  <si>
    <t>Plan's Claim</t>
  </si>
  <si>
    <t>Bracket Lower %</t>
  </si>
  <si>
    <t>Bracket Upper %</t>
  </si>
  <si>
    <t>Number Trials in Bracket</t>
  </si>
  <si>
    <t>Bracket Frequency as Percent</t>
  </si>
  <si>
    <t>Sum of Bracket Total Claims</t>
  </si>
  <si>
    <t>Average Ground-Up Claims Within Brackets</t>
  </si>
  <si>
    <t>Expected Total Claims</t>
  </si>
  <si>
    <t>Group Expected Total Claims</t>
  </si>
  <si>
    <t>Compare and contrast financial reporting trends and pricing trends.</t>
  </si>
  <si>
    <t>Unadjusted Base Period Data</t>
  </si>
  <si>
    <t>Assume the carve out reduces the managed care pharmacy utilization by 50%.</t>
  </si>
  <si>
    <t>Pre-disability earnings:</t>
  </si>
  <si>
    <t>LTD policy gross benefit amount:</t>
  </si>
  <si>
    <t>Part-time work earnings:</t>
  </si>
  <si>
    <t>Calculate the monthly premium per employee for ABC Company.</t>
  </si>
  <si>
    <t>You are an actuary pricing a group LTD plan for ABC Company.</t>
  </si>
  <si>
    <t>Calculate the value of a $150 deductible.</t>
  </si>
  <si>
    <t>Average Annual Claims</t>
  </si>
  <si>
    <t>Benefit Description</t>
  </si>
  <si>
    <t>$250,000 death benefit, acceleration of benefits of 4% per month, and extension of benefits equal to 1 times the accelerated benefit.</t>
  </si>
  <si>
    <t>First 2 years, pays full $175 per day for each day of service.  Last year, pays $250 for each day of service since cost is over daily maximum, but gets service every day.</t>
  </si>
  <si>
    <t>(2 Years * 365 days/year * (5 service days / 7 days a week) * $175 per day) + (1 year * 365 days/year * (7 service days / 7 days per week) * $250 per day)</t>
  </si>
  <si>
    <t xml:space="preserve"> = Total Payment</t>
  </si>
  <si>
    <t xml:space="preserve">Acceleration and extension each provide 25 months of payments (25 = 100% / 4%) at $10k per month ($250k * 4%).  </t>
  </si>
  <si>
    <t>Claim lasts for 3 years (36 months), so they are paid $10k * 25 = $250k for acceleration plus $10k * 11 = $110k for extension or $360k total.  No death benefit remaining to be paid.</t>
  </si>
  <si>
    <t xml:space="preserve">Acceleration provides 100 months of payments (100% / 1%) at $10k per month ($1M * 1%).  </t>
  </si>
  <si>
    <t xml:space="preserve">Claim lasts for 3 years (36 months), so they are paid $10k * 36 = $360k for acceleration.  </t>
  </si>
  <si>
    <t>Does not accelerate all benefits, so they are paid the remainder of the $1M face amount ($640k = $1M - $360k) upon death and get $1M total.</t>
  </si>
  <si>
    <t>The Chief Financial Officer (CFO) of a managed care plan that operates within State ABC expressed concern with the capitation rates:</t>
  </si>
  <si>
    <t>Explain how each strategy mitigates financial risks.</t>
  </si>
  <si>
    <t>Identify and describe capitation rate development process components that are unique to the Medicaid program.</t>
  </si>
  <si>
    <t>Calculate the premium surplus or shortfall.</t>
  </si>
  <si>
    <t>$1,000,000 death benefit and acceleration of benefits of 1% per month.</t>
  </si>
  <si>
    <t>Base period data: January 1, 20X1 to December 31, 20X1.</t>
  </si>
  <si>
    <t>Mid-point to mid-point trend between 7/1/20x1 and 1/1/20x4 requires a trend over 30 months, or 2.5 years.</t>
  </si>
  <si>
    <t>You are a Medicaid actuary working with State ABC on its Medicaid rate certification for the state fiscal year from July 1, 20X3 to June 30, 20X4.</t>
  </si>
  <si>
    <t>State ABC will carve the pharmacy category of service out of managed care and into fee-for-service (FFS) beginning January 1, 20X4.</t>
  </si>
  <si>
    <t>Question 3</t>
  </si>
  <si>
    <t>Question 4</t>
  </si>
  <si>
    <t>(8 points)</t>
  </si>
  <si>
    <t>(9 points)</t>
  </si>
  <si>
    <t>(6 points)</t>
  </si>
  <si>
    <t>Question 7</t>
  </si>
  <si>
    <t>Question 9</t>
  </si>
  <si>
    <t>Calculate the following PMPMs to include in the Medicaid rate certification:</t>
  </si>
  <si>
    <t>State ABC conducted a retrospective review in 20X5 and found that the actual claims PMPM in state fiscal year July 1, 20X3 to June 30, 20X4 was $305.00 PMPM.</t>
  </si>
  <si>
    <t>You are a trend actuary working for a health insurer and provide insights to pricing and financial reporting teams.</t>
  </si>
  <si>
    <t>Critique the CFO’s statement based on guidance from ASOP #49.</t>
  </si>
  <si>
    <t>Caclulate the LTD benefit that Member A receives under the following income offset approaches:</t>
  </si>
  <si>
    <t>Calculate the following projected trends for 20X2.</t>
  </si>
  <si>
    <t>Calculate the following actual trends for 20X2.</t>
  </si>
  <si>
    <t>"We believe the capitation rats are inadequate. Our health plan sustained losses for three years in a row.</t>
  </si>
  <si>
    <t>Claims PMPMs are consistently higher than what is included in the captiation rates by at least $30.00 PMPM."</t>
  </si>
  <si>
    <t>Hybrid WL and LTC Option #1</t>
  </si>
  <si>
    <t>Hybrid WL and LTC Option #2</t>
  </si>
  <si>
    <t>Policy Option</t>
  </si>
  <si>
    <t>(ii)    Hybrid WL and LTC Option #1</t>
  </si>
  <si>
    <t>(iii)   Hybrid WL and LTC Option #2</t>
  </si>
  <si>
    <t>(3 points)   Calculate the total policy benefits paid to Policyholder A under each of the insurance policy options described below:</t>
  </si>
  <si>
    <t>You are given the following information for Policyholder A:</t>
  </si>
  <si>
    <t>i)</t>
  </si>
  <si>
    <t>ii)</t>
  </si>
  <si>
    <t>iii)</t>
  </si>
  <si>
    <t>Base Data Adjustments</t>
  </si>
  <si>
    <t>(a) and (e)</t>
  </si>
  <si>
    <t>The model solution for these parts are in the .pdf document.</t>
  </si>
  <si>
    <t>part (b)</t>
  </si>
  <si>
    <t>part (c)</t>
  </si>
  <si>
    <t>part (d)</t>
  </si>
  <si>
    <t>Total net plan liability = weighted average by drug type using frequency as weights:</t>
  </si>
  <si>
    <t>Net Plan Liability by type</t>
  </si>
  <si>
    <t>Member Coinsurance Amount</t>
  </si>
  <si>
    <t>Member Coinsurance %</t>
  </si>
  <si>
    <t>Allowed Amount</t>
  </si>
  <si>
    <t>Dispensing Fee</t>
  </si>
  <si>
    <t>Shaded values are given in problem</t>
  </si>
  <si>
    <t>Method 2:</t>
  </si>
  <si>
    <t xml:space="preserve">Value of $150 deductible = </t>
  </si>
  <si>
    <t>Value of deductible is the difference between the average annual claims before and after applying the deductible</t>
  </si>
  <si>
    <t xml:space="preserve">Claims after deductible = </t>
  </si>
  <si>
    <t>Calculate average annual claims after applying deductible</t>
  </si>
  <si>
    <t>Claims before deductible =</t>
  </si>
  <si>
    <t>Calculate average annual claims before deductible, i.e., the weighted average annual claims using the frequency for weighting.</t>
  </si>
  <si>
    <t>Average Annual Claims after applying $150 deductible</t>
  </si>
  <si>
    <t>Method 1:</t>
  </si>
  <si>
    <t>(a) and (b)</t>
  </si>
  <si>
    <t>The model solution for this part is in the .pdf document.</t>
  </si>
  <si>
    <t>Question 2</t>
  </si>
  <si>
    <t>Describe the three faces of anti-selection.</t>
  </si>
  <si>
    <t>The employees of Al's Toy Barn all have a PPO in 20X1 with the following characteristics:</t>
  </si>
  <si>
    <t>The employees of Al's Toy Barn all have a PPO plan in 20X1 with the following characteristics:</t>
  </si>
  <si>
    <t>Number of Members</t>
  </si>
  <si>
    <t>Annual Pure Premium Cost per Member</t>
  </si>
  <si>
    <t>Healthy</t>
  </si>
  <si>
    <t>Risk Category</t>
  </si>
  <si>
    <t>Chronic</t>
  </si>
  <si>
    <t>Catastrophic</t>
  </si>
  <si>
    <t>Al's is planning on offering a high deducltible health plan (HDHP) in 20X3.</t>
  </si>
  <si>
    <t>Anticipated savings from HDHP plan:</t>
  </si>
  <si>
    <t>2-year rate increase from 20X1 to 20X3:</t>
  </si>
  <si>
    <t>Annual claims trend:</t>
  </si>
  <si>
    <t>Assume:</t>
  </si>
  <si>
    <t>▪ Healthy members in 20X1 are expected to move to the HDHP.</t>
  </si>
  <si>
    <t>▪ Chronic and Catastrophic members in 20X1 are expected to stay with their PPO.</t>
  </si>
  <si>
    <t>▪ 1% of all members, regardless of risk category in 20X1, are expected to have a catastrophic claim in 20X3.</t>
  </si>
  <si>
    <t>▪ No administrative costs.</t>
  </si>
  <si>
    <t>Calculate:</t>
  </si>
  <si>
    <t>The premium leakage per member.</t>
  </si>
  <si>
    <t>The buy-down effect per member.</t>
  </si>
  <si>
    <t>HDHP - healthy</t>
  </si>
  <si>
    <t>HDHP - catastrophic</t>
  </si>
  <si>
    <t>PPO - Healthy</t>
  </si>
  <si>
    <t>PPO - chronic</t>
  </si>
  <si>
    <t>PPO - catastrophic</t>
  </si>
  <si>
    <t>Expected Premium</t>
  </si>
  <si>
    <t>Distribution</t>
  </si>
  <si>
    <t>Actual Pure Premium</t>
  </si>
  <si>
    <t>Evaluate the impact of a catastrophic claim on premium leakage and buy-down effect.</t>
  </si>
  <si>
    <t>Construct a graph of the cumulative antiselection effects for members in the Healthy and Chronic risk categories by completing the table below.</t>
  </si>
  <si>
    <t>The x-axis is the % premium increase over trend.</t>
  </si>
  <si>
    <t>The y-axis is the lapse rate.</t>
  </si>
  <si>
    <t>% Premium Increase Over Trend</t>
  </si>
  <si>
    <t>Healthy Health Status</t>
  </si>
  <si>
    <t xml:space="preserve">Chronic Health Status </t>
  </si>
  <si>
    <t>Describe the cumulative impact of premium increases over trend on the stability of Al's health insurance offering.</t>
  </si>
  <si>
    <t>i.            The amount of premium leakage per member</t>
  </si>
  <si>
    <t>ii.            The buy-down effect per member</t>
  </si>
  <si>
    <t>SOLUTION:</t>
  </si>
  <si>
    <t>€</t>
  </si>
  <si>
    <t>Candidate answers may vary. Candidates who answered with Healthy Health Status members having higher values and accelerating faster than Chronic Health Status members in relation to the premium increases over time received full credit.</t>
  </si>
  <si>
    <t>Adjusted base data</t>
  </si>
  <si>
    <t>Projected medical</t>
  </si>
  <si>
    <t>Total capitation rate</t>
  </si>
  <si>
    <t>Net benefit = 80% * gross benefit from LTD policy of $7,000 = $5,600</t>
  </si>
  <si>
    <t>Loss of income percentage = 1 - 2,000/10,000 = .8 or 80%</t>
  </si>
  <si>
    <t>Reduces the benefit by $1 for every $2 of work earnings so 50% of $2,000 = $1,000</t>
  </si>
  <si>
    <t>Net benefit = $7,000 - $1,000 = $6,000</t>
  </si>
  <si>
    <t>Gross benefit of $7,000 plus the part-time earnings of $2,000 per month are less than the pre-disability earnings of $10,000</t>
  </si>
  <si>
    <t>Net benefit = gross benefit of $7,000</t>
  </si>
  <si>
    <t>ABC Company management reviewed the results and is evaluating their funding arrangement.</t>
  </si>
  <si>
    <t>Identify methods ABC Company can use to mitigate risks of self-insuring their LTD plan.</t>
  </si>
  <si>
    <t>Question 5</t>
  </si>
  <si>
    <t>(5 points)</t>
  </si>
  <si>
    <t>Describe unintended consequences of the Affordable Care Act (ACA)'s individual market design.</t>
  </si>
  <si>
    <t>You are a state regulator reviewing on-exchange rates for the individual market.</t>
  </si>
  <si>
    <t>▪ The state uses the default standard age curve.</t>
  </si>
  <si>
    <t>▪ Each insurer has a single provider network.</t>
  </si>
  <si>
    <t>▪ Each insurer offers no more than one plan at each metal level.</t>
  </si>
  <si>
    <t>▪ The state has a single rating area.</t>
  </si>
  <si>
    <t>▪ Monthly premium rate tables:</t>
  </si>
  <si>
    <t>Monthly Premium Rate Table - Age 21</t>
  </si>
  <si>
    <t>Metal Level</t>
  </si>
  <si>
    <t>Insurer A</t>
  </si>
  <si>
    <t>Insurer B</t>
  </si>
  <si>
    <t>Insurer C</t>
  </si>
  <si>
    <t>Insurer D</t>
  </si>
  <si>
    <t>Bronze</t>
  </si>
  <si>
    <t>None filed</t>
  </si>
  <si>
    <t>$50 Non-tobacco</t>
  </si>
  <si>
    <t>$100 Tobacco</t>
  </si>
  <si>
    <t xml:space="preserve">Silver </t>
  </si>
  <si>
    <t>Gold</t>
  </si>
  <si>
    <t>Platinum</t>
  </si>
  <si>
    <t>Monthly Premium Rate Table - Age 64</t>
  </si>
  <si>
    <t>$500 Non-tobacco</t>
  </si>
  <si>
    <t>$1500 Tobacco</t>
  </si>
  <si>
    <t>Assess compliance concerns with the rates shown for each insurer.</t>
  </si>
  <si>
    <t>(iv)</t>
  </si>
  <si>
    <t>The model solution for Question 5 is in the .pdf document.</t>
  </si>
  <si>
    <t>Question 6</t>
  </si>
  <si>
    <t>Contrast paid contracts and incurred contracts in stop loss insurance (SLI).</t>
  </si>
  <si>
    <t>Explain causes of volatility in claim payment cash flow timing for self-insured medical claims.</t>
  </si>
  <si>
    <t>Your employer client is a self-insured plan covering 500 members.</t>
  </si>
  <si>
    <t>(c)(i)</t>
  </si>
  <si>
    <t>(c)(ii)</t>
  </si>
  <si>
    <t>(c)(iii)</t>
  </si>
  <si>
    <t>From Tab &lt;CalculationTable_A&gt;</t>
  </si>
  <si>
    <t>You are pricing SLI contract options using Monte Carlo simulations of aggregate group claims for the self-insured group medical plan.</t>
  </si>
  <si>
    <t>Stop Loss Policy Claim</t>
  </si>
  <si>
    <t>CalculationTable_A</t>
  </si>
  <si>
    <t>Expenses</t>
  </si>
  <si>
    <t>3% of expected claims</t>
  </si>
  <si>
    <t>Profit margin</t>
  </si>
  <si>
    <t>(4 points)</t>
  </si>
  <si>
    <t>Calculate the annual stop loss premium under the following SLI contract options:</t>
  </si>
  <si>
    <t>$50,000 specific deductible</t>
  </si>
  <si>
    <t>$50,000 specific deductible with 105% aggregate attachment point</t>
  </si>
  <si>
    <t>105% aggregate-only attachment point</t>
  </si>
  <si>
    <t>Annual Stop Loss Policy Claim w/ $50,000 Specific Deductible</t>
  </si>
  <si>
    <t>Annual Premium With Expenses &amp; Profit Margin</t>
  </si>
  <si>
    <t>Average Claim from 500,000 simulations</t>
  </si>
  <si>
    <t>105% Aggregate Attachment Point</t>
  </si>
  <si>
    <t>Average Simulated Claims Exceeding 105%</t>
  </si>
  <si>
    <t>Compare Above w/ 105% Aggregate Attachment Point</t>
  </si>
  <si>
    <t>Multiply by Probability of Exceeding 105%</t>
  </si>
  <si>
    <t>Add Expected Claim with $50,000 Specific Deductible from (i)</t>
  </si>
  <si>
    <t>(a) and (d)</t>
  </si>
  <si>
    <t>Question 8</t>
  </si>
  <si>
    <t>Compare and contrast prospective and retrospective experience rating methods.</t>
  </si>
  <si>
    <t>You are a pricing actuary for Big Fish Insurance Company, which markets to large groups with at least 5,000 employees.</t>
  </si>
  <si>
    <t>Describe risk mitigation techniques Big Fish could use under the following retrospective rating options:</t>
  </si>
  <si>
    <t>Deficit recovery arrangement</t>
  </si>
  <si>
    <t>Unilateral arrangement</t>
  </si>
  <si>
    <t>Bilateral arrangement</t>
  </si>
  <si>
    <t>You are pricing a retrospective experience rating option with a deficit recovery arrangement.</t>
  </si>
  <si>
    <t xml:space="preserve">Surplus is accumulated over 1 year to offset future deficits and deficits are recovered over 2 years. </t>
  </si>
  <si>
    <t>20X3</t>
  </si>
  <si>
    <t>Data &amp; Assumptions</t>
  </si>
  <si>
    <t>Net Premium</t>
  </si>
  <si>
    <t>Paid Premium</t>
  </si>
  <si>
    <t>Average # of Insured Members</t>
  </si>
  <si>
    <t>Pooled Premium</t>
  </si>
  <si>
    <t>-</t>
  </si>
  <si>
    <t>Experience Premium</t>
  </si>
  <si>
    <t>=</t>
  </si>
  <si>
    <t>Paid Claims</t>
  </si>
  <si>
    <t>Retention Charges</t>
  </si>
  <si>
    <t>Paid Premium x 15%</t>
  </si>
  <si>
    <t>Change in IBNR</t>
  </si>
  <si>
    <t>Pooled Claims</t>
  </si>
  <si>
    <t>Year 20X4</t>
  </si>
  <si>
    <t>Credibility Weights</t>
  </si>
  <si>
    <t>PMPM Paid Premium</t>
  </si>
  <si>
    <t>Paid premiums divided by MMS</t>
  </si>
  <si>
    <t>PMPM Pooled Premium</t>
  </si>
  <si>
    <t>Pooled premiums divided by MMS</t>
  </si>
  <si>
    <t>PMPM Paid Premium in 20X4</t>
  </si>
  <si>
    <t>PMPM Experience Premium</t>
  </si>
  <si>
    <t>PMPM Paid Premium less PMPM Pooled Premium</t>
  </si>
  <si>
    <t>PMPM Pooling Premium Rate in 20X4</t>
  </si>
  <si>
    <r>
      <t>Adjusted Premium Onlevel to 20X</t>
    </r>
    <r>
      <rPr>
        <b/>
        <sz val="12"/>
        <color theme="9"/>
        <rFont val="Times New Roman"/>
        <family val="1"/>
      </rPr>
      <t>4</t>
    </r>
  </si>
  <si>
    <r>
      <t>Experience Premium x (20X</t>
    </r>
    <r>
      <rPr>
        <b/>
        <sz val="12"/>
        <color theme="9"/>
        <rFont val="Times New Roman"/>
        <family val="1"/>
      </rPr>
      <t>4</t>
    </r>
    <r>
      <rPr>
        <sz val="12"/>
        <color rgb="FFFF0000"/>
        <rFont val="Times New Roman"/>
        <family val="1"/>
      </rPr>
      <t xml:space="preserve"> </t>
    </r>
    <r>
      <rPr>
        <sz val="12"/>
        <color theme="1"/>
        <rFont val="Times New Roman"/>
        <family val="1"/>
      </rPr>
      <t>PMPM Experience Premium)/(Historical Year PMPM Experience Premium)</t>
    </r>
  </si>
  <si>
    <t>PMPM Pooling Premium Rate in 20X5</t>
  </si>
  <si>
    <t>Expected average # of members in Year 20X5</t>
  </si>
  <si>
    <t>Cumulative surplus/deficit, if any, to be recovered at the end of 20X3.</t>
  </si>
  <si>
    <t>Retention Fees as a % of Paid Premium</t>
  </si>
  <si>
    <t>Incurred Claims</t>
  </si>
  <si>
    <t>Claims Adjudication</t>
  </si>
  <si>
    <t>Premium Taxes &amp; Assessments</t>
  </si>
  <si>
    <t>+</t>
  </si>
  <si>
    <t>Risk and Profit</t>
  </si>
  <si>
    <t>Surplus/Deficit</t>
  </si>
  <si>
    <t>Other Assumptions</t>
  </si>
  <si>
    <t>Annual Claims Trend</t>
  </si>
  <si>
    <t>Interest Rate</t>
  </si>
  <si>
    <t>Calculate the following:</t>
  </si>
  <si>
    <t>Adjusted premium amount for each of 20X1, 20X2, and 20X3.</t>
  </si>
  <si>
    <t>Annual Claim Trend</t>
  </si>
  <si>
    <t>Total premium rate for 20X5.</t>
  </si>
  <si>
    <t>Compounded Claim Trend Factor</t>
  </si>
  <si>
    <t>Incurred Claims, Trended</t>
  </si>
  <si>
    <t>Incurred Loss Ratio</t>
  </si>
  <si>
    <t>Credibility</t>
  </si>
  <si>
    <t>Credibility Weighted Loss Ratio</t>
  </si>
  <si>
    <t>sumproduct of yearly loss ratio and the corresponding credibility</t>
  </si>
  <si>
    <t>Target Loss Ratio</t>
  </si>
  <si>
    <t>Renewal Rate Increase</t>
  </si>
  <si>
    <t>Weighted Loss Ratio / Target Loss Ratio -1</t>
  </si>
  <si>
    <t>20X4 PMPM Experience Rate</t>
  </si>
  <si>
    <r>
      <t xml:space="preserve">from part </t>
    </r>
    <r>
      <rPr>
        <b/>
        <sz val="12"/>
        <color theme="9"/>
        <rFont val="Times New Roman"/>
        <family val="1"/>
      </rPr>
      <t>i</t>
    </r>
  </si>
  <si>
    <t>Rate Increase</t>
  </si>
  <si>
    <t>20X5 PMPM Base Premium</t>
  </si>
  <si>
    <t>20X4 rate with rate increase</t>
  </si>
  <si>
    <t>Deficit</t>
  </si>
  <si>
    <r>
      <t xml:space="preserve">from part </t>
    </r>
    <r>
      <rPr>
        <b/>
        <sz val="12"/>
        <color theme="9"/>
        <rFont val="Times New Roman"/>
        <family val="1"/>
      </rPr>
      <t>ii</t>
    </r>
  </si>
  <si>
    <t>PMPM Deficit recovery over 2 years</t>
  </si>
  <si>
    <t>Using 20X5 estimated members</t>
  </si>
  <si>
    <t>20X5 PMPM Pooled Premium Rate</t>
  </si>
  <si>
    <t>PMPM Total Premium Rate</t>
  </si>
  <si>
    <t>Base Premium + Deficit Recovery + Pooled Premium</t>
  </si>
  <si>
    <t>Question 10</t>
  </si>
  <si>
    <t>List advantages and disadvantages of  self-funding arrangements for group medical insurance.</t>
  </si>
  <si>
    <t>Describe four risks that are transferred to the insurer in an employee benefit plan with a fully insured contract.</t>
  </si>
  <si>
    <t>You are an actuary evaluating a level funded contract.</t>
  </si>
  <si>
    <t>Shared surplus:</t>
  </si>
  <si>
    <t>Individual stop-loss attachment point:</t>
  </si>
  <si>
    <t>Aggregate stop-loss attachment point:</t>
  </si>
  <si>
    <t>Laser policy on Employee 2 with stop loss threshold:</t>
  </si>
  <si>
    <t>Level Funding Terms</t>
  </si>
  <si>
    <t>PEPM</t>
  </si>
  <si>
    <t>Estimated claims cost projection below attachment point</t>
  </si>
  <si>
    <t>ASO fee</t>
  </si>
  <si>
    <t>Aggregate stop-loss</t>
  </si>
  <si>
    <t>Individual stop-loss</t>
  </si>
  <si>
    <t>Enrolled employees</t>
  </si>
  <si>
    <t>Claims experience for Year 20X1:</t>
  </si>
  <si>
    <t>The following employees have claims over $50k:</t>
  </si>
  <si>
    <t>Employee</t>
  </si>
  <si>
    <t>Claim Amount</t>
  </si>
  <si>
    <t>Month</t>
  </si>
  <si>
    <t>January</t>
  </si>
  <si>
    <t>February</t>
  </si>
  <si>
    <t>March</t>
  </si>
  <si>
    <t>April</t>
  </si>
  <si>
    <t xml:space="preserve">May </t>
  </si>
  <si>
    <t>June</t>
  </si>
  <si>
    <t>July</t>
  </si>
  <si>
    <t>August</t>
  </si>
  <si>
    <t>September</t>
  </si>
  <si>
    <t>October</t>
  </si>
  <si>
    <t>November</t>
  </si>
  <si>
    <t>December</t>
  </si>
  <si>
    <t>Calculate the shared surplus for Year 20X1.</t>
  </si>
  <si>
    <t>ANSWER</t>
  </si>
  <si>
    <t>Projected surplus</t>
  </si>
  <si>
    <t>Amount funded by Client for claims</t>
  </si>
  <si>
    <t>Paid claims</t>
  </si>
  <si>
    <t xml:space="preserve">Less </t>
  </si>
  <si>
    <t>Individual Stop Loss</t>
  </si>
  <si>
    <t>Claimant 1</t>
  </si>
  <si>
    <t xml:space="preserve">Stoploss threshold </t>
  </si>
  <si>
    <t>Claimant 2</t>
  </si>
  <si>
    <t>Stoploss threshold for Claimant 2</t>
  </si>
  <si>
    <t>Paid claims below Individual Stop Loss attachment:</t>
  </si>
  <si>
    <t>Less</t>
  </si>
  <si>
    <t>Aggregate Stop Loss</t>
  </si>
  <si>
    <t>Stoploss threshold</t>
  </si>
  <si>
    <t>Paid claims after all Stop Loss</t>
  </si>
  <si>
    <t>Surplus - 100%</t>
  </si>
  <si>
    <t>Shared Surplus</t>
  </si>
  <si>
    <t>Note: partial credit was provided in the amount funded by client for claims when ASO fee was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</si>
</sst>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0.0%"/>
    <numFmt numFmtId="168" formatCode="0.0"/>
    <numFmt numFmtId="169" formatCode="&quot;$&quot;#,##0.0_);[Red]\(&quot;$&quot;#,##0.0\)"/>
    <numFmt numFmtId="170" formatCode="_(&quot;$&quot;* #,##0.00_);_(&quot;$&quot;* \(#,##0.00\);_(@_)"/>
    <numFmt numFmtId="171" formatCode="0.0000"/>
    <numFmt numFmtId="172" formatCode="_(* #,##0.0000000_);_(* \(#,##0.0000000\);_(* &quot;-&quot;??_);_(@_)"/>
    <numFmt numFmtId="173" formatCode="0.0000%"/>
    <numFmt numFmtId="174" formatCode="_(* #,##0.00000_);_(* \(#,##0.00000\);_(* &quot;-&quot;??_);_(@_)"/>
    <numFmt numFmtId="175" formatCode="_(&quot;$&quot;* #,##0_);_(&quot;$&quot;* \(#,##0\);_(&quot;$&quot;* &quot;-&quot;??_);_(@_)"/>
  </numFmts>
  <fonts count="27"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sz val="10"/>
      <color rgb="FF000000"/>
      <name val="Arial"/>
      <family val="2"/>
    </font>
    <font>
      <sz val="11"/>
      <color theme="1"/>
      <name val="Calibri"/>
      <family val="2"/>
      <scheme val="minor"/>
    </font>
    <font>
      <sz val="11"/>
      <color theme="1"/>
      <name val="Times New Roman"/>
      <family val="1"/>
    </font>
    <font>
      <sz val="12"/>
      <color rgb="FF000000"/>
      <name val="Times New Roman"/>
      <family val="1"/>
    </font>
    <font>
      <sz val="12"/>
      <color theme="1"/>
      <name val="Calibri"/>
      <family val="2"/>
      <scheme val="minor"/>
    </font>
    <font>
      <b/>
      <sz val="12"/>
      <color rgb="FF000000"/>
      <name val="Times New Roman"/>
      <family val="1"/>
    </font>
    <font>
      <b/>
      <sz val="12"/>
      <name val="Times New Roman"/>
      <family val="1"/>
    </font>
    <font>
      <sz val="11"/>
      <color rgb="FF000000"/>
      <name val="Times New Roman"/>
      <family val="1"/>
    </font>
    <font>
      <b/>
      <sz val="11"/>
      <color rgb="FF000000"/>
      <name val="Times New Roman"/>
      <family val="1"/>
    </font>
    <font>
      <sz val="10"/>
      <color theme="1"/>
      <name val="Arial"/>
      <family val="2"/>
    </font>
    <font>
      <sz val="10"/>
      <name val="Arial"/>
      <family val="2"/>
    </font>
    <font>
      <i/>
      <sz val="12"/>
      <color theme="1"/>
      <name val="Times New Roman"/>
      <family val="1"/>
    </font>
    <font>
      <b/>
      <sz val="12"/>
      <color rgb="FFFF0000"/>
      <name val="Times New Roman"/>
      <family val="1"/>
    </font>
    <font>
      <sz val="12"/>
      <color rgb="FFFF0000"/>
      <name val="Times New Roman"/>
      <family val="1"/>
    </font>
    <font>
      <sz val="11"/>
      <name val="Times New Roman"/>
      <family val="1"/>
    </font>
    <font>
      <b/>
      <sz val="11"/>
      <name val="Times New Roman"/>
      <family val="1"/>
    </font>
    <font>
      <u/>
      <sz val="12"/>
      <color rgb="FFFF0000"/>
      <name val="Times New Roman"/>
      <family val="1"/>
    </font>
    <font>
      <b/>
      <sz val="11"/>
      <color theme="1"/>
      <name val="Times New Roman"/>
      <family val="1"/>
    </font>
    <font>
      <b/>
      <sz val="12"/>
      <color theme="9"/>
      <name val="Times New Roman"/>
      <family val="1"/>
    </font>
    <font>
      <sz val="12"/>
      <color rgb="FF141413"/>
      <name val="Times New Roman"/>
      <family val="1"/>
    </font>
    <font>
      <b/>
      <u/>
      <sz val="12"/>
      <color theme="1"/>
      <name val="Times New Roman"/>
      <family val="1"/>
    </font>
    <font>
      <u/>
      <sz val="12"/>
      <color theme="1"/>
      <name val="Times New Roman"/>
      <family val="1"/>
    </font>
    <font>
      <b/>
      <i/>
      <sz val="12"/>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77111117893"/>
        <bgColor rgb="FFC0C0C0"/>
      </patternFill>
    </fill>
    <fill>
      <patternFill patternType="solid">
        <fgColor theme="2"/>
        <bgColor indexed="64"/>
      </patternFill>
    </fill>
    <fill>
      <patternFill patternType="solid">
        <fgColor rgb="FFFFFF00"/>
        <bgColor rgb="FFC0C0C0"/>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rgb="FFD0D7E5"/>
      </bottom>
      <diagonal/>
    </border>
    <border>
      <left style="thin">
        <color auto="1"/>
      </left>
      <right style="thin">
        <color auto="1"/>
      </right>
      <top style="thin">
        <color rgb="FFD0D7E5"/>
      </top>
      <bottom style="thin">
        <color rgb="FFD0D7E5"/>
      </bottom>
      <diagonal/>
    </border>
  </borders>
  <cellStyleXfs count="14">
    <xf numFmtId="0" fontId="0" fillId="0" borderId="0"/>
    <xf numFmtId="0" fontId="4" fillId="0" borderId="0"/>
    <xf numFmtId="9" fontId="5" fillId="0" borderId="0" applyFont="0" applyFill="0" applyBorder="0" applyAlignment="0" applyProtection="0"/>
    <xf numFmtId="44" fontId="5"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44" fontId="14" fillId="0" borderId="0" applyFont="0" applyFill="0" applyBorder="0" applyAlignment="0" applyProtection="0"/>
    <xf numFmtId="43" fontId="5"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471">
    <xf numFmtId="0" fontId="0" fillId="0" borderId="0" xfId="0"/>
    <xf numFmtId="0" fontId="1" fillId="2" borderId="0" xfId="0" applyFont="1" applyFill="1"/>
    <xf numFmtId="0" fontId="1" fillId="0" borderId="0" xfId="0" applyFont="1"/>
    <xf numFmtId="0" fontId="2" fillId="2" borderId="0" xfId="0" applyFont="1" applyFill="1" applyAlignment="1">
      <alignment horizontal="left" indent="3"/>
    </xf>
    <xf numFmtId="0" fontId="2" fillId="2" borderId="0" xfId="0" applyFont="1" applyFill="1"/>
    <xf numFmtId="0" fontId="1" fillId="2" borderId="0" xfId="0" applyFont="1" applyFill="1" applyAlignment="1">
      <alignment vertical="center"/>
    </xf>
    <xf numFmtId="0" fontId="1" fillId="2" borderId="1" xfId="0" applyFont="1" applyFill="1" applyBorder="1"/>
    <xf numFmtId="0" fontId="1" fillId="2" borderId="1"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 fillId="0" borderId="0" xfId="0" applyFont="1" applyAlignment="1">
      <alignment vertical="center"/>
    </xf>
    <xf numFmtId="0" fontId="1" fillId="2" borderId="0" xfId="0" applyFont="1" applyFill="1" applyAlignment="1">
      <alignment horizontal="left" vertical="center" indent="10"/>
    </xf>
    <xf numFmtId="0" fontId="6" fillId="0" borderId="0" xfId="0" applyFont="1"/>
    <xf numFmtId="0" fontId="1" fillId="2" borderId="0" xfId="0" applyFont="1" applyFill="1" applyAlignment="1">
      <alignment horizontal="left" vertical="center" indent="5"/>
    </xf>
    <xf numFmtId="0" fontId="2" fillId="2" borderId="1" xfId="0" applyFont="1" applyFill="1" applyBorder="1" applyAlignment="1">
      <alignment horizontal="center"/>
    </xf>
    <xf numFmtId="0" fontId="1" fillId="2" borderId="0" xfId="0" applyFont="1" applyFill="1" applyAlignment="1">
      <alignment horizontal="left" vertical="center"/>
    </xf>
    <xf numFmtId="0" fontId="2" fillId="2" borderId="6" xfId="0" applyFont="1" applyFill="1" applyBorder="1" applyAlignment="1">
      <alignment horizontal="centerContinuous"/>
    </xf>
    <xf numFmtId="0" fontId="2" fillId="0" borderId="0" xfId="0" applyFont="1" applyAlignment="1">
      <alignment horizontal="left" indent="3"/>
    </xf>
    <xf numFmtId="0" fontId="2" fillId="2" borderId="5" xfId="0" applyFont="1" applyFill="1" applyBorder="1" applyAlignment="1">
      <alignment horizontal="centerContinuous"/>
    </xf>
    <xf numFmtId="0" fontId="1" fillId="2" borderId="6" xfId="0" applyFont="1" applyFill="1" applyBorder="1"/>
    <xf numFmtId="0" fontId="1" fillId="0" borderId="0" xfId="0" quotePrefix="1" applyFont="1"/>
    <xf numFmtId="0" fontId="1" fillId="3" borderId="0" xfId="0" applyFont="1" applyFill="1"/>
    <xf numFmtId="0" fontId="2" fillId="0" borderId="0" xfId="0" applyFont="1"/>
    <xf numFmtId="164" fontId="2" fillId="0" borderId="0" xfId="0" applyNumberFormat="1" applyFont="1" applyAlignment="1">
      <alignment horizontal="center"/>
    </xf>
    <xf numFmtId="9" fontId="2" fillId="0" borderId="0" xfId="0" applyNumberFormat="1" applyFont="1" applyAlignment="1">
      <alignment horizontal="center"/>
    </xf>
    <xf numFmtId="167" fontId="1" fillId="0" borderId="0" xfId="0" applyNumberFormat="1" applyFont="1" applyAlignment="1">
      <alignment horizontal="center"/>
    </xf>
    <xf numFmtId="164" fontId="1" fillId="2" borderId="7" xfId="0" applyNumberFormat="1" applyFont="1" applyFill="1" applyBorder="1" applyAlignment="1">
      <alignment horizontal="center"/>
    </xf>
    <xf numFmtId="9" fontId="1" fillId="2" borderId="2" xfId="2" applyFont="1" applyFill="1" applyBorder="1" applyAlignment="1">
      <alignment horizontal="center"/>
    </xf>
    <xf numFmtId="9" fontId="1" fillId="2" borderId="13" xfId="2" applyFont="1" applyFill="1" applyBorder="1" applyAlignment="1">
      <alignment horizontal="center"/>
    </xf>
    <xf numFmtId="9" fontId="1" fillId="2" borderId="7" xfId="2" applyFont="1" applyFill="1" applyBorder="1" applyAlignment="1">
      <alignment horizontal="center"/>
    </xf>
    <xf numFmtId="9" fontId="1" fillId="2" borderId="10" xfId="2" applyFont="1" applyFill="1" applyBorder="1" applyAlignment="1">
      <alignment horizontal="center"/>
    </xf>
    <xf numFmtId="164" fontId="1" fillId="2" borderId="3" xfId="0" applyNumberFormat="1" applyFont="1" applyFill="1" applyBorder="1" applyAlignment="1">
      <alignment horizontal="center"/>
    </xf>
    <xf numFmtId="9" fontId="1" fillId="2" borderId="3" xfId="2" applyFont="1" applyFill="1" applyBorder="1" applyAlignment="1">
      <alignment horizontal="center"/>
    </xf>
    <xf numFmtId="9" fontId="1" fillId="2" borderId="12" xfId="2" applyFont="1" applyFill="1" applyBorder="1" applyAlignment="1">
      <alignment horizontal="center"/>
    </xf>
    <xf numFmtId="10" fontId="1" fillId="2" borderId="1" xfId="0" applyNumberFormat="1" applyFont="1" applyFill="1" applyBorder="1"/>
    <xf numFmtId="164" fontId="2" fillId="2" borderId="1" xfId="0" applyNumberFormat="1" applyFont="1" applyFill="1" applyBorder="1" applyAlignment="1">
      <alignment horizontal="center"/>
    </xf>
    <xf numFmtId="9" fontId="2"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horizontal="left" indent="3"/>
    </xf>
    <xf numFmtId="0" fontId="1" fillId="0" borderId="0" xfId="0" applyFont="1" applyAlignment="1">
      <alignment horizontal="center" wrapText="1"/>
    </xf>
    <xf numFmtId="164" fontId="1" fillId="0" borderId="0" xfId="0" applyNumberFormat="1" applyFont="1" applyAlignment="1">
      <alignment horizontal="center"/>
    </xf>
    <xf numFmtId="9" fontId="1" fillId="0" borderId="0" xfId="2" applyFont="1" applyAlignment="1">
      <alignment horizontal="center"/>
    </xf>
    <xf numFmtId="167" fontId="1" fillId="4" borderId="0" xfId="2" applyNumberFormat="1" applyFont="1" applyFill="1" applyAlignment="1">
      <alignment horizontal="center"/>
    </xf>
    <xf numFmtId="0" fontId="2" fillId="0" borderId="0" xfId="0" applyFont="1" applyAlignment="1">
      <alignment horizontal="right"/>
    </xf>
    <xf numFmtId="167" fontId="2" fillId="4" borderId="0" xfId="2" applyNumberFormat="1" applyFont="1" applyFill="1" applyAlignment="1">
      <alignment horizontal="center"/>
    </xf>
    <xf numFmtId="0" fontId="1" fillId="0" borderId="0" xfId="0" applyFont="1" applyAlignment="1">
      <alignment horizontal="center"/>
    </xf>
    <xf numFmtId="0" fontId="2" fillId="0" borderId="0" xfId="0" applyFont="1" applyAlignment="1">
      <alignment horizontal="center"/>
    </xf>
    <xf numFmtId="9" fontId="1" fillId="0" borderId="0" xfId="0" applyNumberFormat="1" applyFont="1" applyAlignment="1">
      <alignment horizontal="center"/>
    </xf>
    <xf numFmtId="0" fontId="1" fillId="2" borderId="2" xfId="0" quotePrefix="1" applyFont="1" applyFill="1" applyBorder="1"/>
    <xf numFmtId="0" fontId="1" fillId="2" borderId="7" xfId="0" quotePrefix="1" applyFont="1" applyFill="1" applyBorder="1"/>
    <xf numFmtId="0" fontId="1" fillId="2" borderId="3" xfId="0" quotePrefix="1" applyFont="1" applyFill="1" applyBorder="1"/>
    <xf numFmtId="0" fontId="2" fillId="2" borderId="1" xfId="0" applyFont="1" applyFill="1" applyBorder="1" applyAlignment="1">
      <alignment wrapText="1"/>
    </xf>
    <xf numFmtId="0" fontId="1" fillId="2" borderId="0" xfId="0" quotePrefix="1" applyFont="1" applyFill="1"/>
    <xf numFmtId="0" fontId="2" fillId="2" borderId="1" xfId="0" applyFont="1" applyFill="1" applyBorder="1"/>
    <xf numFmtId="6" fontId="1" fillId="2" borderId="1" xfId="0" applyNumberFormat="1" applyFont="1" applyFill="1" applyBorder="1"/>
    <xf numFmtId="0" fontId="1" fillId="2" borderId="16" xfId="0" applyFont="1" applyFill="1" applyBorder="1"/>
    <xf numFmtId="0" fontId="1" fillId="2" borderId="13" xfId="0" applyFont="1" applyFill="1" applyBorder="1"/>
    <xf numFmtId="0" fontId="1" fillId="2" borderId="10" xfId="0" applyFont="1" applyFill="1" applyBorder="1"/>
    <xf numFmtId="0" fontId="1" fillId="2" borderId="14" xfId="0" applyFont="1" applyFill="1" applyBorder="1"/>
    <xf numFmtId="0" fontId="1" fillId="2" borderId="12" xfId="0" applyFont="1" applyFill="1" applyBorder="1"/>
    <xf numFmtId="167" fontId="1" fillId="2" borderId="1" xfId="2" applyNumberFormat="1" applyFont="1" applyFill="1" applyBorder="1"/>
    <xf numFmtId="10" fontId="1" fillId="2" borderId="0" xfId="2" applyNumberFormat="1" applyFont="1" applyFill="1" applyBorder="1"/>
    <xf numFmtId="10" fontId="2" fillId="2" borderId="1" xfId="2" applyNumberFormat="1" applyFont="1" applyFill="1" applyBorder="1" applyAlignment="1">
      <alignment horizontal="center" wrapText="1"/>
    </xf>
    <xf numFmtId="0" fontId="3" fillId="0" borderId="0" xfId="0" applyFont="1"/>
    <xf numFmtId="0" fontId="2" fillId="2" borderId="4" xfId="0" applyFont="1" applyFill="1" applyBorder="1" applyAlignment="1">
      <alignment horizontal="centerContinuous"/>
    </xf>
    <xf numFmtId="0" fontId="3" fillId="2" borderId="1" xfId="4" applyFont="1" applyFill="1" applyBorder="1" applyAlignment="1">
      <alignment vertical="center"/>
    </xf>
    <xf numFmtId="167" fontId="3" fillId="2" borderId="1" xfId="5" applyNumberFormat="1" applyFont="1" applyFill="1" applyBorder="1" applyAlignment="1">
      <alignment vertical="center"/>
    </xf>
    <xf numFmtId="0" fontId="15" fillId="0" borderId="0" xfId="0" applyFont="1"/>
    <xf numFmtId="0" fontId="10" fillId="0" borderId="17" xfId="4" applyFont="1" applyBorder="1" applyAlignment="1">
      <alignment horizontal="centerContinuous" vertical="center"/>
    </xf>
    <xf numFmtId="0" fontId="3" fillId="0" borderId="4" xfId="4" applyFont="1" applyBorder="1" applyAlignment="1">
      <alignment horizontal="centerContinuous"/>
    </xf>
    <xf numFmtId="0" fontId="3" fillId="0" borderId="6" xfId="4" applyFont="1" applyBorder="1" applyAlignment="1">
      <alignment horizontal="centerContinuous"/>
    </xf>
    <xf numFmtId="0" fontId="3" fillId="0" borderId="0" xfId="4" applyFont="1"/>
    <xf numFmtId="0" fontId="10" fillId="0" borderId="18" xfId="4" applyFont="1" applyBorder="1" applyAlignment="1">
      <alignment horizontal="centerContinuous" vertical="center"/>
    </xf>
    <xf numFmtId="0" fontId="10" fillId="0" borderId="19" xfId="4" applyFont="1" applyBorder="1" applyAlignment="1">
      <alignment horizontal="centerContinuous" vertical="center"/>
    </xf>
    <xf numFmtId="0" fontId="10" fillId="0" borderId="1" xfId="4" applyFont="1" applyBorder="1" applyAlignment="1">
      <alignment horizontal="centerContinuous" vertical="center"/>
    </xf>
    <xf numFmtId="0" fontId="10" fillId="0" borderId="1" xfId="4" applyFont="1" applyBorder="1" applyAlignment="1">
      <alignment vertical="center"/>
    </xf>
    <xf numFmtId="0" fontId="10" fillId="0" borderId="1" xfId="4" applyFont="1" applyBorder="1" applyAlignment="1">
      <alignment horizontal="center" vertical="center" wrapText="1"/>
    </xf>
    <xf numFmtId="0" fontId="3" fillId="0" borderId="1" xfId="4" applyFont="1" applyBorder="1" applyAlignment="1">
      <alignment vertical="center"/>
    </xf>
    <xf numFmtId="166" fontId="3" fillId="0" borderId="1" xfId="6" applyNumberFormat="1" applyFont="1" applyFill="1" applyBorder="1" applyAlignment="1">
      <alignment vertical="center"/>
    </xf>
    <xf numFmtId="165" fontId="3" fillId="0" borderId="1" xfId="4" applyNumberFormat="1" applyFont="1" applyBorder="1" applyAlignment="1">
      <alignment vertical="center"/>
    </xf>
    <xf numFmtId="10" fontId="3" fillId="0" borderId="1" xfId="5" applyNumberFormat="1" applyFont="1" applyFill="1" applyBorder="1" applyAlignment="1">
      <alignment vertical="center"/>
    </xf>
    <xf numFmtId="165" fontId="3" fillId="4" borderId="1" xfId="4" applyNumberFormat="1" applyFont="1" applyFill="1" applyBorder="1" applyAlignment="1">
      <alignment vertical="center"/>
    </xf>
    <xf numFmtId="166" fontId="10" fillId="0" borderId="5" xfId="6" applyNumberFormat="1" applyFont="1" applyFill="1" applyBorder="1" applyAlignment="1">
      <alignment vertical="center"/>
    </xf>
    <xf numFmtId="170" fontId="10" fillId="0" borderId="4" xfId="4" applyNumberFormat="1" applyFont="1" applyBorder="1" applyAlignment="1">
      <alignment vertical="center"/>
    </xf>
    <xf numFmtId="165" fontId="10" fillId="0" borderId="6" xfId="4" applyNumberFormat="1" applyFont="1" applyBorder="1" applyAlignment="1">
      <alignment vertical="center"/>
    </xf>
    <xf numFmtId="10" fontId="10" fillId="0" borderId="4" xfId="5" applyNumberFormat="1" applyFont="1" applyFill="1" applyBorder="1" applyAlignment="1">
      <alignment vertical="center"/>
    </xf>
    <xf numFmtId="10" fontId="10" fillId="0" borderId="6" xfId="5" applyNumberFormat="1" applyFont="1" applyFill="1" applyBorder="1" applyAlignment="1">
      <alignment vertical="center"/>
    </xf>
    <xf numFmtId="165" fontId="10" fillId="4" borderId="6" xfId="4" applyNumberFormat="1" applyFont="1" applyFill="1" applyBorder="1" applyAlignment="1">
      <alignment vertical="center"/>
    </xf>
    <xf numFmtId="0" fontId="3" fillId="0" borderId="0" xfId="4" applyFont="1" applyAlignment="1">
      <alignment vertical="center"/>
    </xf>
    <xf numFmtId="10" fontId="10" fillId="0" borderId="5" xfId="5" applyNumberFormat="1" applyFont="1" applyFill="1" applyBorder="1" applyAlignment="1">
      <alignment vertical="center"/>
    </xf>
    <xf numFmtId="0" fontId="3" fillId="0" borderId="1" xfId="4" applyFont="1" applyBorder="1" applyAlignment="1">
      <alignment horizontal="right"/>
    </xf>
    <xf numFmtId="6" fontId="3" fillId="0" borderId="8" xfId="4" applyNumberFormat="1" applyFont="1" applyBorder="1" applyAlignment="1">
      <alignment horizontal="left" vertical="center"/>
    </xf>
    <xf numFmtId="6" fontId="3" fillId="0" borderId="13" xfId="4" applyNumberFormat="1" applyFont="1" applyBorder="1" applyAlignment="1">
      <alignment horizontal="centerContinuous" vertical="center"/>
    </xf>
    <xf numFmtId="167" fontId="3" fillId="0" borderId="2" xfId="2" applyNumberFormat="1" applyFont="1" applyFill="1" applyBorder="1" applyAlignment="1">
      <alignment horizontal="right" vertical="center"/>
    </xf>
    <xf numFmtId="6" fontId="3" fillId="0" borderId="9" xfId="4" applyNumberFormat="1" applyFont="1" applyBorder="1" applyAlignment="1">
      <alignment horizontal="left" vertical="center"/>
    </xf>
    <xf numFmtId="6" fontId="3" fillId="0" borderId="10" xfId="4" applyNumberFormat="1" applyFont="1" applyBorder="1" applyAlignment="1">
      <alignment horizontal="centerContinuous" vertical="center"/>
    </xf>
    <xf numFmtId="167" fontId="3" fillId="0" borderId="7" xfId="2" applyNumberFormat="1" applyFont="1" applyFill="1" applyBorder="1" applyAlignment="1">
      <alignment horizontal="right" vertical="center"/>
    </xf>
    <xf numFmtId="0" fontId="10" fillId="0" borderId="5" xfId="4" applyFont="1" applyBorder="1" applyAlignment="1">
      <alignment horizontal="left" vertical="center"/>
    </xf>
    <xf numFmtId="0" fontId="10" fillId="0" borderId="6" xfId="4" applyFont="1" applyBorder="1" applyAlignment="1">
      <alignment horizontal="centerContinuous" vertical="center"/>
    </xf>
    <xf numFmtId="167" fontId="10" fillId="0" borderId="6" xfId="2" applyNumberFormat="1" applyFont="1" applyFill="1" applyBorder="1" applyAlignment="1">
      <alignment horizontal="right" vertical="center"/>
    </xf>
    <xf numFmtId="0" fontId="10" fillId="0" borderId="4" xfId="4" applyFont="1" applyBorder="1" applyAlignment="1">
      <alignment horizontal="centerContinuous" vertical="center"/>
    </xf>
    <xf numFmtId="3" fontId="1" fillId="2" borderId="0" xfId="0" applyNumberFormat="1" applyFont="1" applyFill="1"/>
    <xf numFmtId="0" fontId="1" fillId="2" borderId="1" xfId="0" applyFont="1" applyFill="1" applyBorder="1" applyAlignment="1">
      <alignment horizontal="right"/>
    </xf>
    <xf numFmtId="6" fontId="1" fillId="2" borderId="1" xfId="0" applyNumberFormat="1" applyFont="1" applyFill="1" applyBorder="1" applyAlignment="1">
      <alignment horizontal="right"/>
    </xf>
    <xf numFmtId="9" fontId="1" fillId="2" borderId="1"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Continuous" vertical="center"/>
    </xf>
    <xf numFmtId="0" fontId="1" fillId="2" borderId="1" xfId="0" applyFont="1" applyFill="1" applyBorder="1" applyAlignment="1">
      <alignment horizontal="centerContinuous" vertical="center"/>
    </xf>
    <xf numFmtId="2" fontId="1" fillId="2" borderId="1" xfId="0" applyNumberFormat="1" applyFont="1" applyFill="1" applyBorder="1"/>
    <xf numFmtId="168" fontId="1" fillId="2" borderId="1" xfId="0" applyNumberFormat="1" applyFont="1" applyFill="1" applyBorder="1"/>
    <xf numFmtId="171" fontId="1" fillId="0" borderId="0" xfId="0" applyNumberFormat="1" applyFont="1"/>
    <xf numFmtId="0" fontId="2" fillId="0" borderId="21" xfId="0" applyFont="1" applyBorder="1"/>
    <xf numFmtId="0" fontId="1" fillId="2" borderId="0" xfId="0" applyFont="1" applyFill="1" applyAlignment="1">
      <alignment horizontal="center" vertical="center" wrapText="1"/>
    </xf>
    <xf numFmtId="9" fontId="1" fillId="2" borderId="0" xfId="2" applyFont="1" applyFill="1" applyBorder="1" applyAlignment="1">
      <alignment horizontal="center" vertical="center" wrapText="1"/>
    </xf>
    <xf numFmtId="8" fontId="1" fillId="2" borderId="0" xfId="0" applyNumberFormat="1" applyFont="1" applyFill="1" applyAlignment="1">
      <alignment horizontal="center" vertical="center" wrapText="1"/>
    </xf>
    <xf numFmtId="0" fontId="2" fillId="2" borderId="1" xfId="0" applyFont="1" applyFill="1" applyBorder="1" applyAlignment="1">
      <alignment horizontal="center" vertical="center"/>
    </xf>
    <xf numFmtId="0" fontId="1" fillId="2" borderId="16" xfId="0" quotePrefix="1" applyFont="1" applyFill="1" applyBorder="1"/>
    <xf numFmtId="10" fontId="1" fillId="2" borderId="16" xfId="2" applyNumberFormat="1" applyFont="1" applyFill="1" applyBorder="1"/>
    <xf numFmtId="0" fontId="1" fillId="2" borderId="14" xfId="0" quotePrefix="1" applyFont="1" applyFill="1" applyBorder="1"/>
    <xf numFmtId="10" fontId="1" fillId="2" borderId="14" xfId="2" applyNumberFormat="1" applyFont="1" applyFill="1" applyBorder="1"/>
    <xf numFmtId="0" fontId="2" fillId="2" borderId="2" xfId="0" applyFont="1" applyFill="1" applyBorder="1"/>
    <xf numFmtId="0" fontId="2" fillId="2" borderId="7" xfId="0" applyFont="1" applyFill="1" applyBorder="1"/>
    <xf numFmtId="0" fontId="2" fillId="2" borderId="3" xfId="0" quotePrefix="1" applyFont="1" applyFill="1" applyBorder="1"/>
    <xf numFmtId="10" fontId="2" fillId="2" borderId="4" xfId="2" applyNumberFormat="1" applyFont="1" applyFill="1" applyBorder="1"/>
    <xf numFmtId="10" fontId="1" fillId="2" borderId="4" xfId="2" applyNumberFormat="1" applyFont="1" applyFill="1" applyBorder="1"/>
    <xf numFmtId="0" fontId="1" fillId="2" borderId="4" xfId="0" applyFont="1" applyFill="1" applyBorder="1"/>
    <xf numFmtId="165" fontId="1" fillId="0" borderId="0" xfId="0" applyNumberFormat="1" applyFont="1"/>
    <xf numFmtId="164" fontId="1" fillId="2" borderId="1" xfId="0" applyNumberFormat="1" applyFont="1" applyFill="1" applyBorder="1"/>
    <xf numFmtId="0" fontId="17" fillId="0" borderId="0" xfId="0" applyFont="1"/>
    <xf numFmtId="165" fontId="18" fillId="0" borderId="2" xfId="7" applyNumberFormat="1" applyFont="1" applyFill="1" applyBorder="1" applyAlignment="1">
      <alignment horizontal="right" vertical="center"/>
    </xf>
    <xf numFmtId="165" fontId="19" fillId="0" borderId="20" xfId="7" applyNumberFormat="1" applyFont="1" applyFill="1" applyBorder="1" applyAlignment="1">
      <alignment horizontal="right" vertical="center"/>
    </xf>
    <xf numFmtId="165" fontId="19" fillId="4" borderId="6" xfId="7" applyNumberFormat="1" applyFont="1" applyFill="1" applyBorder="1" applyAlignment="1">
      <alignment horizontal="right" vertical="center"/>
    </xf>
    <xf numFmtId="165" fontId="18" fillId="4" borderId="1" xfId="4" applyNumberFormat="1" applyFont="1" applyFill="1" applyBorder="1" applyAlignment="1">
      <alignment vertical="center"/>
    </xf>
    <xf numFmtId="165" fontId="19" fillId="4" borderId="6" xfId="4" applyNumberFormat="1" applyFont="1" applyFill="1" applyBorder="1" applyAlignment="1">
      <alignment vertical="center"/>
    </xf>
    <xf numFmtId="165" fontId="2" fillId="0" borderId="0" xfId="0" applyNumberFormat="1" applyFont="1"/>
    <xf numFmtId="164" fontId="1" fillId="2" borderId="1" xfId="3" applyNumberFormat="1" applyFont="1" applyFill="1" applyBorder="1"/>
    <xf numFmtId="0" fontId="7" fillId="0" borderId="0" xfId="0" applyFont="1"/>
    <xf numFmtId="0" fontId="20" fillId="0" borderId="0" xfId="0" applyFont="1"/>
    <xf numFmtId="4" fontId="2" fillId="0" borderId="0" xfId="0" applyNumberFormat="1" applyFont="1"/>
    <xf numFmtId="0" fontId="2" fillId="0" borderId="0" xfId="0" quotePrefix="1" applyFont="1" applyAlignment="1">
      <alignment horizontal="left"/>
    </xf>
    <xf numFmtId="165" fontId="10" fillId="0" borderId="1" xfId="4" applyNumberFormat="1" applyFont="1" applyBorder="1" applyAlignment="1">
      <alignment vertical="center"/>
    </xf>
    <xf numFmtId="0" fontId="16" fillId="0" borderId="0" xfId="0" applyFont="1" applyAlignment="1">
      <alignment horizontal="center"/>
    </xf>
    <xf numFmtId="0" fontId="17" fillId="0" borderId="0" xfId="0" applyFont="1" applyAlignment="1">
      <alignment horizontal="left"/>
    </xf>
    <xf numFmtId="10" fontId="1" fillId="0" borderId="0" xfId="2" applyNumberFormat="1" applyFont="1" applyFill="1"/>
    <xf numFmtId="0" fontId="1" fillId="0" borderId="0" xfId="9" applyFont="1"/>
    <xf numFmtId="0" fontId="2" fillId="2" borderId="0" xfId="9" applyFont="1" applyFill="1" applyAlignment="1">
      <alignment horizontal="left" indent="3"/>
    </xf>
    <xf numFmtId="0" fontId="1" fillId="3" borderId="0" xfId="9" applyFont="1" applyFill="1"/>
    <xf numFmtId="0" fontId="1" fillId="0" borderId="0" xfId="9" applyFont="1" applyAlignment="1">
      <alignment vertical="center"/>
    </xf>
    <xf numFmtId="0" fontId="1" fillId="2" borderId="0" xfId="9" applyFont="1" applyFill="1"/>
    <xf numFmtId="0" fontId="2" fillId="0" borderId="0" xfId="9" applyFont="1"/>
    <xf numFmtId="0" fontId="1" fillId="2" borderId="0" xfId="9" applyFont="1" applyFill="1" applyAlignment="1">
      <alignment horizontal="left" vertical="center" indent="5"/>
    </xf>
    <xf numFmtId="9" fontId="1" fillId="2" borderId="1" xfId="11" applyFont="1" applyFill="1" applyBorder="1"/>
    <xf numFmtId="165" fontId="1" fillId="0" borderId="1" xfId="9" applyNumberFormat="1" applyFont="1" applyBorder="1"/>
    <xf numFmtId="165" fontId="2" fillId="7" borderId="1" xfId="9" applyNumberFormat="1" applyFont="1" applyFill="1" applyBorder="1"/>
    <xf numFmtId="164" fontId="1" fillId="2" borderId="1" xfId="10" applyNumberFormat="1" applyFont="1" applyFill="1" applyBorder="1"/>
    <xf numFmtId="0" fontId="1" fillId="2" borderId="1" xfId="9" applyFont="1" applyFill="1" applyBorder="1"/>
    <xf numFmtId="6" fontId="1" fillId="2" borderId="1" xfId="9" applyNumberFormat="1" applyFont="1" applyFill="1" applyBorder="1"/>
    <xf numFmtId="9" fontId="1" fillId="2" borderId="1" xfId="9" applyNumberFormat="1" applyFont="1" applyFill="1" applyBorder="1"/>
    <xf numFmtId="0" fontId="2" fillId="2" borderId="1" xfId="9" applyFont="1" applyFill="1" applyBorder="1" applyAlignment="1">
      <alignment horizontal="center" wrapText="1"/>
    </xf>
    <xf numFmtId="0" fontId="1" fillId="0" borderId="1" xfId="9" applyFont="1" applyBorder="1" applyAlignment="1">
      <alignment horizontal="center" wrapText="1"/>
    </xf>
    <xf numFmtId="0" fontId="1" fillId="0" borderId="1" xfId="9" applyFont="1" applyBorder="1" applyAlignment="1">
      <alignment horizontal="center"/>
    </xf>
    <xf numFmtId="0" fontId="1" fillId="0" borderId="1" xfId="9" applyFont="1" applyBorder="1" applyAlignment="1">
      <alignment wrapText="1"/>
    </xf>
    <xf numFmtId="0" fontId="2" fillId="7" borderId="1" xfId="9" applyFont="1" applyFill="1" applyBorder="1" applyAlignment="1">
      <alignment horizontal="center" wrapText="1"/>
    </xf>
    <xf numFmtId="0" fontId="2" fillId="2" borderId="1" xfId="9" applyFont="1" applyFill="1" applyBorder="1"/>
    <xf numFmtId="2" fontId="2" fillId="0" borderId="0" xfId="9" applyNumberFormat="1" applyFont="1"/>
    <xf numFmtId="8" fontId="7" fillId="0" borderId="1" xfId="9" applyNumberFormat="1" applyFont="1" applyBorder="1" applyAlignment="1">
      <alignment horizontal="center" vertical="center" wrapText="1"/>
    </xf>
    <xf numFmtId="9" fontId="7" fillId="0" borderId="1" xfId="11" applyFont="1" applyFill="1" applyBorder="1" applyAlignment="1">
      <alignment horizontal="center" vertical="center" wrapText="1"/>
    </xf>
    <xf numFmtId="0" fontId="7" fillId="0" borderId="1" xfId="9" applyFont="1" applyBorder="1" applyAlignment="1">
      <alignment horizontal="center" vertical="center" wrapText="1"/>
    </xf>
    <xf numFmtId="6" fontId="7" fillId="0" borderId="1" xfId="9" applyNumberFormat="1" applyFont="1" applyBorder="1" applyAlignment="1">
      <alignment horizontal="center" vertical="center" wrapText="1"/>
    </xf>
    <xf numFmtId="9" fontId="7" fillId="0" borderId="1" xfId="9" quotePrefix="1" applyNumberFormat="1" applyFont="1" applyBorder="1" applyAlignment="1">
      <alignment horizontal="center" vertical="center" wrapText="1"/>
    </xf>
    <xf numFmtId="6" fontId="7" fillId="0" borderId="1" xfId="9" quotePrefix="1" applyNumberFormat="1" applyFont="1" applyBorder="1" applyAlignment="1">
      <alignment horizontal="center" vertical="center" wrapText="1"/>
    </xf>
    <xf numFmtId="2" fontId="1" fillId="0" borderId="0" xfId="9" applyNumberFormat="1" applyFont="1"/>
    <xf numFmtId="0" fontId="1" fillId="2" borderId="0" xfId="9" applyFont="1" applyFill="1" applyAlignment="1">
      <alignment horizontal="left" vertical="center" indent="10"/>
    </xf>
    <xf numFmtId="0" fontId="1" fillId="2" borderId="0" xfId="9" applyFont="1" applyFill="1" applyAlignment="1">
      <alignment horizontal="left" vertical="center"/>
    </xf>
    <xf numFmtId="6" fontId="1" fillId="0" borderId="0" xfId="9" applyNumberFormat="1" applyFont="1"/>
    <xf numFmtId="8" fontId="7" fillId="2" borderId="0" xfId="9" applyNumberFormat="1" applyFont="1" applyFill="1" applyAlignment="1">
      <alignment horizontal="center" vertical="center" wrapText="1"/>
    </xf>
    <xf numFmtId="9" fontId="7" fillId="2" borderId="0" xfId="11" applyFont="1" applyFill="1" applyBorder="1" applyAlignment="1">
      <alignment horizontal="center" vertical="center" wrapText="1"/>
    </xf>
    <xf numFmtId="0" fontId="7" fillId="2" borderId="0" xfId="9" applyFont="1" applyFill="1" applyAlignment="1">
      <alignment horizontal="center" vertical="center" wrapText="1"/>
    </xf>
    <xf numFmtId="6" fontId="1" fillId="2" borderId="0" xfId="9" applyNumberFormat="1" applyFont="1" applyFill="1"/>
    <xf numFmtId="6" fontId="7" fillId="2" borderId="1" xfId="9" applyNumberFormat="1" applyFont="1" applyFill="1" applyBorder="1" applyAlignment="1">
      <alignment horizontal="center" vertical="center" wrapText="1"/>
    </xf>
    <xf numFmtId="9" fontId="7" fillId="2" borderId="1" xfId="11" applyFont="1" applyFill="1" applyBorder="1" applyAlignment="1">
      <alignment horizontal="center" vertical="center" wrapText="1"/>
    </xf>
    <xf numFmtId="0" fontId="7" fillId="2" borderId="1" xfId="9" applyFont="1" applyFill="1" applyBorder="1" applyAlignment="1">
      <alignment horizontal="center" vertical="center" wrapText="1"/>
    </xf>
    <xf numFmtId="9" fontId="7" fillId="2" borderId="1" xfId="9" quotePrefix="1" applyNumberFormat="1" applyFont="1" applyFill="1" applyBorder="1" applyAlignment="1">
      <alignment horizontal="center" vertical="center" wrapText="1"/>
    </xf>
    <xf numFmtId="6" fontId="7" fillId="2" borderId="1" xfId="9" quotePrefix="1" applyNumberFormat="1" applyFont="1" applyFill="1" applyBorder="1" applyAlignment="1">
      <alignment horizontal="center" vertical="center" wrapText="1"/>
    </xf>
    <xf numFmtId="0" fontId="9" fillId="2" borderId="1" xfId="9" applyFont="1" applyFill="1" applyBorder="1" applyAlignment="1">
      <alignment horizontal="center" vertical="center" wrapText="1"/>
    </xf>
    <xf numFmtId="0" fontId="9" fillId="2" borderId="1" xfId="9" quotePrefix="1" applyFont="1" applyFill="1" applyBorder="1" applyAlignment="1">
      <alignment horizontal="center" vertical="center" wrapText="1"/>
    </xf>
    <xf numFmtId="0" fontId="2" fillId="2" borderId="0" xfId="9" applyFont="1" applyFill="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9" xfId="0" applyFont="1" applyFill="1" applyBorder="1" applyAlignment="1">
      <alignment horizontal="center" vertical="center"/>
    </xf>
    <xf numFmtId="3" fontId="7" fillId="2" borderId="2" xfId="0" applyNumberFormat="1" applyFont="1" applyFill="1" applyBorder="1" applyAlignment="1">
      <alignment horizontal="center" vertical="center"/>
    </xf>
    <xf numFmtId="6" fontId="7" fillId="2" borderId="13"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6"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3" fontId="7" fillId="2" borderId="3" xfId="0" applyNumberFormat="1" applyFont="1" applyFill="1" applyBorder="1" applyAlignment="1">
      <alignment horizontal="center" vertical="center"/>
    </xf>
    <xf numFmtId="6" fontId="7" fillId="2" borderId="12" xfId="0" applyNumberFormat="1" applyFont="1" applyFill="1" applyBorder="1" applyAlignment="1">
      <alignment horizontal="center" vertical="center"/>
    </xf>
    <xf numFmtId="0" fontId="2" fillId="2" borderId="11" xfId="0" applyFont="1" applyFill="1" applyBorder="1" applyAlignment="1">
      <alignment horizontal="center" vertical="center"/>
    </xf>
    <xf numFmtId="3" fontId="2" fillId="2" borderId="1" xfId="0" applyNumberFormat="1" applyFont="1" applyFill="1" applyBorder="1" applyAlignment="1">
      <alignment horizontal="center"/>
    </xf>
    <xf numFmtId="6" fontId="9" fillId="2" borderId="12" xfId="0" applyNumberFormat="1" applyFont="1" applyFill="1" applyBorder="1" applyAlignment="1">
      <alignment horizontal="center" vertical="center"/>
    </xf>
    <xf numFmtId="3" fontId="1" fillId="2" borderId="0" xfId="0" applyNumberFormat="1" applyFont="1" applyFill="1" applyAlignment="1">
      <alignment horizontal="center"/>
    </xf>
    <xf numFmtId="6" fontId="7" fillId="2" borderId="0" xfId="0" applyNumberFormat="1" applyFont="1" applyFill="1" applyAlignment="1">
      <alignment horizontal="center" vertical="center"/>
    </xf>
    <xf numFmtId="0" fontId="2" fillId="2" borderId="0" xfId="0" applyFont="1" applyFill="1" applyAlignment="1">
      <alignment horizontal="centerContinuous" vertical="center"/>
    </xf>
    <xf numFmtId="0" fontId="1" fillId="2" borderId="0" xfId="0" applyFont="1" applyFill="1" applyAlignment="1">
      <alignment horizontal="centerContinuous" vertical="center"/>
    </xf>
    <xf numFmtId="0" fontId="1" fillId="2" borderId="8" xfId="0" applyFont="1" applyFill="1" applyBorder="1"/>
    <xf numFmtId="9" fontId="1" fillId="2" borderId="2" xfId="0" applyNumberFormat="1" applyFont="1" applyFill="1" applyBorder="1" applyAlignment="1">
      <alignment horizontal="center"/>
    </xf>
    <xf numFmtId="0" fontId="2" fillId="2" borderId="0" xfId="0" applyFont="1" applyFill="1" applyAlignment="1">
      <alignment horizontal="center" wrapText="1"/>
    </xf>
    <xf numFmtId="0" fontId="2" fillId="2" borderId="0" xfId="0" applyFont="1" applyFill="1" applyAlignment="1">
      <alignment horizontal="center"/>
    </xf>
    <xf numFmtId="0" fontId="1" fillId="2" borderId="9" xfId="0" applyFont="1" applyFill="1" applyBorder="1"/>
    <xf numFmtId="9" fontId="1" fillId="2" borderId="7" xfId="0" applyNumberFormat="1" applyFont="1" applyFill="1" applyBorder="1" applyAlignment="1">
      <alignment horizontal="center" wrapText="1"/>
    </xf>
    <xf numFmtId="2" fontId="1" fillId="2" borderId="0" xfId="0" applyNumberFormat="1" applyFont="1" applyFill="1"/>
    <xf numFmtId="0" fontId="1" fillId="2" borderId="11" xfId="0" applyFont="1" applyFill="1" applyBorder="1"/>
    <xf numFmtId="0" fontId="2" fillId="2" borderId="14" xfId="0" applyFont="1" applyFill="1" applyBorder="1" applyAlignment="1">
      <alignment horizontal="center"/>
    </xf>
    <xf numFmtId="9" fontId="1" fillId="2" borderId="3" xfId="0" applyNumberFormat="1" applyFont="1" applyFill="1" applyBorder="1" applyAlignment="1">
      <alignment horizontal="center" wrapText="1"/>
    </xf>
    <xf numFmtId="0" fontId="1" fillId="2" borderId="0" xfId="0" applyFont="1" applyFill="1" applyAlignment="1">
      <alignment horizontal="center"/>
    </xf>
    <xf numFmtId="168" fontId="1" fillId="2" borderId="0" xfId="0" applyNumberFormat="1" applyFont="1" applyFill="1"/>
    <xf numFmtId="0" fontId="1" fillId="2" borderId="0" xfId="0" quotePrefix="1" applyFont="1" applyFill="1" applyAlignment="1">
      <alignment horizontal="left"/>
    </xf>
    <xf numFmtId="0" fontId="2" fillId="0" borderId="1" xfId="0" applyFont="1" applyBorder="1" applyAlignment="1">
      <alignment horizontal="center" wrapText="1"/>
    </xf>
    <xf numFmtId="0" fontId="2" fillId="0" borderId="4" xfId="0" applyFont="1" applyBorder="1" applyAlignment="1">
      <alignment horizontal="center" wrapText="1"/>
    </xf>
    <xf numFmtId="9" fontId="2" fillId="0" borderId="7" xfId="0" applyNumberFormat="1" applyFont="1" applyBorder="1" applyAlignment="1">
      <alignment horizontal="center"/>
    </xf>
    <xf numFmtId="9" fontId="1" fillId="4" borderId="2" xfId="0" applyNumberFormat="1" applyFont="1" applyFill="1" applyBorder="1"/>
    <xf numFmtId="9" fontId="1" fillId="4" borderId="13" xfId="0" applyNumberFormat="1" applyFont="1" applyFill="1" applyBorder="1"/>
    <xf numFmtId="9" fontId="1" fillId="4" borderId="7" xfId="0" applyNumberFormat="1" applyFont="1" applyFill="1" applyBorder="1"/>
    <xf numFmtId="9" fontId="1" fillId="4" borderId="10" xfId="0" applyNumberFormat="1" applyFont="1" applyFill="1" applyBorder="1"/>
    <xf numFmtId="9" fontId="2" fillId="0" borderId="3" xfId="0" applyNumberFormat="1" applyFont="1" applyBorder="1" applyAlignment="1">
      <alignment horizontal="center"/>
    </xf>
    <xf numFmtId="9" fontId="1" fillId="4" borderId="3" xfId="0" applyNumberFormat="1" applyFont="1" applyFill="1" applyBorder="1"/>
    <xf numFmtId="9" fontId="1" fillId="4" borderId="12" xfId="0" applyNumberFormat="1" applyFont="1" applyFill="1" applyBorder="1"/>
    <xf numFmtId="0" fontId="1" fillId="2" borderId="0" xfId="0" quotePrefix="1" applyFont="1" applyFill="1" applyAlignment="1">
      <alignment horizontal="left" vertical="center"/>
    </xf>
    <xf numFmtId="3" fontId="6" fillId="0" borderId="0" xfId="0" applyNumberFormat="1" applyFont="1"/>
    <xf numFmtId="0" fontId="15" fillId="0" borderId="0" xfId="0" applyFont="1" applyAlignment="1">
      <alignment vertical="center"/>
    </xf>
    <xf numFmtId="0" fontId="1" fillId="2" borderId="0" xfId="0" applyFont="1" applyFill="1" applyAlignment="1">
      <alignment horizontal="center" vertical="center"/>
    </xf>
    <xf numFmtId="9" fontId="1" fillId="2" borderId="0" xfId="0" applyNumberFormat="1" applyFont="1" applyFill="1"/>
    <xf numFmtId="0" fontId="1" fillId="0" borderId="0" xfId="0" applyFont="1" applyAlignment="1">
      <alignment horizontal="center" vertical="center"/>
    </xf>
    <xf numFmtId="0" fontId="1" fillId="0" borderId="0" xfId="0" quotePrefix="1" applyFont="1" applyAlignment="1">
      <alignment vertical="center"/>
    </xf>
    <xf numFmtId="0" fontId="1" fillId="0" borderId="8" xfId="0" quotePrefix="1" applyFont="1" applyBorder="1" applyAlignment="1">
      <alignment horizontal="left"/>
    </xf>
    <xf numFmtId="0" fontId="1" fillId="0" borderId="13" xfId="0" applyFont="1" applyBorder="1"/>
    <xf numFmtId="0" fontId="1" fillId="0" borderId="16" xfId="0" applyFont="1" applyBorder="1"/>
    <xf numFmtId="0" fontId="1" fillId="0" borderId="2" xfId="0" applyFont="1" applyBorder="1" applyAlignment="1">
      <alignment horizontal="center" vertical="center"/>
    </xf>
    <xf numFmtId="6" fontId="1" fillId="0" borderId="9" xfId="0" applyNumberFormat="1" applyFont="1" applyBorder="1"/>
    <xf numFmtId="6" fontId="1" fillId="0" borderId="0" xfId="0" applyNumberFormat="1" applyFont="1"/>
    <xf numFmtId="6" fontId="1" fillId="0" borderId="10" xfId="0" applyNumberFormat="1" applyFont="1" applyBorder="1"/>
    <xf numFmtId="6" fontId="1" fillId="0" borderId="7" xfId="0" applyNumberFormat="1" applyFont="1" applyBorder="1" applyAlignment="1">
      <alignment horizontal="right" vertical="center"/>
    </xf>
    <xf numFmtId="3" fontId="1" fillId="0" borderId="9" xfId="0" applyNumberFormat="1" applyFont="1" applyBorder="1"/>
    <xf numFmtId="3" fontId="1" fillId="0" borderId="10" xfId="0" applyNumberFormat="1" applyFont="1" applyBorder="1"/>
    <xf numFmtId="3" fontId="1" fillId="0" borderId="0" xfId="0" applyNumberFormat="1" applyFont="1"/>
    <xf numFmtId="0" fontId="1" fillId="0" borderId="10" xfId="0" applyFont="1" applyBorder="1"/>
    <xf numFmtId="3" fontId="1" fillId="0" borderId="10" xfId="0" applyNumberFormat="1" applyFont="1" applyBorder="1" applyAlignment="1">
      <alignment horizontal="right"/>
    </xf>
    <xf numFmtId="6" fontId="1" fillId="0" borderId="11" xfId="0" applyNumberFormat="1" applyFont="1" applyBorder="1"/>
    <xf numFmtId="6" fontId="1" fillId="0" borderId="12" xfId="0" applyNumberFormat="1" applyFont="1" applyBorder="1"/>
    <xf numFmtId="6" fontId="1" fillId="0" borderId="14" xfId="0" applyNumberFormat="1" applyFont="1" applyBorder="1"/>
    <xf numFmtId="6" fontId="1" fillId="0" borderId="12" xfId="0" applyNumberFormat="1" applyFont="1" applyBorder="1" applyAlignment="1">
      <alignment horizontal="right"/>
    </xf>
    <xf numFmtId="6" fontId="1" fillId="4" borderId="0" xfId="0" applyNumberFormat="1" applyFont="1" applyFill="1" applyAlignment="1">
      <alignment horizontal="center" vertical="center"/>
    </xf>
    <xf numFmtId="0" fontId="1" fillId="0" borderId="0" xfId="0" quotePrefix="1" applyFont="1" applyAlignment="1">
      <alignment horizontal="left" vertical="center"/>
    </xf>
    <xf numFmtId="8" fontId="1" fillId="4" borderId="0" xfId="0" applyNumberFormat="1" applyFont="1" applyFill="1"/>
    <xf numFmtId="0" fontId="1" fillId="0" borderId="0" xfId="0" quotePrefix="1" applyFont="1" applyAlignment="1">
      <alignment horizontal="left"/>
    </xf>
    <xf numFmtId="0" fontId="2" fillId="0" borderId="1" xfId="0" applyFont="1" applyBorder="1" applyAlignment="1">
      <alignment horizontal="left"/>
    </xf>
    <xf numFmtId="0" fontId="2" fillId="0" borderId="4" xfId="0" applyFont="1" applyBorder="1"/>
    <xf numFmtId="0" fontId="2" fillId="0" borderId="1" xfId="0" applyFont="1" applyBorder="1"/>
    <xf numFmtId="9" fontId="2" fillId="0" borderId="7" xfId="0" applyNumberFormat="1" applyFont="1" applyBorder="1"/>
    <xf numFmtId="9" fontId="2" fillId="0" borderId="3" xfId="0" applyNumberFormat="1" applyFont="1" applyBorder="1"/>
    <xf numFmtId="0" fontId="1" fillId="0" borderId="0" xfId="0" quotePrefix="1" applyFont="1" applyAlignment="1">
      <alignment horizontal="center"/>
    </xf>
    <xf numFmtId="166" fontId="1" fillId="2" borderId="1" xfId="13" applyNumberFormat="1" applyFont="1" applyFill="1" applyBorder="1"/>
    <xf numFmtId="165" fontId="2" fillId="4" borderId="15" xfId="0" applyNumberFormat="1" applyFont="1" applyFill="1" applyBorder="1"/>
    <xf numFmtId="0" fontId="1" fillId="4" borderId="0" xfId="0" quotePrefix="1" applyFont="1" applyFill="1"/>
    <xf numFmtId="0" fontId="1" fillId="4" borderId="0" xfId="0" applyFont="1" applyFill="1"/>
    <xf numFmtId="3" fontId="1" fillId="2" borderId="4" xfId="0" applyNumberFormat="1" applyFont="1" applyFill="1" applyBorder="1" applyAlignment="1">
      <alignment horizontal="centerContinuous"/>
    </xf>
    <xf numFmtId="0" fontId="1" fillId="2" borderId="4" xfId="0" applyFont="1" applyFill="1" applyBorder="1" applyAlignment="1">
      <alignment horizontal="centerContinuous"/>
    </xf>
    <xf numFmtId="0" fontId="1" fillId="2" borderId="6" xfId="0" applyFont="1" applyFill="1" applyBorder="1" applyAlignment="1">
      <alignment horizontal="centerContinuous"/>
    </xf>
    <xf numFmtId="0" fontId="2" fillId="2" borderId="1" xfId="0" applyFont="1" applyFill="1" applyBorder="1" applyAlignment="1">
      <alignment vertical="center" wrapText="1"/>
    </xf>
    <xf numFmtId="0" fontId="2" fillId="2" borderId="1" xfId="0" applyFont="1" applyFill="1" applyBorder="1" applyAlignment="1">
      <alignment horizontal="right" vertical="center" wrapText="1"/>
    </xf>
    <xf numFmtId="0" fontId="1" fillId="2" borderId="1" xfId="0" applyFont="1" applyFill="1" applyBorder="1" applyAlignment="1">
      <alignment vertical="center" wrapText="1"/>
    </xf>
    <xf numFmtId="6" fontId="1" fillId="2" borderId="1" xfId="0" applyNumberFormat="1" applyFont="1" applyFill="1" applyBorder="1" applyAlignment="1">
      <alignment horizontal="right" vertical="center" wrapText="1"/>
    </xf>
    <xf numFmtId="0" fontId="1" fillId="2" borderId="1" xfId="0" applyFont="1" applyFill="1" applyBorder="1" applyAlignment="1">
      <alignment horizontal="right" vertical="center" wrapText="1"/>
    </xf>
    <xf numFmtId="0" fontId="1" fillId="2" borderId="0" xfId="0" applyFont="1" applyFill="1" applyAlignment="1">
      <alignment horizontal="left"/>
    </xf>
    <xf numFmtId="6" fontId="1" fillId="2" borderId="0" xfId="0" applyNumberFormat="1" applyFont="1" applyFill="1"/>
    <xf numFmtId="164" fontId="1" fillId="0" borderId="0" xfId="0" applyNumberFormat="1" applyFont="1"/>
    <xf numFmtId="164" fontId="1" fillId="4" borderId="0" xfId="0" applyNumberFormat="1" applyFont="1" applyFill="1"/>
    <xf numFmtId="43" fontId="21" fillId="5" borderId="5" xfId="8" applyFont="1" applyFill="1" applyBorder="1" applyAlignment="1">
      <alignment horizontal="centerContinuous"/>
    </xf>
    <xf numFmtId="43" fontId="21" fillId="5" borderId="4" xfId="8" applyFont="1" applyFill="1" applyBorder="1" applyAlignment="1">
      <alignment horizontal="centerContinuous"/>
    </xf>
    <xf numFmtId="43" fontId="21" fillId="5" borderId="6" xfId="8" applyFont="1" applyFill="1" applyBorder="1" applyAlignment="1">
      <alignment horizontal="centerContinuous"/>
    </xf>
    <xf numFmtId="0" fontId="21" fillId="5" borderId="5" xfId="0" applyFont="1" applyFill="1" applyBorder="1" applyAlignment="1">
      <alignment horizontal="centerContinuous"/>
    </xf>
    <xf numFmtId="0" fontId="21" fillId="5" borderId="4" xfId="0" applyFont="1" applyFill="1" applyBorder="1" applyAlignment="1">
      <alignment horizontal="centerContinuous"/>
    </xf>
    <xf numFmtId="0" fontId="21" fillId="5" borderId="6" xfId="0" applyFont="1" applyFill="1" applyBorder="1" applyAlignment="1">
      <alignment horizontal="centerContinuous"/>
    </xf>
    <xf numFmtId="43" fontId="12" fillId="6" borderId="1" xfId="8" applyFont="1" applyFill="1" applyBorder="1" applyAlignment="1" applyProtection="1">
      <alignment horizontal="center" wrapText="1"/>
    </xf>
    <xf numFmtId="172" fontId="21" fillId="5" borderId="1" xfId="8" applyNumberFormat="1" applyFont="1" applyFill="1" applyBorder="1" applyAlignment="1">
      <alignment horizontal="center" wrapText="1"/>
    </xf>
    <xf numFmtId="0" fontId="6" fillId="5" borderId="1" xfId="0" applyFont="1" applyFill="1" applyBorder="1" applyAlignment="1">
      <alignment horizontal="center" wrapText="1"/>
    </xf>
    <xf numFmtId="3" fontId="6" fillId="5" borderId="1" xfId="0" applyNumberFormat="1" applyFont="1" applyFill="1" applyBorder="1" applyAlignment="1">
      <alignment horizontal="center" wrapText="1"/>
    </xf>
    <xf numFmtId="173" fontId="6" fillId="5" borderId="1" xfId="0" applyNumberFormat="1" applyFont="1" applyFill="1" applyBorder="1" applyAlignment="1">
      <alignment horizontal="center" wrapText="1"/>
    </xf>
    <xf numFmtId="164" fontId="11" fillId="0" borderId="22" xfId="8" applyNumberFormat="1" applyFont="1" applyFill="1" applyBorder="1" applyAlignment="1" applyProtection="1">
      <alignment horizontal="right" vertical="center" wrapText="1"/>
    </xf>
    <xf numFmtId="167" fontId="6" fillId="0" borderId="7" xfId="2" applyNumberFormat="1" applyFont="1" applyBorder="1"/>
    <xf numFmtId="164" fontId="11" fillId="0" borderId="7" xfId="8" applyNumberFormat="1" applyFont="1" applyFill="1" applyBorder="1" applyAlignment="1" applyProtection="1">
      <alignment horizontal="right" vertical="center" wrapText="1"/>
    </xf>
    <xf numFmtId="166" fontId="6" fillId="0" borderId="9" xfId="8" applyNumberFormat="1" applyFont="1" applyBorder="1"/>
    <xf numFmtId="166" fontId="6" fillId="0" borderId="0" xfId="8" applyNumberFormat="1" applyFont="1" applyFill="1" applyBorder="1" applyAlignment="1"/>
    <xf numFmtId="167" fontId="6" fillId="0" borderId="0" xfId="2" applyNumberFormat="1" applyFont="1"/>
    <xf numFmtId="1" fontId="6" fillId="0" borderId="0" xfId="0" applyNumberFormat="1" applyFont="1"/>
    <xf numFmtId="10" fontId="6" fillId="0" borderId="10" xfId="0" applyNumberFormat="1" applyFont="1" applyBorder="1"/>
    <xf numFmtId="173" fontId="6" fillId="0" borderId="0" xfId="0" applyNumberFormat="1" applyFont="1"/>
    <xf numFmtId="164" fontId="11" fillId="0" borderId="23" xfId="8" applyNumberFormat="1" applyFont="1" applyFill="1" applyBorder="1" applyAlignment="1" applyProtection="1">
      <alignment horizontal="right" vertical="center" wrapText="1"/>
    </xf>
    <xf numFmtId="164" fontId="6" fillId="0" borderId="0" xfId="0" applyNumberFormat="1" applyFont="1"/>
    <xf numFmtId="164" fontId="6" fillId="0" borderId="10" xfId="0" applyNumberFormat="1" applyFont="1" applyBorder="1"/>
    <xf numFmtId="167" fontId="6" fillId="0" borderId="7" xfId="2" applyNumberFormat="1" applyFont="1" applyFill="1" applyBorder="1"/>
    <xf numFmtId="166" fontId="6" fillId="0" borderId="11" xfId="8" applyNumberFormat="1" applyFont="1" applyBorder="1"/>
    <xf numFmtId="166" fontId="6" fillId="0" borderId="14" xfId="8" applyNumberFormat="1" applyFont="1" applyFill="1" applyBorder="1" applyAlignment="1"/>
    <xf numFmtId="167" fontId="6" fillId="0" borderId="14" xfId="2" applyNumberFormat="1" applyFont="1" applyBorder="1"/>
    <xf numFmtId="164" fontId="6" fillId="0" borderId="14" xfId="0" applyNumberFormat="1" applyFont="1" applyBorder="1"/>
    <xf numFmtId="164" fontId="6" fillId="0" borderId="12" xfId="0" applyNumberFormat="1" applyFont="1" applyBorder="1"/>
    <xf numFmtId="43" fontId="21" fillId="0" borderId="5" xfId="8" applyFont="1" applyBorder="1" applyAlignment="1"/>
    <xf numFmtId="43" fontId="21" fillId="0" borderId="4" xfId="8" applyFont="1" applyBorder="1" applyAlignment="1"/>
    <xf numFmtId="164" fontId="21" fillId="0" borderId="6" xfId="8" applyNumberFormat="1" applyFont="1" applyBorder="1" applyAlignment="1"/>
    <xf numFmtId="43" fontId="2" fillId="5" borderId="5" xfId="8" applyFont="1" applyFill="1" applyBorder="1" applyAlignment="1">
      <alignment horizontal="centerContinuous"/>
    </xf>
    <xf numFmtId="43" fontId="2" fillId="5" borderId="4" xfId="8" applyFont="1" applyFill="1" applyBorder="1" applyAlignment="1">
      <alignment horizontal="centerContinuous"/>
    </xf>
    <xf numFmtId="43" fontId="2" fillId="5" borderId="6" xfId="8" applyFont="1" applyFill="1" applyBorder="1" applyAlignment="1">
      <alignment horizontal="centerContinuous"/>
    </xf>
    <xf numFmtId="0" fontId="2" fillId="5" borderId="5" xfId="0" applyFont="1" applyFill="1" applyBorder="1" applyAlignment="1">
      <alignment horizontal="centerContinuous"/>
    </xf>
    <xf numFmtId="0" fontId="2" fillId="5" borderId="4" xfId="0" applyFont="1" applyFill="1" applyBorder="1" applyAlignment="1">
      <alignment horizontal="centerContinuous"/>
    </xf>
    <xf numFmtId="0" fontId="2" fillId="5" borderId="6" xfId="0" applyFont="1" applyFill="1" applyBorder="1" applyAlignment="1">
      <alignment horizontal="centerContinuous"/>
    </xf>
    <xf numFmtId="43" fontId="9" fillId="6" borderId="1" xfId="8" applyFont="1" applyFill="1" applyBorder="1" applyAlignment="1" applyProtection="1">
      <alignment horizontal="center" wrapText="1"/>
    </xf>
    <xf numFmtId="172" fontId="2" fillId="5" borderId="1" xfId="8" applyNumberFormat="1" applyFont="1" applyFill="1" applyBorder="1" applyAlignment="1">
      <alignment horizontal="center" wrapText="1"/>
    </xf>
    <xf numFmtId="0" fontId="1" fillId="5" borderId="1" xfId="0" applyFont="1" applyFill="1" applyBorder="1" applyAlignment="1">
      <alignment horizontal="center" wrapText="1"/>
    </xf>
    <xf numFmtId="3" fontId="1" fillId="5" borderId="1" xfId="0" applyNumberFormat="1" applyFont="1" applyFill="1" applyBorder="1" applyAlignment="1">
      <alignment horizontal="center" wrapText="1"/>
    </xf>
    <xf numFmtId="173" fontId="1" fillId="5" borderId="1" xfId="0" applyNumberFormat="1" applyFont="1" applyFill="1" applyBorder="1" applyAlignment="1">
      <alignment horizontal="center" wrapText="1"/>
    </xf>
    <xf numFmtId="164" fontId="7" fillId="0" borderId="22" xfId="8" applyNumberFormat="1" applyFont="1" applyFill="1" applyBorder="1" applyAlignment="1" applyProtection="1">
      <alignment horizontal="right" vertical="center" wrapText="1"/>
    </xf>
    <xf numFmtId="167" fontId="1" fillId="0" borderId="7" xfId="2" applyNumberFormat="1" applyFont="1" applyBorder="1"/>
    <xf numFmtId="164" fontId="7" fillId="0" borderId="7" xfId="8" applyNumberFormat="1" applyFont="1" applyFill="1" applyBorder="1" applyAlignment="1" applyProtection="1">
      <alignment horizontal="right" vertical="center" wrapText="1"/>
    </xf>
    <xf numFmtId="166" fontId="1" fillId="0" borderId="9" xfId="8" applyNumberFormat="1" applyFont="1" applyBorder="1"/>
    <xf numFmtId="166" fontId="1" fillId="0" borderId="0" xfId="8" applyNumberFormat="1" applyFont="1" applyFill="1" applyBorder="1" applyAlignment="1"/>
    <xf numFmtId="167" fontId="1" fillId="0" borderId="0" xfId="2" applyNumberFormat="1" applyFont="1"/>
    <xf numFmtId="1" fontId="1" fillId="0" borderId="0" xfId="0" applyNumberFormat="1" applyFont="1"/>
    <xf numFmtId="10" fontId="1" fillId="0" borderId="10" xfId="0" applyNumberFormat="1" applyFont="1" applyBorder="1"/>
    <xf numFmtId="173" fontId="1" fillId="0" borderId="0" xfId="0" applyNumberFormat="1" applyFont="1"/>
    <xf numFmtId="164" fontId="7" fillId="0" borderId="23" xfId="8" applyNumberFormat="1" applyFont="1" applyFill="1" applyBorder="1" applyAlignment="1" applyProtection="1">
      <alignment horizontal="right" vertical="center" wrapText="1"/>
    </xf>
    <xf numFmtId="164" fontId="1" fillId="0" borderId="10" xfId="0" applyNumberFormat="1" applyFont="1" applyBorder="1"/>
    <xf numFmtId="167" fontId="1" fillId="0" borderId="7" xfId="2" applyNumberFormat="1" applyFont="1" applyFill="1" applyBorder="1"/>
    <xf numFmtId="166" fontId="1" fillId="9" borderId="9" xfId="8" applyNumberFormat="1" applyFont="1" applyFill="1" applyBorder="1"/>
    <xf numFmtId="166" fontId="1" fillId="9" borderId="0" xfId="8" applyNumberFormat="1" applyFont="1" applyFill="1" applyBorder="1" applyAlignment="1"/>
    <xf numFmtId="167" fontId="1" fillId="9" borderId="0" xfId="2" applyNumberFormat="1" applyFont="1" applyFill="1"/>
    <xf numFmtId="164" fontId="1" fillId="9" borderId="0" xfId="0" applyNumberFormat="1" applyFont="1" applyFill="1"/>
    <xf numFmtId="164" fontId="1" fillId="9" borderId="10" xfId="0" applyNumberFormat="1" applyFont="1" applyFill="1" applyBorder="1"/>
    <xf numFmtId="166" fontId="1" fillId="0" borderId="11" xfId="8" applyNumberFormat="1" applyFont="1" applyBorder="1"/>
    <xf numFmtId="166" fontId="1" fillId="0" borderId="14" xfId="8" applyNumberFormat="1" applyFont="1" applyFill="1" applyBorder="1" applyAlignment="1"/>
    <xf numFmtId="167" fontId="1" fillId="0" borderId="14" xfId="2" applyNumberFormat="1" applyFont="1" applyBorder="1"/>
    <xf numFmtId="164" fontId="1" fillId="0" borderId="14" xfId="0" applyNumberFormat="1" applyFont="1" applyBorder="1"/>
    <xf numFmtId="164" fontId="1" fillId="0" borderId="12" xfId="0" applyNumberFormat="1" applyFont="1" applyBorder="1"/>
    <xf numFmtId="43" fontId="2" fillId="0" borderId="5" xfId="8" applyFont="1" applyBorder="1" applyAlignment="1"/>
    <xf numFmtId="43" fontId="2" fillId="0" borderId="4" xfId="8" applyFont="1" applyBorder="1" applyAlignment="1"/>
    <xf numFmtId="164" fontId="2" fillId="0" borderId="6" xfId="8" applyNumberFormat="1" applyFont="1" applyBorder="1" applyAlignment="1"/>
    <xf numFmtId="164" fontId="1" fillId="0" borderId="7" xfId="8" applyNumberFormat="1" applyFont="1" applyFill="1" applyBorder="1" applyAlignment="1" applyProtection="1">
      <alignment horizontal="right" vertical="center" wrapText="1"/>
    </xf>
    <xf numFmtId="165" fontId="2" fillId="0" borderId="6" xfId="8" applyNumberFormat="1" applyFont="1" applyFill="1" applyBorder="1" applyAlignment="1"/>
    <xf numFmtId="43" fontId="2" fillId="8" borderId="1" xfId="8" applyFont="1" applyFill="1" applyBorder="1" applyAlignment="1" applyProtection="1">
      <alignment horizontal="center" wrapText="1"/>
    </xf>
    <xf numFmtId="0" fontId="1" fillId="0" borderId="0" xfId="9" applyFont="1" applyAlignment="1">
      <alignment horizontal="center"/>
    </xf>
    <xf numFmtId="0" fontId="9" fillId="0" borderId="1" xfId="9" quotePrefix="1" applyFont="1" applyBorder="1" applyAlignment="1">
      <alignment horizontal="center" vertical="center" wrapText="1"/>
    </xf>
    <xf numFmtId="169" fontId="7" fillId="0" borderId="1" xfId="9" applyNumberFormat="1" applyFont="1" applyBorder="1" applyAlignment="1">
      <alignment horizontal="center" vertical="center" wrapText="1"/>
    </xf>
    <xf numFmtId="8" fontId="9" fillId="0" borderId="1" xfId="9" applyNumberFormat="1" applyFont="1" applyBorder="1" applyAlignment="1">
      <alignment horizontal="center" vertical="center" wrapText="1"/>
    </xf>
    <xf numFmtId="8" fontId="7" fillId="0" borderId="1" xfId="12" applyNumberFormat="1" applyFont="1" applyFill="1" applyBorder="1" applyAlignment="1">
      <alignment horizontal="center" vertical="center" wrapText="1"/>
    </xf>
    <xf numFmtId="0" fontId="7" fillId="0" borderId="0" xfId="9" applyFont="1" applyAlignment="1">
      <alignment horizontal="center" vertical="center" wrapText="1"/>
    </xf>
    <xf numFmtId="8" fontId="1" fillId="0" borderId="0" xfId="9" applyNumberFormat="1" applyFont="1"/>
    <xf numFmtId="44" fontId="2" fillId="4" borderId="0" xfId="3" applyFont="1" applyFill="1"/>
    <xf numFmtId="44" fontId="2" fillId="4" borderId="0" xfId="3" applyFont="1" applyFill="1" applyAlignment="1">
      <alignment horizontal="center"/>
    </xf>
    <xf numFmtId="0" fontId="10" fillId="2" borderId="0" xfId="0" applyFont="1" applyFill="1"/>
    <xf numFmtId="0" fontId="3" fillId="2" borderId="0" xfId="0" applyFont="1" applyFill="1"/>
    <xf numFmtId="0" fontId="3" fillId="2" borderId="0" xfId="0" applyFont="1" applyFill="1" applyAlignment="1">
      <alignment vertical="center"/>
    </xf>
    <xf numFmtId="0" fontId="3" fillId="2" borderId="0" xfId="0" applyFont="1" applyFill="1" applyAlignment="1">
      <alignment horizontal="left" vertical="center" indent="5"/>
    </xf>
    <xf numFmtId="0" fontId="3" fillId="0" borderId="0" xfId="0" applyFont="1" applyAlignment="1">
      <alignment vertical="center"/>
    </xf>
    <xf numFmtId="0" fontId="3" fillId="2" borderId="0" xfId="0" applyFont="1" applyFill="1" applyAlignment="1">
      <alignment horizontal="left" vertical="center" indent="10"/>
    </xf>
    <xf numFmtId="0" fontId="3" fillId="2" borderId="0" xfId="0" applyFont="1" applyFill="1" applyAlignment="1">
      <alignment horizontal="left"/>
    </xf>
    <xf numFmtId="0" fontId="1" fillId="2" borderId="0" xfId="0" quotePrefix="1" applyFont="1" applyFill="1" applyAlignment="1">
      <alignment horizontal="left" wrapText="1"/>
    </xf>
    <xf numFmtId="0" fontId="1" fillId="2" borderId="0" xfId="0" applyFont="1" applyFill="1" applyAlignment="1">
      <alignment wrapText="1"/>
    </xf>
    <xf numFmtId="0" fontId="1" fillId="2" borderId="0" xfId="0" quotePrefix="1" applyFont="1" applyFill="1" applyAlignment="1">
      <alignment wrapText="1"/>
    </xf>
    <xf numFmtId="0" fontId="3" fillId="2" borderId="0" xfId="0" quotePrefix="1" applyFont="1" applyFill="1" applyAlignment="1">
      <alignment horizontal="left"/>
    </xf>
    <xf numFmtId="0" fontId="1" fillId="2" borderId="0" xfId="0" applyFont="1" applyFill="1" applyAlignment="1">
      <alignment horizontal="left" wrapText="1"/>
    </xf>
    <xf numFmtId="0" fontId="16" fillId="0" borderId="0" xfId="0" applyFont="1"/>
    <xf numFmtId="164" fontId="17" fillId="0" borderId="0" xfId="0" applyNumberFormat="1" applyFont="1" applyAlignment="1">
      <alignment vertical="center"/>
    </xf>
    <xf numFmtId="0" fontId="17" fillId="0" borderId="0" xfId="0" applyFont="1" applyAlignment="1">
      <alignment vertical="center" wrapText="1"/>
    </xf>
    <xf numFmtId="0" fontId="17" fillId="0" borderId="0" xfId="0" applyFont="1" applyAlignment="1">
      <alignment horizontal="right" vertical="center"/>
    </xf>
    <xf numFmtId="0" fontId="2" fillId="2" borderId="1" xfId="0" applyFont="1" applyFill="1" applyBorder="1" applyAlignment="1">
      <alignment horizontal="right"/>
    </xf>
    <xf numFmtId="43" fontId="1" fillId="2" borderId="0" xfId="13" applyFont="1" applyFill="1"/>
    <xf numFmtId="0" fontId="1" fillId="0" borderId="1" xfId="0" applyFont="1" applyBorder="1"/>
    <xf numFmtId="0" fontId="2" fillId="0" borderId="1" xfId="0" applyFont="1" applyBorder="1" applyAlignment="1">
      <alignment horizontal="center"/>
    </xf>
    <xf numFmtId="164" fontId="1" fillId="0" borderId="1" xfId="0" applyNumberFormat="1" applyFont="1" applyBorder="1"/>
    <xf numFmtId="3" fontId="1" fillId="2" borderId="1" xfId="0" applyNumberFormat="1" applyFont="1" applyFill="1" applyBorder="1"/>
    <xf numFmtId="9" fontId="1" fillId="2" borderId="1" xfId="2" applyFont="1" applyFill="1" applyBorder="1"/>
    <xf numFmtId="3" fontId="1" fillId="0" borderId="1" xfId="0" applyNumberFormat="1" applyFont="1" applyBorder="1"/>
    <xf numFmtId="9" fontId="1" fillId="2" borderId="0" xfId="2" applyFont="1" applyFill="1" applyBorder="1"/>
    <xf numFmtId="165" fontId="1" fillId="0" borderId="1" xfId="0" applyNumberFormat="1" applyFont="1" applyBorder="1"/>
    <xf numFmtId="0" fontId="1" fillId="2" borderId="5" xfId="0" applyFont="1" applyFill="1" applyBorder="1"/>
    <xf numFmtId="0" fontId="1" fillId="2" borderId="6" xfId="0" applyFont="1" applyFill="1" applyBorder="1" applyAlignment="1">
      <alignment horizontal="right"/>
    </xf>
    <xf numFmtId="164" fontId="1" fillId="2" borderId="6" xfId="0" applyNumberFormat="1" applyFont="1" applyFill="1" applyBorder="1"/>
    <xf numFmtId="0" fontId="1" fillId="0" borderId="1" xfId="0" applyFont="1" applyBorder="1" applyAlignment="1">
      <alignment vertical="center"/>
    </xf>
    <xf numFmtId="0" fontId="2" fillId="0" borderId="1" xfId="0" applyFont="1" applyBorder="1" applyAlignment="1">
      <alignment horizontal="center" vertical="center"/>
    </xf>
    <xf numFmtId="165" fontId="1" fillId="0" borderId="1" xfId="0" applyNumberFormat="1" applyFont="1" applyBorder="1" applyAlignment="1">
      <alignment vertical="center"/>
    </xf>
    <xf numFmtId="0" fontId="1" fillId="2" borderId="3" xfId="0" applyFont="1" applyFill="1" applyBorder="1"/>
    <xf numFmtId="0" fontId="1" fillId="2" borderId="3" xfId="0" applyFont="1" applyFill="1" applyBorder="1" applyAlignment="1">
      <alignment horizontal="right"/>
    </xf>
    <xf numFmtId="0" fontId="2" fillId="0" borderId="1" xfId="0" applyFont="1" applyBorder="1" applyAlignment="1">
      <alignment vertical="center"/>
    </xf>
    <xf numFmtId="164" fontId="1" fillId="0" borderId="1" xfId="0" applyNumberFormat="1" applyFont="1" applyBorder="1" applyAlignment="1">
      <alignment vertical="center"/>
    </xf>
    <xf numFmtId="0" fontId="1"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164" fontId="1" fillId="0" borderId="0" xfId="0" applyNumberFormat="1" applyFont="1" applyAlignment="1">
      <alignment vertical="center"/>
    </xf>
    <xf numFmtId="9" fontId="2" fillId="2" borderId="1" xfId="0" applyNumberFormat="1" applyFont="1" applyFill="1" applyBorder="1"/>
    <xf numFmtId="0" fontId="1" fillId="2" borderId="0" xfId="0" applyFont="1" applyFill="1" applyAlignment="1">
      <alignment horizontal="right"/>
    </xf>
    <xf numFmtId="0" fontId="1" fillId="2" borderId="0" xfId="0" applyFont="1" applyFill="1" applyAlignment="1">
      <alignment horizontal="left" indent="1"/>
    </xf>
    <xf numFmtId="9" fontId="1" fillId="0" borderId="1" xfId="2" applyFont="1" applyBorder="1"/>
    <xf numFmtId="174" fontId="1" fillId="0" borderId="1" xfId="13" applyNumberFormat="1" applyFont="1" applyBorder="1"/>
    <xf numFmtId="10" fontId="1" fillId="0" borderId="1" xfId="2" applyNumberFormat="1" applyFont="1" applyBorder="1"/>
    <xf numFmtId="10" fontId="1" fillId="0" borderId="1" xfId="2" applyNumberFormat="1" applyFont="1" applyBorder="1" applyAlignment="1">
      <alignment vertical="center"/>
    </xf>
    <xf numFmtId="0" fontId="1" fillId="0" borderId="5" xfId="0" applyFont="1" applyBorder="1"/>
    <xf numFmtId="0" fontId="2" fillId="0" borderId="5" xfId="0" applyFont="1" applyBorder="1"/>
    <xf numFmtId="0" fontId="1" fillId="0" borderId="4" xfId="0" applyFont="1" applyBorder="1"/>
    <xf numFmtId="0" fontId="1" fillId="0" borderId="6" xfId="0" applyFont="1" applyBorder="1"/>
    <xf numFmtId="165" fontId="1" fillId="0" borderId="6" xfId="0" applyNumberFormat="1" applyFont="1" applyBorder="1"/>
    <xf numFmtId="10" fontId="1" fillId="0" borderId="6" xfId="0" applyNumberFormat="1" applyFont="1" applyBorder="1"/>
    <xf numFmtId="164" fontId="1" fillId="0" borderId="6" xfId="0" applyNumberFormat="1" applyFont="1" applyBorder="1"/>
    <xf numFmtId="0" fontId="3" fillId="0" borderId="5" xfId="0" applyFont="1" applyBorder="1"/>
    <xf numFmtId="0" fontId="1" fillId="0" borderId="5" xfId="0" applyFont="1" applyBorder="1" applyAlignment="1">
      <alignment vertical="center"/>
    </xf>
    <xf numFmtId="0" fontId="2" fillId="0" borderId="5"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165" fontId="1" fillId="4" borderId="6" xfId="0" applyNumberFormat="1" applyFont="1" applyFill="1" applyBorder="1" applyAlignment="1">
      <alignment vertical="center"/>
    </xf>
    <xf numFmtId="0" fontId="10" fillId="2" borderId="0" xfId="0" applyFont="1" applyFill="1" applyAlignment="1">
      <alignment horizontal="left" indent="3"/>
    </xf>
    <xf numFmtId="0" fontId="23" fillId="0" borderId="0" xfId="0" applyFont="1"/>
    <xf numFmtId="0" fontId="1" fillId="0" borderId="0" xfId="0" applyFont="1" applyAlignment="1">
      <alignment wrapText="1"/>
    </xf>
    <xf numFmtId="0" fontId="2" fillId="2" borderId="5" xfId="0" applyFont="1" applyFill="1" applyBorder="1"/>
    <xf numFmtId="0" fontId="2" fillId="2" borderId="4" xfId="0" applyFont="1" applyFill="1" applyBorder="1"/>
    <xf numFmtId="165" fontId="1" fillId="2" borderId="10" xfId="3" applyNumberFormat="1" applyFont="1" applyFill="1" applyBorder="1"/>
    <xf numFmtId="0" fontId="1" fillId="2" borderId="11" xfId="0" quotePrefix="1" applyFont="1" applyFill="1" applyBorder="1" applyAlignment="1">
      <alignment horizontal="left"/>
    </xf>
    <xf numFmtId="0" fontId="2" fillId="2" borderId="6" xfId="0" applyFont="1" applyFill="1" applyBorder="1" applyAlignment="1">
      <alignment horizontal="right"/>
    </xf>
    <xf numFmtId="0" fontId="1" fillId="2" borderId="9" xfId="0" applyFont="1" applyFill="1" applyBorder="1" applyAlignment="1">
      <alignment horizontal="left"/>
    </xf>
    <xf numFmtId="164" fontId="1" fillId="2" borderId="10" xfId="3" applyNumberFormat="1" applyFont="1" applyFill="1" applyBorder="1"/>
    <xf numFmtId="0" fontId="1" fillId="2" borderId="11" xfId="0" applyFont="1" applyFill="1" applyBorder="1" applyAlignment="1">
      <alignment horizontal="left"/>
    </xf>
    <xf numFmtId="164" fontId="1" fillId="2" borderId="12" xfId="3" applyNumberFormat="1" applyFont="1" applyFill="1" applyBorder="1"/>
    <xf numFmtId="0" fontId="24" fillId="0" borderId="0" xfId="0" applyFont="1"/>
    <xf numFmtId="175" fontId="1" fillId="0" borderId="0" xfId="0" applyNumberFormat="1" applyFont="1"/>
    <xf numFmtId="175" fontId="1" fillId="0" borderId="0" xfId="3" applyNumberFormat="1" applyFont="1"/>
    <xf numFmtId="0" fontId="25" fillId="0" borderId="0" xfId="0" applyFont="1"/>
    <xf numFmtId="175" fontId="25" fillId="0" borderId="0" xfId="0" applyNumberFormat="1" applyFont="1"/>
    <xf numFmtId="0" fontId="1" fillId="4" borderId="0" xfId="0" quotePrefix="1" applyFont="1" applyFill="1" applyAlignment="1">
      <alignment horizontal="left"/>
    </xf>
    <xf numFmtId="9" fontId="1" fillId="4" borderId="0" xfId="2" applyFont="1" applyFill="1"/>
    <xf numFmtId="175" fontId="1" fillId="4" borderId="0" xfId="3" applyNumberFormat="1" applyFont="1" applyFill="1"/>
    <xf numFmtId="0" fontId="26" fillId="0" borderId="0" xfId="0" applyFont="1"/>
    <xf numFmtId="172" fontId="21" fillId="0" borderId="1" xfId="8" applyNumberFormat="1" applyFont="1" applyBorder="1" applyAlignment="1">
      <alignment horizontal="centerContinuous"/>
    </xf>
    <xf numFmtId="43" fontId="6" fillId="0" borderId="0" xfId="8" applyFont="1"/>
    <xf numFmtId="0" fontId="21" fillId="0" borderId="0" xfId="0" applyFont="1" applyAlignment="1">
      <alignment horizontal="centerContinuous"/>
    </xf>
    <xf numFmtId="172" fontId="6" fillId="0" borderId="7" xfId="8" applyNumberFormat="1" applyFont="1" applyBorder="1" applyAlignment="1">
      <alignment horizontal="centerContinuous"/>
    </xf>
    <xf numFmtId="164" fontId="6" fillId="0" borderId="7" xfId="8" applyNumberFormat="1" applyFont="1" applyFill="1" applyBorder="1"/>
    <xf numFmtId="9" fontId="6" fillId="0" borderId="7" xfId="8" applyNumberFormat="1" applyFont="1" applyFill="1" applyBorder="1"/>
    <xf numFmtId="0" fontId="6" fillId="0" borderId="0" xfId="0" applyFont="1" applyAlignment="1">
      <alignment horizontal="center"/>
    </xf>
    <xf numFmtId="172" fontId="6" fillId="0" borderId="3" xfId="8" applyNumberFormat="1" applyFont="1" applyBorder="1" applyAlignment="1">
      <alignment horizontal="centerContinuous"/>
    </xf>
    <xf numFmtId="164" fontId="6" fillId="0" borderId="3" xfId="8" applyNumberFormat="1" applyFont="1" applyFill="1" applyBorder="1"/>
    <xf numFmtId="0" fontId="6" fillId="0" borderId="0" xfId="0" applyFont="1" applyAlignment="1">
      <alignment horizontal="right"/>
    </xf>
    <xf numFmtId="3" fontId="6" fillId="0" borderId="0" xfId="0" applyNumberFormat="1" applyFont="1" applyAlignment="1">
      <alignment horizontal="right"/>
    </xf>
    <xf numFmtId="9" fontId="6" fillId="0" borderId="0" xfId="2" applyFont="1"/>
    <xf numFmtId="172" fontId="6" fillId="0" borderId="1" xfId="8" applyNumberFormat="1" applyFont="1" applyBorder="1" applyAlignment="1">
      <alignment horizontal="centerContinuous"/>
    </xf>
    <xf numFmtId="166" fontId="6" fillId="0" borderId="1" xfId="8" applyNumberFormat="1" applyFont="1" applyBorder="1"/>
    <xf numFmtId="0" fontId="6" fillId="0" borderId="0" xfId="0" applyFont="1" applyAlignment="1">
      <alignment horizontal="center" wrapText="1"/>
    </xf>
    <xf numFmtId="166" fontId="6" fillId="0" borderId="0" xfId="8" applyNumberFormat="1" applyFont="1"/>
    <xf numFmtId="0" fontId="9" fillId="2" borderId="1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quotePrefix="1" applyFont="1" applyFill="1" applyBorder="1" applyAlignment="1">
      <alignment horizontal="center" vertical="center" wrapText="1"/>
    </xf>
    <xf numFmtId="0" fontId="1" fillId="2" borderId="1" xfId="0" applyFont="1" applyFill="1" applyBorder="1" applyAlignment="1">
      <alignment vertical="center" wrapText="1"/>
    </xf>
    <xf numFmtId="6" fontId="1" fillId="2" borderId="1" xfId="0" applyNumberFormat="1" applyFont="1" applyFill="1" applyBorder="1" applyAlignment="1">
      <alignment horizontal="right" vertical="center" wrapText="1"/>
    </xf>
    <xf numFmtId="0" fontId="1" fillId="2" borderId="1" xfId="0" applyFont="1" applyFill="1" applyBorder="1" applyAlignment="1">
      <alignment horizontal="right" vertical="center" wrapText="1"/>
    </xf>
    <xf numFmtId="0" fontId="1" fillId="0" borderId="0" xfId="9" applyFont="1" applyAlignment="1">
      <alignment horizont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0" xfId="0" quotePrefix="1" applyFont="1" applyAlignment="1">
      <alignment horizontal="left" wrapText="1"/>
    </xf>
  </cellXfs>
  <cellStyles count="14">
    <cellStyle name="Comma" xfId="13" builtinId="3"/>
    <cellStyle name="Comma 2" xfId="12" xr:uid="{193688D7-0965-456F-8851-379D0D9E3DA6}"/>
    <cellStyle name="Comma 32 2 2" xfId="6" xr:uid="{D3B1B5C2-CFD4-B74F-9FDC-33F40B7805E2}"/>
    <cellStyle name="Currency" xfId="3" builtinId="4"/>
    <cellStyle name="Currency 2" xfId="7" xr:uid="{55FCF7D4-CDDC-F846-A4E7-7023054FAB76}"/>
    <cellStyle name="Currency 3" xfId="10" xr:uid="{BCA415F3-90AE-4247-9844-33E821012B30}"/>
    <cellStyle name="Milliers 2" xfId="8" xr:uid="{F9784915-15FD-8644-A007-F08EDC984C6F}"/>
    <cellStyle name="Normal" xfId="0" builtinId="0"/>
    <cellStyle name="Normal 134 2 2 2" xfId="4" xr:uid="{2690D622-39D0-6148-A711-DDC0DAC9C1D1}"/>
    <cellStyle name="Normal 2" xfId="1" xr:uid="{CA9855CC-A0D3-4173-B72D-E517C123FA64}"/>
    <cellStyle name="Normal 3" xfId="9" xr:uid="{8C9ACB8C-5747-4DC0-BC7A-11BAFBA4FCA0}"/>
    <cellStyle name="Percent" xfId="2" builtinId="5"/>
    <cellStyle name="Percent 2" xfId="11" xr:uid="{7599D798-C25C-4F9B-BBDE-59FB701AC94A}"/>
    <cellStyle name="Percent 57 2 2" xfId="5" xr:uid="{2D3AAB24-1B02-0540-A199-A321FC77C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a:solidFill>
                <a:schemeClr val="accent6">
                  <a:lumMod val="75000"/>
                </a:schemeClr>
              </a:solidFill>
            </a:ln>
          </c:spPr>
          <c:marker>
            <c:symbol val="none"/>
          </c:marker>
          <c:cat>
            <c:numRef>
              <c:f>'Q02'!$B$71:$B$76</c:f>
              <c:numCache>
                <c:formatCode>0%</c:formatCode>
                <c:ptCount val="6"/>
                <c:pt idx="0">
                  <c:v>0</c:v>
                </c:pt>
                <c:pt idx="1">
                  <c:v>0.05</c:v>
                </c:pt>
                <c:pt idx="2">
                  <c:v>0.1</c:v>
                </c:pt>
                <c:pt idx="3">
                  <c:v>0.15</c:v>
                </c:pt>
                <c:pt idx="4">
                  <c:v>0.2</c:v>
                </c:pt>
                <c:pt idx="5">
                  <c:v>0.25</c:v>
                </c:pt>
              </c:numCache>
            </c:numRef>
          </c:cat>
          <c:val>
            <c:numRef>
              <c:f>'Q02'!$C$71:$C$76</c:f>
              <c:numCache>
                <c:formatCode>0%</c:formatCode>
                <c:ptCount val="6"/>
              </c:numCache>
            </c:numRef>
          </c:val>
          <c:smooth val="0"/>
          <c:extLst>
            <c:ext xmlns:c16="http://schemas.microsoft.com/office/drawing/2014/chart" uri="{C3380CC4-5D6E-409C-BE32-E72D297353CC}">
              <c16:uniqueId val="{00000000-2BED-A245-9CE1-DE0D0757C342}"/>
            </c:ext>
          </c:extLst>
        </c:ser>
        <c:ser>
          <c:idx val="1"/>
          <c:order val="1"/>
          <c:spPr>
            <a:ln>
              <a:solidFill>
                <a:schemeClr val="accent2">
                  <a:lumMod val="75000"/>
                </a:schemeClr>
              </a:solidFill>
            </a:ln>
          </c:spPr>
          <c:marker>
            <c:symbol val="none"/>
          </c:marker>
          <c:cat>
            <c:numRef>
              <c:f>'Q02'!$B$71:$B$76</c:f>
              <c:numCache>
                <c:formatCode>0%</c:formatCode>
                <c:ptCount val="6"/>
                <c:pt idx="0">
                  <c:v>0</c:v>
                </c:pt>
                <c:pt idx="1">
                  <c:v>0.05</c:v>
                </c:pt>
                <c:pt idx="2">
                  <c:v>0.1</c:v>
                </c:pt>
                <c:pt idx="3">
                  <c:v>0.15</c:v>
                </c:pt>
                <c:pt idx="4">
                  <c:v>0.2</c:v>
                </c:pt>
                <c:pt idx="5">
                  <c:v>0.25</c:v>
                </c:pt>
              </c:numCache>
            </c:numRef>
          </c:cat>
          <c:val>
            <c:numRef>
              <c:f>'Q02'!$D$71:$D$76</c:f>
              <c:numCache>
                <c:formatCode>0%</c:formatCode>
                <c:ptCount val="6"/>
              </c:numCache>
            </c:numRef>
          </c:val>
          <c:smooth val="0"/>
          <c:extLst>
            <c:ext xmlns:c16="http://schemas.microsoft.com/office/drawing/2014/chart" uri="{C3380CC4-5D6E-409C-BE32-E72D297353CC}">
              <c16:uniqueId val="{00000001-2BED-A245-9CE1-DE0D0757C342}"/>
            </c:ext>
          </c:extLst>
        </c:ser>
        <c:ser>
          <c:idx val="8"/>
          <c:order val="2"/>
          <c:spPr>
            <a:ln>
              <a:solidFill>
                <a:schemeClr val="accent6">
                  <a:lumMod val="75000"/>
                </a:schemeClr>
              </a:solidFill>
            </a:ln>
          </c:spPr>
          <c:marker>
            <c:symbol val="none"/>
          </c:marker>
          <c:cat>
            <c:numRef>
              <c:f>'Q02'!$B$71:$B$76</c:f>
              <c:numCache>
                <c:formatCode>0%</c:formatCode>
                <c:ptCount val="6"/>
                <c:pt idx="0">
                  <c:v>0</c:v>
                </c:pt>
                <c:pt idx="1">
                  <c:v>0.05</c:v>
                </c:pt>
                <c:pt idx="2">
                  <c:v>0.1</c:v>
                </c:pt>
                <c:pt idx="3">
                  <c:v>0.15</c:v>
                </c:pt>
                <c:pt idx="4">
                  <c:v>0.2</c:v>
                </c:pt>
                <c:pt idx="5">
                  <c:v>0.25</c:v>
                </c:pt>
              </c:numCache>
            </c:numRef>
          </c:cat>
          <c:val>
            <c:numRef>
              <c:f>'Q02'!$C$71:$C$76</c:f>
              <c:numCache>
                <c:formatCode>0%</c:formatCode>
                <c:ptCount val="6"/>
              </c:numCache>
            </c:numRef>
          </c:val>
          <c:smooth val="0"/>
          <c:extLst>
            <c:ext xmlns:c16="http://schemas.microsoft.com/office/drawing/2014/chart" uri="{C3380CC4-5D6E-409C-BE32-E72D297353CC}">
              <c16:uniqueId val="{00000002-2BED-A245-9CE1-DE0D0757C342}"/>
            </c:ext>
          </c:extLst>
        </c:ser>
        <c:ser>
          <c:idx val="9"/>
          <c:order val="3"/>
          <c:spPr>
            <a:ln>
              <a:solidFill>
                <a:schemeClr val="accent2">
                  <a:lumMod val="75000"/>
                </a:schemeClr>
              </a:solidFill>
            </a:ln>
          </c:spPr>
          <c:marker>
            <c:symbol val="none"/>
          </c:marker>
          <c:cat>
            <c:numRef>
              <c:f>'Q02'!$B$71:$B$76</c:f>
              <c:numCache>
                <c:formatCode>0%</c:formatCode>
                <c:ptCount val="6"/>
                <c:pt idx="0">
                  <c:v>0</c:v>
                </c:pt>
                <c:pt idx="1">
                  <c:v>0.05</c:v>
                </c:pt>
                <c:pt idx="2">
                  <c:v>0.1</c:v>
                </c:pt>
                <c:pt idx="3">
                  <c:v>0.15</c:v>
                </c:pt>
                <c:pt idx="4">
                  <c:v>0.2</c:v>
                </c:pt>
                <c:pt idx="5">
                  <c:v>0.25</c:v>
                </c:pt>
              </c:numCache>
            </c:numRef>
          </c:cat>
          <c:val>
            <c:numRef>
              <c:f>'Q02'!$D$71:$D$76</c:f>
              <c:numCache>
                <c:formatCode>0%</c:formatCode>
                <c:ptCount val="6"/>
              </c:numCache>
            </c:numRef>
          </c:val>
          <c:smooth val="0"/>
          <c:extLst>
            <c:ext xmlns:c16="http://schemas.microsoft.com/office/drawing/2014/chart" uri="{C3380CC4-5D6E-409C-BE32-E72D297353CC}">
              <c16:uniqueId val="{00000003-2BED-A245-9CE1-DE0D0757C342}"/>
            </c:ext>
          </c:extLst>
        </c:ser>
        <c:dLbls>
          <c:showLegendKey val="0"/>
          <c:showVal val="0"/>
          <c:showCatName val="0"/>
          <c:showSerName val="0"/>
          <c:showPercent val="0"/>
          <c:showBubbleSize val="0"/>
        </c:dLbls>
        <c:smooth val="0"/>
        <c:axId val="765543864"/>
        <c:axId val="765544584"/>
      </c:lineChart>
      <c:catAx>
        <c:axId val="7655438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Premium Increase Over Trend</a:t>
                </a:r>
              </a:p>
            </c:rich>
          </c:tx>
          <c:overlay val="0"/>
          <c:spPr>
            <a:noFill/>
            <a:ln>
              <a:noFill/>
            </a:ln>
            <a:effectLst/>
          </c:sp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544584"/>
        <c:crosses val="autoZero"/>
        <c:auto val="1"/>
        <c:lblAlgn val="ctr"/>
        <c:lblOffset val="100"/>
        <c:noMultiLvlLbl val="0"/>
      </c:catAx>
      <c:valAx>
        <c:axId val="765544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Lapse Rate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543864"/>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marker>
            <c:symbol val="none"/>
          </c:marker>
          <c:cat>
            <c:numRef>
              <c:f>'Q02'!$O$83:$O$88</c:f>
              <c:numCache>
                <c:formatCode>0%</c:formatCode>
                <c:ptCount val="6"/>
                <c:pt idx="0">
                  <c:v>0</c:v>
                </c:pt>
                <c:pt idx="1">
                  <c:v>0.05</c:v>
                </c:pt>
                <c:pt idx="2">
                  <c:v>0.1</c:v>
                </c:pt>
                <c:pt idx="3">
                  <c:v>0.15</c:v>
                </c:pt>
                <c:pt idx="4">
                  <c:v>0.2</c:v>
                </c:pt>
                <c:pt idx="5">
                  <c:v>0.25</c:v>
                </c:pt>
              </c:numCache>
            </c:numRef>
          </c:cat>
          <c:val>
            <c:numRef>
              <c:f>'Q02'!$P$83:$P$88</c:f>
              <c:numCache>
                <c:formatCode>0%</c:formatCode>
                <c:ptCount val="6"/>
                <c:pt idx="0">
                  <c:v>0.1</c:v>
                </c:pt>
                <c:pt idx="1">
                  <c:v>0.13</c:v>
                </c:pt>
                <c:pt idx="2">
                  <c:v>0.16</c:v>
                </c:pt>
                <c:pt idx="3">
                  <c:v>0.19</c:v>
                </c:pt>
                <c:pt idx="4">
                  <c:v>0.22</c:v>
                </c:pt>
                <c:pt idx="5">
                  <c:v>0.25</c:v>
                </c:pt>
              </c:numCache>
            </c:numRef>
          </c:val>
          <c:smooth val="0"/>
          <c:extLst>
            <c:ext xmlns:c16="http://schemas.microsoft.com/office/drawing/2014/chart" uri="{C3380CC4-5D6E-409C-BE32-E72D297353CC}">
              <c16:uniqueId val="{00000000-050C-F441-AE35-5D77ABF351B8}"/>
            </c:ext>
          </c:extLst>
        </c:ser>
        <c:ser>
          <c:idx val="9"/>
          <c:order val="1"/>
          <c:marker>
            <c:symbol val="none"/>
          </c:marker>
          <c:cat>
            <c:numRef>
              <c:f>'Q02'!$O$83:$O$88</c:f>
              <c:numCache>
                <c:formatCode>0%</c:formatCode>
                <c:ptCount val="6"/>
                <c:pt idx="0">
                  <c:v>0</c:v>
                </c:pt>
                <c:pt idx="1">
                  <c:v>0.05</c:v>
                </c:pt>
                <c:pt idx="2">
                  <c:v>0.1</c:v>
                </c:pt>
                <c:pt idx="3">
                  <c:v>0.15</c:v>
                </c:pt>
                <c:pt idx="4">
                  <c:v>0.2</c:v>
                </c:pt>
                <c:pt idx="5">
                  <c:v>0.25</c:v>
                </c:pt>
              </c:numCache>
            </c:numRef>
          </c:cat>
          <c:val>
            <c:numRef>
              <c:f>'Q02'!$Q$83:$Q$88</c:f>
              <c:numCache>
                <c:formatCode>0%</c:formatCode>
                <c:ptCount val="6"/>
                <c:pt idx="0">
                  <c:v>0.05</c:v>
                </c:pt>
                <c:pt idx="1">
                  <c:v>6.5000000000000002E-2</c:v>
                </c:pt>
                <c:pt idx="2">
                  <c:v>0.08</c:v>
                </c:pt>
                <c:pt idx="3">
                  <c:v>9.5000000000000001E-2</c:v>
                </c:pt>
                <c:pt idx="4">
                  <c:v>0.11</c:v>
                </c:pt>
                <c:pt idx="5">
                  <c:v>0.125</c:v>
                </c:pt>
              </c:numCache>
            </c:numRef>
          </c:val>
          <c:smooth val="0"/>
          <c:extLst>
            <c:ext xmlns:c16="http://schemas.microsoft.com/office/drawing/2014/chart" uri="{C3380CC4-5D6E-409C-BE32-E72D297353CC}">
              <c16:uniqueId val="{00000001-050C-F441-AE35-5D77ABF351B8}"/>
            </c:ext>
          </c:extLst>
        </c:ser>
        <c:dLbls>
          <c:showLegendKey val="0"/>
          <c:showVal val="0"/>
          <c:showCatName val="0"/>
          <c:showSerName val="0"/>
          <c:showPercent val="0"/>
          <c:showBubbleSize val="0"/>
        </c:dLbls>
        <c:smooth val="0"/>
        <c:axId val="765543864"/>
        <c:axId val="765544584"/>
      </c:lineChart>
      <c:catAx>
        <c:axId val="7655438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Premium Increase Over Trend</a:t>
                </a:r>
              </a:p>
            </c:rich>
          </c:tx>
          <c:overlay val="0"/>
          <c:spPr>
            <a:noFill/>
            <a:ln>
              <a:noFill/>
            </a:ln>
            <a:effectLst/>
          </c:sp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544584"/>
        <c:crosses val="autoZero"/>
        <c:auto val="1"/>
        <c:lblAlgn val="ctr"/>
        <c:lblOffset val="100"/>
        <c:noMultiLvlLbl val="0"/>
      </c:catAx>
      <c:valAx>
        <c:axId val="765544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Lapse Rate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543864"/>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660400</xdr:colOff>
      <xdr:row>12</xdr:row>
      <xdr:rowOff>25400</xdr:rowOff>
    </xdr:from>
    <xdr:to>
      <xdr:col>14</xdr:col>
      <xdr:colOff>117475</xdr:colOff>
      <xdr:row>19</xdr:row>
      <xdr:rowOff>15875</xdr:rowOff>
    </xdr:to>
    <xdr:sp macro="" textlink="">
      <xdr:nvSpPr>
        <xdr:cNvPr id="2" name="TextBox 1">
          <a:extLst>
            <a:ext uri="{FF2B5EF4-FFF2-40B4-BE49-F238E27FC236}">
              <a16:creationId xmlns:a16="http://schemas.microsoft.com/office/drawing/2014/main" id="{674C3336-947F-4504-AFAA-F3D8CA2C19B0}"/>
            </a:ext>
          </a:extLst>
        </xdr:cNvPr>
        <xdr:cNvSpPr txBox="1"/>
      </xdr:nvSpPr>
      <xdr:spPr>
        <a:xfrm>
          <a:off x="1333500" y="2311400"/>
          <a:ext cx="820737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ANSWER: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68</xdr:row>
      <xdr:rowOff>88900</xdr:rowOff>
    </xdr:from>
    <xdr:to>
      <xdr:col>9</xdr:col>
      <xdr:colOff>330200</xdr:colOff>
      <xdr:row>84</xdr:row>
      <xdr:rowOff>80818</xdr:rowOff>
    </xdr:to>
    <xdr:graphicFrame macro="">
      <xdr:nvGraphicFramePr>
        <xdr:cNvPr id="2" name="Chart 1">
          <a:extLst>
            <a:ext uri="{FF2B5EF4-FFF2-40B4-BE49-F238E27FC236}">
              <a16:creationId xmlns:a16="http://schemas.microsoft.com/office/drawing/2014/main" id="{49AD6FB1-A443-4F40-BD1D-FED7D7F41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800100</xdr:colOff>
      <xdr:row>89</xdr:row>
      <xdr:rowOff>25400</xdr:rowOff>
    </xdr:from>
    <xdr:to>
      <xdr:col>16</xdr:col>
      <xdr:colOff>63500</xdr:colOff>
      <xdr:row>105</xdr:row>
      <xdr:rowOff>177800</xdr:rowOff>
    </xdr:to>
    <xdr:graphicFrame macro="">
      <xdr:nvGraphicFramePr>
        <xdr:cNvPr id="3" name="Chart 2">
          <a:extLst>
            <a:ext uri="{FF2B5EF4-FFF2-40B4-BE49-F238E27FC236}">
              <a16:creationId xmlns:a16="http://schemas.microsoft.com/office/drawing/2014/main" id="{ABDC2896-6C12-EC4D-BCD4-A3BCE3B13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984250</xdr:colOff>
      <xdr:row>15</xdr:row>
      <xdr:rowOff>60325</xdr:rowOff>
    </xdr:from>
    <xdr:to>
      <xdr:col>17</xdr:col>
      <xdr:colOff>994036</xdr:colOff>
      <xdr:row>18</xdr:row>
      <xdr:rowOff>88819</xdr:rowOff>
    </xdr:to>
    <xdr:pic>
      <xdr:nvPicPr>
        <xdr:cNvPr id="2" name="Picture 1">
          <a:extLst>
            <a:ext uri="{FF2B5EF4-FFF2-40B4-BE49-F238E27FC236}">
              <a16:creationId xmlns:a16="http://schemas.microsoft.com/office/drawing/2014/main" id="{BB2B8149-3BA4-4FAE-BF04-20E0D1DD93DF}"/>
            </a:ext>
          </a:extLst>
        </xdr:cNvPr>
        <xdr:cNvPicPr>
          <a:picLocks noChangeAspect="1"/>
        </xdr:cNvPicPr>
      </xdr:nvPicPr>
      <xdr:blipFill>
        <a:blip xmlns:r="http://schemas.openxmlformats.org/officeDocument/2006/relationships" r:embed="rId1"/>
        <a:stretch>
          <a:fillRect/>
        </a:stretch>
      </xdr:blipFill>
      <xdr:spPr>
        <a:xfrm>
          <a:off x="17071975" y="3060700"/>
          <a:ext cx="4067436" cy="6285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AC6C-884C-4CC0-8E9C-A7134E9E8E49}">
  <sheetPr>
    <tabColor rgb="FFFFFF00"/>
  </sheetPr>
  <dimension ref="B2:D11"/>
  <sheetViews>
    <sheetView workbookViewId="0"/>
  </sheetViews>
  <sheetFormatPr defaultColWidth="8.77734375" defaultRowHeight="14.4" x14ac:dyDescent="0.3"/>
  <sheetData>
    <row r="2" spans="2:4" x14ac:dyDescent="0.3">
      <c r="B2" t="s">
        <v>3</v>
      </c>
    </row>
    <row r="3" spans="2:4" x14ac:dyDescent="0.3">
      <c r="C3" t="s">
        <v>4</v>
      </c>
    </row>
    <row r="4" spans="2:4" x14ac:dyDescent="0.3">
      <c r="C4" t="s">
        <v>5</v>
      </c>
    </row>
    <row r="5" spans="2:4" x14ac:dyDescent="0.3">
      <c r="C5" t="s">
        <v>6</v>
      </c>
    </row>
    <row r="6" spans="2:4" x14ac:dyDescent="0.3">
      <c r="C6" t="s">
        <v>7</v>
      </c>
    </row>
    <row r="7" spans="2:4" x14ac:dyDescent="0.3">
      <c r="D7" t="s">
        <v>8</v>
      </c>
    </row>
    <row r="8" spans="2:4" x14ac:dyDescent="0.3">
      <c r="D8" t="s">
        <v>9</v>
      </c>
    </row>
    <row r="9" spans="2:4" x14ac:dyDescent="0.3">
      <c r="C9" t="s">
        <v>10</v>
      </c>
    </row>
    <row r="11" spans="2:4" x14ac:dyDescent="0.3">
      <c r="C11" t="s">
        <v>11</v>
      </c>
    </row>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B68B-032A-A147-88BA-BA72CC5191CB}">
  <dimension ref="A1:W105"/>
  <sheetViews>
    <sheetView zoomScaleNormal="100" workbookViewId="0"/>
  </sheetViews>
  <sheetFormatPr defaultColWidth="10.77734375" defaultRowHeight="15.6" x14ac:dyDescent="0.3"/>
  <cols>
    <col min="1" max="1" width="10" style="65" customWidth="1"/>
    <col min="2" max="2" width="23.6640625" style="2" customWidth="1"/>
    <col min="3" max="5" width="11.44140625" style="2" customWidth="1"/>
    <col min="6" max="11" width="10" style="2" customWidth="1"/>
    <col min="12" max="12" width="3.109375" style="2" customWidth="1"/>
    <col min="13" max="13" width="4.109375" style="22" customWidth="1"/>
    <col min="14" max="14" width="10.77734375" style="2"/>
    <col min="15" max="15" width="24.6640625" style="2" customWidth="1"/>
    <col min="16" max="16" width="6.44140625" style="2" customWidth="1"/>
    <col min="17" max="20" width="11.77734375" style="2" customWidth="1"/>
    <col min="21" max="21" width="27.109375" style="2" customWidth="1"/>
    <col min="22" max="23" width="12.33203125" style="2" customWidth="1"/>
    <col min="24" max="16384" width="10.77734375" style="2"/>
  </cols>
  <sheetData>
    <row r="1" spans="1:15" x14ac:dyDescent="0.3">
      <c r="A1" s="360" t="s">
        <v>415</v>
      </c>
      <c r="B1" s="1"/>
      <c r="C1" s="1"/>
      <c r="D1" s="1"/>
      <c r="E1" s="1"/>
      <c r="F1" s="1"/>
      <c r="G1" s="1"/>
      <c r="H1" s="1"/>
      <c r="I1" s="1"/>
      <c r="J1" s="1"/>
      <c r="K1" s="1"/>
      <c r="L1" s="21"/>
      <c r="M1" s="2" t="s">
        <v>345</v>
      </c>
    </row>
    <row r="2" spans="1:15" x14ac:dyDescent="0.3">
      <c r="A2" s="361" t="s">
        <v>257</v>
      </c>
      <c r="B2" s="1"/>
      <c r="C2" s="1"/>
      <c r="D2" s="1"/>
      <c r="E2" s="1"/>
      <c r="F2" s="1"/>
      <c r="G2" s="1"/>
      <c r="H2" s="1"/>
      <c r="I2" s="1"/>
      <c r="J2" s="1"/>
      <c r="K2" s="1"/>
      <c r="L2" s="21"/>
    </row>
    <row r="3" spans="1:15" x14ac:dyDescent="0.3">
      <c r="A3" s="361"/>
      <c r="B3" s="1"/>
      <c r="C3" s="1"/>
      <c r="D3" s="1"/>
      <c r="E3" s="1"/>
      <c r="F3" s="1"/>
      <c r="G3" s="1"/>
      <c r="H3" s="1"/>
      <c r="I3" s="1"/>
      <c r="J3" s="1"/>
      <c r="K3" s="1"/>
      <c r="L3" s="21"/>
    </row>
    <row r="4" spans="1:15" x14ac:dyDescent="0.3">
      <c r="A4" s="362" t="s">
        <v>29</v>
      </c>
      <c r="B4" s="1" t="s">
        <v>56</v>
      </c>
      <c r="C4" s="1" t="s">
        <v>416</v>
      </c>
      <c r="D4" s="1"/>
      <c r="E4" s="1"/>
      <c r="F4" s="1"/>
      <c r="G4" s="1"/>
      <c r="H4" s="1"/>
      <c r="I4" s="1"/>
      <c r="J4" s="1"/>
      <c r="K4" s="1"/>
      <c r="L4" s="21"/>
    </row>
    <row r="5" spans="1:15" x14ac:dyDescent="0.3">
      <c r="A5" s="363"/>
      <c r="B5" s="1"/>
      <c r="C5" s="1"/>
      <c r="D5" s="1"/>
      <c r="E5" s="1"/>
      <c r="F5" s="1"/>
      <c r="G5" s="1"/>
      <c r="H5" s="1"/>
      <c r="I5" s="1"/>
      <c r="J5" s="1"/>
      <c r="K5" s="1"/>
      <c r="L5" s="21"/>
      <c r="M5" s="2"/>
      <c r="N5" s="47" t="s">
        <v>29</v>
      </c>
      <c r="O5" s="65" t="s">
        <v>304</v>
      </c>
    </row>
    <row r="6" spans="1:15" x14ac:dyDescent="0.3">
      <c r="A6" s="364" t="s">
        <v>0</v>
      </c>
      <c r="L6" s="21"/>
      <c r="M6" s="2"/>
    </row>
    <row r="7" spans="1:15" x14ac:dyDescent="0.3">
      <c r="A7" s="364"/>
      <c r="L7" s="21"/>
      <c r="M7" s="2"/>
    </row>
    <row r="8" spans="1:15" x14ac:dyDescent="0.3">
      <c r="A8" s="361" t="s">
        <v>417</v>
      </c>
      <c r="B8" s="1"/>
      <c r="C8" s="1"/>
      <c r="D8" s="1"/>
      <c r="E8" s="1"/>
      <c r="F8" s="1"/>
      <c r="G8" s="1"/>
      <c r="H8" s="1"/>
      <c r="I8" s="1"/>
      <c r="J8" s="1"/>
      <c r="K8" s="1"/>
      <c r="L8" s="21"/>
      <c r="M8" s="2"/>
    </row>
    <row r="9" spans="1:15" x14ac:dyDescent="0.3">
      <c r="A9" s="361"/>
      <c r="B9" s="1"/>
      <c r="C9" s="1"/>
      <c r="D9" s="1"/>
      <c r="E9" s="1"/>
      <c r="F9" s="1"/>
      <c r="G9" s="1"/>
      <c r="H9" s="1"/>
      <c r="I9" s="1"/>
      <c r="J9" s="1"/>
      <c r="K9" s="1"/>
      <c r="L9" s="21"/>
      <c r="M9" s="2"/>
    </row>
    <row r="10" spans="1:15" x14ac:dyDescent="0.3">
      <c r="A10" s="362" t="s">
        <v>21</v>
      </c>
      <c r="B10" s="1" t="s">
        <v>30</v>
      </c>
      <c r="C10" s="1" t="s">
        <v>418</v>
      </c>
      <c r="D10" s="1"/>
      <c r="E10" s="1"/>
      <c r="F10" s="1"/>
      <c r="G10" s="1"/>
      <c r="H10" s="1"/>
      <c r="I10" s="1"/>
      <c r="J10" s="1"/>
      <c r="K10" s="1"/>
      <c r="L10" s="21"/>
      <c r="M10" s="2"/>
    </row>
    <row r="11" spans="1:15" x14ac:dyDescent="0.3">
      <c r="A11" s="365"/>
      <c r="B11" s="13" t="s">
        <v>22</v>
      </c>
      <c r="C11" s="1" t="s">
        <v>419</v>
      </c>
      <c r="D11" s="1"/>
      <c r="E11" s="1"/>
      <c r="F11" s="1"/>
      <c r="G11" s="1"/>
      <c r="H11" s="1"/>
      <c r="I11" s="1"/>
      <c r="J11" s="1"/>
      <c r="K11" s="1"/>
      <c r="L11" s="21"/>
      <c r="M11" s="2"/>
      <c r="N11" s="47" t="s">
        <v>21</v>
      </c>
      <c r="O11" s="65" t="s">
        <v>304</v>
      </c>
    </row>
    <row r="12" spans="1:15" x14ac:dyDescent="0.3">
      <c r="A12" s="365"/>
      <c r="B12" s="13" t="s">
        <v>25</v>
      </c>
      <c r="C12" s="1" t="s">
        <v>420</v>
      </c>
      <c r="D12" s="1"/>
      <c r="E12" s="1"/>
      <c r="F12" s="1"/>
      <c r="G12" s="1"/>
      <c r="H12" s="1"/>
      <c r="I12" s="1"/>
      <c r="J12" s="1"/>
      <c r="K12" s="1"/>
      <c r="L12" s="21"/>
      <c r="M12" s="2"/>
    </row>
    <row r="13" spans="1:15" x14ac:dyDescent="0.3">
      <c r="A13" s="365"/>
      <c r="B13" s="13" t="s">
        <v>26</v>
      </c>
      <c r="C13" s="1" t="s">
        <v>421</v>
      </c>
      <c r="D13" s="1"/>
      <c r="E13" s="1"/>
      <c r="F13" s="1"/>
      <c r="G13" s="1"/>
      <c r="H13" s="1"/>
      <c r="I13" s="1"/>
      <c r="J13" s="1"/>
      <c r="K13" s="1"/>
      <c r="L13" s="21"/>
      <c r="M13" s="2"/>
    </row>
    <row r="14" spans="1:15" x14ac:dyDescent="0.3">
      <c r="A14" s="365"/>
      <c r="B14" s="13"/>
      <c r="C14" s="1"/>
      <c r="D14" s="1"/>
      <c r="E14" s="1"/>
      <c r="F14" s="1"/>
      <c r="G14" s="1"/>
      <c r="H14" s="1"/>
      <c r="I14" s="1"/>
      <c r="J14" s="1"/>
      <c r="K14" s="1"/>
      <c r="L14" s="21"/>
      <c r="M14" s="2"/>
    </row>
    <row r="15" spans="1:15" x14ac:dyDescent="0.3">
      <c r="A15" s="364" t="s">
        <v>0</v>
      </c>
      <c r="L15" s="21"/>
      <c r="M15" s="2"/>
    </row>
    <row r="16" spans="1:15" x14ac:dyDescent="0.3">
      <c r="A16" s="364"/>
      <c r="L16" s="21"/>
      <c r="M16" s="2"/>
    </row>
    <row r="17" spans="1:23" x14ac:dyDescent="0.3">
      <c r="A17" s="366" t="s">
        <v>422</v>
      </c>
      <c r="B17" s="367"/>
      <c r="C17" s="368"/>
      <c r="D17" s="369"/>
      <c r="E17" s="368"/>
      <c r="F17" s="368"/>
      <c r="G17" s="368"/>
      <c r="H17" s="368"/>
      <c r="I17" s="368"/>
      <c r="J17" s="368"/>
      <c r="K17" s="368"/>
      <c r="L17" s="21"/>
      <c r="N17" s="47" t="s">
        <v>15</v>
      </c>
    </row>
    <row r="18" spans="1:23" x14ac:dyDescent="0.3">
      <c r="A18" s="370"/>
      <c r="B18" s="368"/>
      <c r="C18" s="368"/>
      <c r="D18" s="219"/>
      <c r="E18" s="371"/>
      <c r="F18" s="371"/>
      <c r="G18" s="371"/>
      <c r="H18" s="371"/>
      <c r="I18" s="371"/>
      <c r="J18" s="371"/>
      <c r="K18" s="371"/>
      <c r="L18" s="21"/>
    </row>
    <row r="19" spans="1:23" x14ac:dyDescent="0.3">
      <c r="A19" s="370" t="s">
        <v>31</v>
      </c>
      <c r="B19" s="368"/>
      <c r="C19" s="368"/>
      <c r="D19" s="219"/>
      <c r="E19" s="371"/>
      <c r="F19" s="371"/>
      <c r="G19" s="371"/>
      <c r="H19" s="371"/>
      <c r="I19" s="371"/>
      <c r="J19" s="371"/>
      <c r="K19" s="371"/>
      <c r="L19" s="21"/>
      <c r="N19" s="47" t="s">
        <v>22</v>
      </c>
    </row>
    <row r="20" spans="1:23" x14ac:dyDescent="0.3">
      <c r="A20" s="370" t="s">
        <v>423</v>
      </c>
      <c r="B20" s="1"/>
      <c r="C20" s="1"/>
      <c r="D20" s="4"/>
      <c r="E20" s="4"/>
      <c r="F20" s="1"/>
      <c r="G20" s="1"/>
      <c r="H20" s="1"/>
      <c r="I20" s="1"/>
      <c r="J20" s="1"/>
      <c r="K20" s="1"/>
      <c r="L20" s="21"/>
      <c r="M20" s="372"/>
      <c r="N20" s="131"/>
      <c r="O20" s="373"/>
      <c r="P20" s="373"/>
      <c r="Q20" s="373"/>
      <c r="R20" s="373"/>
      <c r="S20" s="373"/>
      <c r="T20" s="373"/>
      <c r="U20" s="374"/>
      <c r="V20" s="374"/>
      <c r="W20" s="375"/>
    </row>
    <row r="21" spans="1:23" x14ac:dyDescent="0.3">
      <c r="A21" s="361"/>
      <c r="B21" s="1"/>
      <c r="C21" s="1"/>
      <c r="D21" s="4"/>
      <c r="E21" s="4"/>
      <c r="F21" s="1"/>
      <c r="G21" s="1"/>
      <c r="H21" s="1"/>
      <c r="I21" s="1"/>
      <c r="J21" s="1"/>
      <c r="K21" s="1"/>
      <c r="L21" s="21"/>
      <c r="P21" s="22"/>
      <c r="Q21" s="376" t="s">
        <v>23</v>
      </c>
      <c r="R21" s="376" t="s">
        <v>24</v>
      </c>
      <c r="S21" s="376" t="s">
        <v>424</v>
      </c>
      <c r="T21" s="39" t="s">
        <v>14</v>
      </c>
    </row>
    <row r="22" spans="1:23" x14ac:dyDescent="0.3">
      <c r="A22" s="361"/>
      <c r="B22" s="4" t="s">
        <v>425</v>
      </c>
      <c r="C22" s="4"/>
      <c r="D22" s="377"/>
      <c r="E22" s="377"/>
      <c r="F22" s="1"/>
      <c r="G22" s="1"/>
      <c r="H22" s="1"/>
      <c r="I22" s="1"/>
      <c r="J22" s="1"/>
      <c r="K22" s="1"/>
      <c r="L22" s="21"/>
      <c r="O22" s="22" t="s">
        <v>426</v>
      </c>
      <c r="P22" s="22"/>
      <c r="Q22" s="39"/>
      <c r="R22" s="39"/>
      <c r="S22" s="39"/>
    </row>
    <row r="23" spans="1:23" x14ac:dyDescent="0.3">
      <c r="A23" s="361"/>
      <c r="B23" s="6" t="s">
        <v>186</v>
      </c>
      <c r="C23" s="376" t="s">
        <v>23</v>
      </c>
      <c r="D23" s="376" t="s">
        <v>24</v>
      </c>
      <c r="E23" s="376" t="s">
        <v>424</v>
      </c>
      <c r="F23" s="1"/>
      <c r="G23" s="1"/>
      <c r="H23" s="1"/>
      <c r="I23" s="1"/>
      <c r="J23" s="1"/>
      <c r="K23" s="1"/>
      <c r="L23" s="21"/>
      <c r="O23" s="378" t="s">
        <v>427</v>
      </c>
      <c r="P23" s="379"/>
      <c r="Q23" s="380">
        <f>+C25</f>
        <v>18360000</v>
      </c>
      <c r="R23" s="380">
        <f>+D25</f>
        <v>19695000</v>
      </c>
      <c r="S23" s="380">
        <f>+E25</f>
        <v>21630000</v>
      </c>
      <c r="T23" s="380">
        <f>SUM(Q23:S23)</f>
        <v>59685000</v>
      </c>
    </row>
    <row r="24" spans="1:23" x14ac:dyDescent="0.3">
      <c r="A24" s="361"/>
      <c r="B24" s="6" t="s">
        <v>428</v>
      </c>
      <c r="C24" s="381">
        <v>5100</v>
      </c>
      <c r="D24" s="381">
        <v>5050</v>
      </c>
      <c r="E24" s="381">
        <v>5150</v>
      </c>
      <c r="F24" s="1"/>
      <c r="G24" s="1"/>
      <c r="H24" s="1"/>
      <c r="I24" s="1"/>
      <c r="J24" s="1"/>
      <c r="K24" s="1"/>
      <c r="L24" s="21"/>
      <c r="O24" s="378" t="s">
        <v>429</v>
      </c>
      <c r="P24" s="379" t="s">
        <v>430</v>
      </c>
      <c r="Q24" s="380">
        <f>+C28</f>
        <v>1040400</v>
      </c>
      <c r="R24" s="380">
        <f>+D28</f>
        <v>1090800</v>
      </c>
      <c r="S24" s="380">
        <f>+E28</f>
        <v>1174200</v>
      </c>
      <c r="T24" s="380">
        <f t="shared" ref="T24:T27" si="0">SUM(Q24:S24)</f>
        <v>3305400</v>
      </c>
    </row>
    <row r="25" spans="1:23" x14ac:dyDescent="0.3">
      <c r="A25" s="361"/>
      <c r="B25" s="6" t="s">
        <v>427</v>
      </c>
      <c r="C25" s="130">
        <v>18360000</v>
      </c>
      <c r="D25" s="130">
        <v>19695000</v>
      </c>
      <c r="E25" s="130">
        <v>21630000</v>
      </c>
      <c r="F25" s="1"/>
      <c r="G25" s="1"/>
      <c r="H25" s="1"/>
      <c r="I25" s="1"/>
      <c r="J25" s="1"/>
      <c r="K25" s="1"/>
      <c r="L25" s="21"/>
      <c r="O25" s="378" t="s">
        <v>431</v>
      </c>
      <c r="P25" s="379" t="s">
        <v>432</v>
      </c>
      <c r="Q25" s="380">
        <f>+Q23-Q24</f>
        <v>17319600</v>
      </c>
      <c r="R25" s="380">
        <f t="shared" ref="R25:S25" si="1">+R23-R24</f>
        <v>18604200</v>
      </c>
      <c r="S25" s="380">
        <f t="shared" si="1"/>
        <v>20455800</v>
      </c>
      <c r="T25" s="380">
        <f t="shared" si="0"/>
        <v>56379600</v>
      </c>
    </row>
    <row r="26" spans="1:23" x14ac:dyDescent="0.3">
      <c r="A26" s="361"/>
      <c r="B26" s="6" t="s">
        <v>433</v>
      </c>
      <c r="C26" s="130">
        <v>15100000</v>
      </c>
      <c r="D26" s="130">
        <v>17000000</v>
      </c>
      <c r="E26" s="130">
        <v>17750000</v>
      </c>
      <c r="F26" s="1"/>
      <c r="G26" s="1"/>
      <c r="H26" s="1"/>
      <c r="I26" s="1"/>
      <c r="J26" s="1"/>
      <c r="K26" s="1"/>
      <c r="L26" s="21"/>
      <c r="O26" s="378" t="s">
        <v>434</v>
      </c>
      <c r="P26" s="379" t="s">
        <v>430</v>
      </c>
      <c r="Q26" s="380">
        <f>+Q23*E43</f>
        <v>2754000.0000000005</v>
      </c>
      <c r="R26" s="380">
        <f>+R23*E43</f>
        <v>2954250.0000000005</v>
      </c>
      <c r="S26" s="380">
        <f>+S23*E43</f>
        <v>3244500.0000000005</v>
      </c>
      <c r="T26" s="380">
        <f t="shared" si="0"/>
        <v>8952750.0000000019</v>
      </c>
      <c r="U26" s="2" t="s">
        <v>435</v>
      </c>
    </row>
    <row r="27" spans="1:23" x14ac:dyDescent="0.3">
      <c r="A27" s="361"/>
      <c r="B27" s="6" t="s">
        <v>436</v>
      </c>
      <c r="C27" s="130">
        <v>1000</v>
      </c>
      <c r="D27" s="130">
        <v>40000</v>
      </c>
      <c r="E27" s="130">
        <v>225000</v>
      </c>
      <c r="F27" s="1"/>
      <c r="G27" s="1"/>
      <c r="H27" s="1"/>
      <c r="I27" s="1"/>
      <c r="J27" s="1"/>
      <c r="K27" s="1"/>
      <c r="L27" s="21"/>
      <c r="O27" s="378" t="s">
        <v>426</v>
      </c>
      <c r="P27" s="379" t="s">
        <v>432</v>
      </c>
      <c r="Q27" s="380">
        <f>+Q25-SUM(Q26:Q26)</f>
        <v>14565600</v>
      </c>
      <c r="R27" s="380">
        <f>+R25-SUM(R26:R26)</f>
        <v>15649950</v>
      </c>
      <c r="S27" s="380">
        <f>+S25-SUM(S26:S26)</f>
        <v>17211300</v>
      </c>
      <c r="T27" s="380">
        <f t="shared" si="0"/>
        <v>47426850</v>
      </c>
    </row>
    <row r="28" spans="1:23" x14ac:dyDescent="0.3">
      <c r="A28" s="361"/>
      <c r="B28" s="6" t="s">
        <v>429</v>
      </c>
      <c r="C28" s="130">
        <v>1040400</v>
      </c>
      <c r="D28" s="130">
        <v>1090800</v>
      </c>
      <c r="E28" s="130">
        <v>1174200</v>
      </c>
      <c r="F28" s="1"/>
      <c r="G28" s="1"/>
      <c r="H28" s="1"/>
      <c r="I28" s="1"/>
      <c r="J28" s="1"/>
      <c r="K28" s="1"/>
      <c r="L28" s="21"/>
      <c r="P28" s="22"/>
    </row>
    <row r="29" spans="1:23" x14ac:dyDescent="0.3">
      <c r="A29" s="361"/>
      <c r="B29" s="6" t="s">
        <v>437</v>
      </c>
      <c r="C29" s="130">
        <v>600000</v>
      </c>
      <c r="D29" s="130">
        <v>500000</v>
      </c>
      <c r="E29" s="130">
        <v>700000</v>
      </c>
      <c r="F29" s="1"/>
      <c r="G29" s="1"/>
      <c r="H29" s="1"/>
      <c r="I29" s="1"/>
      <c r="J29" s="1"/>
      <c r="K29" s="1"/>
      <c r="L29" s="21"/>
      <c r="P29" s="22"/>
      <c r="Q29" s="376" t="s">
        <v>23</v>
      </c>
      <c r="R29" s="376" t="s">
        <v>24</v>
      </c>
      <c r="S29" s="376" t="s">
        <v>424</v>
      </c>
      <c r="T29" s="39" t="s">
        <v>438</v>
      </c>
    </row>
    <row r="30" spans="1:23" ht="31.05" customHeight="1" x14ac:dyDescent="0.3">
      <c r="A30" s="361"/>
      <c r="B30" s="6" t="s">
        <v>439</v>
      </c>
      <c r="C30" s="382">
        <v>0.1</v>
      </c>
      <c r="D30" s="382">
        <v>0.4</v>
      </c>
      <c r="E30" s="382">
        <v>0.5</v>
      </c>
      <c r="F30" s="1"/>
      <c r="G30" s="1"/>
      <c r="H30" s="1"/>
      <c r="I30" s="1"/>
      <c r="J30" s="1"/>
      <c r="K30" s="1"/>
      <c r="L30" s="21"/>
      <c r="O30" s="378" t="s">
        <v>428</v>
      </c>
      <c r="P30" s="260"/>
      <c r="Q30" s="383">
        <f>+C24</f>
        <v>5100</v>
      </c>
      <c r="R30" s="383">
        <f>+D24</f>
        <v>5050</v>
      </c>
      <c r="S30" s="383">
        <f>+E24</f>
        <v>5150</v>
      </c>
      <c r="T30" s="383">
        <f>+E36</f>
        <v>5200</v>
      </c>
    </row>
    <row r="31" spans="1:23" x14ac:dyDescent="0.3">
      <c r="A31" s="361"/>
      <c r="B31" s="1"/>
      <c r="C31" s="384"/>
      <c r="D31" s="384"/>
      <c r="E31" s="384"/>
      <c r="F31" s="1"/>
      <c r="G31" s="1"/>
      <c r="H31" s="1"/>
      <c r="I31" s="1"/>
      <c r="J31" s="1"/>
      <c r="K31" s="1"/>
      <c r="L31" s="21"/>
      <c r="O31" s="378" t="s">
        <v>440</v>
      </c>
      <c r="P31" s="260"/>
      <c r="Q31" s="385">
        <f>+Q23/Q30/12</f>
        <v>300</v>
      </c>
      <c r="R31" s="385">
        <f>+R23/R30/12</f>
        <v>325</v>
      </c>
      <c r="S31" s="385">
        <f>+S23/S30/12</f>
        <v>350</v>
      </c>
      <c r="T31" s="385">
        <f>+E33</f>
        <v>360</v>
      </c>
      <c r="U31" s="2" t="s">
        <v>441</v>
      </c>
    </row>
    <row r="32" spans="1:23" x14ac:dyDescent="0.3">
      <c r="A32" s="361"/>
      <c r="B32" s="1"/>
      <c r="C32" s="1"/>
      <c r="D32" s="1"/>
      <c r="E32" s="4"/>
      <c r="F32" s="1"/>
      <c r="G32" s="1"/>
      <c r="H32" s="1"/>
      <c r="I32" s="1"/>
      <c r="J32" s="1"/>
      <c r="K32" s="1"/>
      <c r="L32" s="21"/>
      <c r="O32" s="378" t="s">
        <v>442</v>
      </c>
      <c r="P32" s="379" t="s">
        <v>430</v>
      </c>
      <c r="Q32" s="385">
        <f>+Q24/Q30/12</f>
        <v>17</v>
      </c>
      <c r="R32" s="385">
        <f>+R24/R30/12</f>
        <v>18</v>
      </c>
      <c r="S32" s="385">
        <f>+S24/S30/12</f>
        <v>19</v>
      </c>
      <c r="T32" s="385">
        <f>+E34</f>
        <v>20</v>
      </c>
      <c r="U32" s="2" t="s">
        <v>443</v>
      </c>
    </row>
    <row r="33" spans="1:23" x14ac:dyDescent="0.3">
      <c r="A33" s="361"/>
      <c r="B33" s="1"/>
      <c r="C33" s="386"/>
      <c r="D33" s="387" t="s">
        <v>444</v>
      </c>
      <c r="E33" s="388">
        <v>360</v>
      </c>
      <c r="F33" s="1"/>
      <c r="G33" s="1"/>
      <c r="H33" s="1"/>
      <c r="I33" s="1"/>
      <c r="J33" s="1"/>
      <c r="K33" s="1"/>
      <c r="L33" s="21"/>
      <c r="O33" s="389" t="s">
        <v>445</v>
      </c>
      <c r="P33" s="390" t="s">
        <v>432</v>
      </c>
      <c r="Q33" s="391">
        <f>+Q31-Q32</f>
        <v>283</v>
      </c>
      <c r="R33" s="391">
        <f>+R31-R32</f>
        <v>307</v>
      </c>
      <c r="S33" s="391">
        <f>+S31-S32</f>
        <v>331</v>
      </c>
      <c r="T33" s="391">
        <f>+T31-T32</f>
        <v>340</v>
      </c>
      <c r="U33" s="464" t="s">
        <v>446</v>
      </c>
      <c r="V33" s="465"/>
      <c r="W33" s="465"/>
    </row>
    <row r="34" spans="1:23" ht="43.95" customHeight="1" x14ac:dyDescent="0.3">
      <c r="A34" s="361"/>
      <c r="B34" s="1"/>
      <c r="C34" s="392"/>
      <c r="D34" s="393" t="s">
        <v>447</v>
      </c>
      <c r="E34" s="56">
        <v>20</v>
      </c>
      <c r="F34" s="1"/>
      <c r="G34" s="1"/>
      <c r="H34" s="1"/>
      <c r="I34" s="1"/>
      <c r="J34" s="1"/>
      <c r="K34" s="1"/>
      <c r="L34" s="21"/>
      <c r="O34" s="389" t="s">
        <v>448</v>
      </c>
      <c r="P34" s="394"/>
      <c r="Q34" s="395">
        <f>+Q25*T33/Q33</f>
        <v>20808000</v>
      </c>
      <c r="R34" s="395">
        <f>+R25*T33/R33</f>
        <v>20604000</v>
      </c>
      <c r="S34" s="395">
        <f>+S25*T33/S33</f>
        <v>21012000</v>
      </c>
      <c r="T34" s="395"/>
      <c r="U34" s="466" t="s">
        <v>449</v>
      </c>
      <c r="V34" s="467"/>
      <c r="W34" s="467"/>
    </row>
    <row r="35" spans="1:23" x14ac:dyDescent="0.3">
      <c r="A35" s="361"/>
      <c r="B35" s="1"/>
      <c r="C35" s="6"/>
      <c r="D35" s="104" t="s">
        <v>450</v>
      </c>
      <c r="E35" s="56">
        <v>22</v>
      </c>
      <c r="F35" s="1"/>
      <c r="G35" s="1"/>
      <c r="H35" s="1"/>
      <c r="I35" s="1"/>
      <c r="J35" s="1"/>
      <c r="K35" s="1"/>
      <c r="L35" s="21"/>
      <c r="O35" s="10"/>
      <c r="P35" s="397"/>
      <c r="Q35" s="398"/>
      <c r="R35" s="397"/>
      <c r="S35" s="397"/>
      <c r="T35" s="399"/>
      <c r="U35" s="396"/>
      <c r="V35" s="396"/>
    </row>
    <row r="36" spans="1:23" x14ac:dyDescent="0.3">
      <c r="A36" s="361"/>
      <c r="B36" s="1"/>
      <c r="C36" s="6"/>
      <c r="D36" s="104" t="s">
        <v>451</v>
      </c>
      <c r="E36" s="381">
        <v>5200</v>
      </c>
      <c r="F36" s="1"/>
      <c r="G36" s="1"/>
      <c r="H36" s="1"/>
      <c r="I36" s="1"/>
      <c r="J36" s="1"/>
      <c r="K36" s="1"/>
      <c r="L36" s="21"/>
      <c r="N36" s="47" t="s">
        <v>25</v>
      </c>
    </row>
    <row r="37" spans="1:23" x14ac:dyDescent="0.3">
      <c r="A37" s="361"/>
      <c r="B37" s="1"/>
      <c r="C37" s="1"/>
      <c r="D37" s="1"/>
      <c r="E37" s="4"/>
      <c r="F37" s="1"/>
      <c r="G37" s="1"/>
      <c r="H37" s="1"/>
      <c r="I37" s="1"/>
      <c r="J37" s="1"/>
      <c r="K37" s="1"/>
      <c r="L37" s="21"/>
      <c r="P37" s="22"/>
      <c r="Q37" s="376" t="s">
        <v>23</v>
      </c>
      <c r="R37" s="376" t="s">
        <v>24</v>
      </c>
      <c r="S37" s="376" t="s">
        <v>424</v>
      </c>
      <c r="T37" s="39" t="s">
        <v>14</v>
      </c>
      <c r="W37" s="375"/>
    </row>
    <row r="38" spans="1:23" x14ac:dyDescent="0.3">
      <c r="A38" s="361"/>
      <c r="B38" s="1"/>
      <c r="C38" s="1"/>
      <c r="D38" s="4" t="s">
        <v>453</v>
      </c>
      <c r="E38" s="4"/>
      <c r="F38" s="1"/>
      <c r="G38" s="1"/>
      <c r="H38" s="1"/>
      <c r="I38" s="1"/>
      <c r="J38" s="1"/>
      <c r="K38" s="1"/>
      <c r="L38" s="21"/>
      <c r="O38" s="22" t="s">
        <v>454</v>
      </c>
      <c r="P38" s="22"/>
    </row>
    <row r="39" spans="1:23" x14ac:dyDescent="0.3">
      <c r="A39" s="361"/>
      <c r="B39" s="1"/>
      <c r="C39" s="1"/>
      <c r="D39" s="6" t="s">
        <v>123</v>
      </c>
      <c r="E39" s="400">
        <v>0.05</v>
      </c>
      <c r="F39" s="1"/>
      <c r="G39" s="1"/>
      <c r="H39" s="1"/>
      <c r="I39" s="1"/>
      <c r="J39" s="1"/>
      <c r="K39" s="1"/>
      <c r="L39" s="21"/>
      <c r="O39" s="378" t="s">
        <v>433</v>
      </c>
      <c r="P39" s="379"/>
      <c r="Q39" s="380">
        <f>+C26</f>
        <v>15100000</v>
      </c>
      <c r="R39" s="380">
        <f>+D26</f>
        <v>17000000</v>
      </c>
      <c r="S39" s="380">
        <f>+E26</f>
        <v>17750000</v>
      </c>
      <c r="T39" s="380">
        <f>SUM(Q39:S39)</f>
        <v>49850000</v>
      </c>
    </row>
    <row r="40" spans="1:23" x14ac:dyDescent="0.3">
      <c r="A40" s="361"/>
      <c r="B40" s="1"/>
      <c r="C40" s="1"/>
      <c r="D40" s="6" t="s">
        <v>455</v>
      </c>
      <c r="E40" s="400">
        <v>0.05</v>
      </c>
      <c r="F40" s="1"/>
      <c r="G40" s="1"/>
      <c r="H40" s="1"/>
      <c r="I40" s="1"/>
      <c r="J40" s="1"/>
      <c r="K40" s="1"/>
      <c r="L40" s="21"/>
      <c r="O40" s="378" t="s">
        <v>437</v>
      </c>
      <c r="P40" s="379" t="s">
        <v>430</v>
      </c>
      <c r="Q40" s="380">
        <f>+C29</f>
        <v>600000</v>
      </c>
      <c r="R40" s="380">
        <f>+D29</f>
        <v>500000</v>
      </c>
      <c r="S40" s="380">
        <f>+E29</f>
        <v>700000</v>
      </c>
      <c r="T40" s="380">
        <f t="shared" ref="T40:T46" si="2">SUM(Q40:S40)</f>
        <v>1800000</v>
      </c>
    </row>
    <row r="41" spans="1:23" x14ac:dyDescent="0.3">
      <c r="A41" s="361"/>
      <c r="B41" s="1"/>
      <c r="C41" s="1"/>
      <c r="D41" s="6" t="s">
        <v>456</v>
      </c>
      <c r="E41" s="400">
        <v>0.02</v>
      </c>
      <c r="F41" s="1"/>
      <c r="G41" s="1"/>
      <c r="H41" s="1"/>
      <c r="I41" s="1"/>
      <c r="J41" s="1"/>
      <c r="K41" s="1"/>
      <c r="L41" s="21"/>
      <c r="O41" s="378" t="s">
        <v>436</v>
      </c>
      <c r="P41" s="379" t="s">
        <v>457</v>
      </c>
      <c r="Q41" s="380">
        <f>+C27</f>
        <v>1000</v>
      </c>
      <c r="R41" s="380">
        <f>+D27</f>
        <v>40000</v>
      </c>
      <c r="S41" s="380">
        <f>+E27</f>
        <v>225000</v>
      </c>
      <c r="T41" s="380">
        <f t="shared" si="2"/>
        <v>266000</v>
      </c>
    </row>
    <row r="42" spans="1:23" x14ac:dyDescent="0.3">
      <c r="A42" s="361"/>
      <c r="B42" s="1"/>
      <c r="C42" s="1"/>
      <c r="D42" s="6" t="s">
        <v>458</v>
      </c>
      <c r="E42" s="400">
        <v>0.03</v>
      </c>
      <c r="F42" s="1"/>
      <c r="G42" s="1"/>
      <c r="H42" s="1"/>
      <c r="I42" s="1"/>
      <c r="J42" s="1"/>
      <c r="K42" s="1"/>
      <c r="L42" s="21"/>
      <c r="O42" s="378" t="s">
        <v>454</v>
      </c>
      <c r="P42" s="379" t="s">
        <v>432</v>
      </c>
      <c r="Q42" s="380">
        <f>+Q39-Q40+Q41</f>
        <v>14501000</v>
      </c>
      <c r="R42" s="380">
        <f t="shared" ref="R42:S42" si="3">+R39-R40+R41</f>
        <v>16540000</v>
      </c>
      <c r="S42" s="380">
        <f t="shared" si="3"/>
        <v>17275000</v>
      </c>
      <c r="T42" s="380">
        <f t="shared" si="2"/>
        <v>48316000</v>
      </c>
    </row>
    <row r="43" spans="1:23" x14ac:dyDescent="0.3">
      <c r="A43" s="361"/>
      <c r="B43" s="1"/>
      <c r="C43" s="1"/>
      <c r="D43" s="6" t="s">
        <v>14</v>
      </c>
      <c r="E43" s="400">
        <f>SUM(E39:E42)</f>
        <v>0.15000000000000002</v>
      </c>
      <c r="F43" s="1"/>
      <c r="G43" s="1"/>
      <c r="H43" s="1"/>
      <c r="I43" s="1"/>
      <c r="J43" s="1"/>
      <c r="K43" s="1"/>
      <c r="L43" s="21"/>
      <c r="P43" s="22"/>
    </row>
    <row r="44" spans="1:23" x14ac:dyDescent="0.3">
      <c r="A44" s="361"/>
      <c r="B44" s="1"/>
      <c r="C44" s="1"/>
      <c r="D44" s="1"/>
      <c r="E44" s="4"/>
      <c r="F44" s="1"/>
      <c r="G44" s="1"/>
      <c r="H44" s="1"/>
      <c r="I44" s="1"/>
      <c r="J44" s="1"/>
      <c r="K44" s="1"/>
      <c r="L44" s="21"/>
      <c r="O44" s="22" t="s">
        <v>459</v>
      </c>
      <c r="P44" s="22"/>
    </row>
    <row r="45" spans="1:23" x14ac:dyDescent="0.3">
      <c r="A45" s="361"/>
      <c r="B45" s="1"/>
      <c r="C45" s="1"/>
      <c r="D45" s="4" t="s">
        <v>460</v>
      </c>
      <c r="E45" s="4"/>
      <c r="F45" s="1"/>
      <c r="G45" s="1"/>
      <c r="H45" s="1"/>
      <c r="I45" s="1"/>
      <c r="J45" s="1"/>
      <c r="K45" s="1"/>
      <c r="L45" s="21"/>
      <c r="O45" s="378" t="s">
        <v>426</v>
      </c>
      <c r="P45" s="260"/>
      <c r="Q45" s="380">
        <f>+Q27</f>
        <v>14565600</v>
      </c>
      <c r="R45" s="380">
        <f>+R27</f>
        <v>15649950</v>
      </c>
      <c r="S45" s="380">
        <f>+S27</f>
        <v>17211300</v>
      </c>
      <c r="T45" s="380">
        <f t="shared" si="2"/>
        <v>47426850</v>
      </c>
    </row>
    <row r="46" spans="1:23" x14ac:dyDescent="0.3">
      <c r="A46" s="361"/>
      <c r="B46" s="1"/>
      <c r="C46" s="1"/>
      <c r="D46" s="6" t="s">
        <v>461</v>
      </c>
      <c r="E46" s="400">
        <v>0.06</v>
      </c>
      <c r="F46" s="1"/>
      <c r="G46" s="1"/>
      <c r="H46" s="1"/>
      <c r="I46" s="1"/>
      <c r="J46" s="1"/>
      <c r="K46" s="1"/>
      <c r="L46" s="21"/>
      <c r="O46" s="378" t="s">
        <v>454</v>
      </c>
      <c r="P46" s="379" t="s">
        <v>430</v>
      </c>
      <c r="Q46" s="380">
        <f>+Q42</f>
        <v>14501000</v>
      </c>
      <c r="R46" s="380">
        <f t="shared" ref="R46:S46" si="4">+R42</f>
        <v>16540000</v>
      </c>
      <c r="S46" s="380">
        <f t="shared" si="4"/>
        <v>17275000</v>
      </c>
      <c r="T46" s="380">
        <f t="shared" si="2"/>
        <v>48316000</v>
      </c>
    </row>
    <row r="47" spans="1:23" x14ac:dyDescent="0.3">
      <c r="A47" s="361"/>
      <c r="B47" s="1"/>
      <c r="C47" s="1"/>
      <c r="D47" s="6" t="s">
        <v>462</v>
      </c>
      <c r="E47" s="400">
        <v>0</v>
      </c>
      <c r="F47" s="1"/>
      <c r="G47" s="1"/>
      <c r="H47" s="1"/>
      <c r="I47" s="1"/>
      <c r="J47" s="1"/>
      <c r="K47" s="1"/>
      <c r="L47" s="21"/>
      <c r="O47" s="378" t="s">
        <v>459</v>
      </c>
      <c r="P47" s="379" t="s">
        <v>432</v>
      </c>
      <c r="Q47" s="380">
        <f>+Q45-Q46</f>
        <v>64600</v>
      </c>
      <c r="R47" s="380">
        <f t="shared" ref="R47:S47" si="5">+R45-R46</f>
        <v>-890050</v>
      </c>
      <c r="S47" s="380">
        <f t="shared" si="5"/>
        <v>-63700</v>
      </c>
      <c r="T47" s="380">
        <f t="shared" ref="T47" si="6">SUM(Q47:S47)</f>
        <v>-889150</v>
      </c>
    </row>
    <row r="48" spans="1:23" x14ac:dyDescent="0.3">
      <c r="A48" s="361"/>
      <c r="B48" s="1"/>
      <c r="C48" s="1"/>
      <c r="D48" s="1"/>
      <c r="E48" s="4"/>
      <c r="F48" s="1"/>
      <c r="G48" s="1"/>
      <c r="H48" s="1"/>
      <c r="I48" s="1"/>
      <c r="J48" s="1"/>
      <c r="K48" s="1"/>
      <c r="L48" s="21"/>
      <c r="P48" s="22"/>
    </row>
    <row r="49" spans="1:23" x14ac:dyDescent="0.3">
      <c r="A49" s="361"/>
      <c r="B49" s="1"/>
      <c r="C49" s="1"/>
      <c r="D49" s="1"/>
      <c r="E49" s="4"/>
      <c r="F49" s="1"/>
      <c r="G49" s="1"/>
      <c r="H49" s="1"/>
      <c r="I49" s="1"/>
      <c r="J49" s="1"/>
      <c r="K49" s="1"/>
      <c r="L49" s="21"/>
      <c r="N49" s="47" t="s">
        <v>26</v>
      </c>
    </row>
    <row r="50" spans="1:23" x14ac:dyDescent="0.3">
      <c r="A50" s="362" t="s">
        <v>15</v>
      </c>
      <c r="B50" s="1" t="s">
        <v>360</v>
      </c>
      <c r="C50" s="219" t="s">
        <v>463</v>
      </c>
      <c r="D50" s="1"/>
      <c r="E50" s="4"/>
      <c r="F50" s="1"/>
      <c r="G50" s="1"/>
      <c r="H50" s="1"/>
      <c r="I50" s="1"/>
      <c r="J50" s="1"/>
      <c r="K50" s="1"/>
      <c r="L50" s="21"/>
      <c r="P50" s="22"/>
      <c r="W50" s="375"/>
    </row>
    <row r="51" spans="1:23" x14ac:dyDescent="0.3">
      <c r="A51" s="361"/>
      <c r="B51" s="401" t="s">
        <v>22</v>
      </c>
      <c r="C51" s="402" t="s">
        <v>464</v>
      </c>
      <c r="D51" s="1"/>
      <c r="E51" s="4"/>
      <c r="F51" s="1"/>
      <c r="G51" s="1"/>
      <c r="H51" s="1"/>
      <c r="I51" s="1"/>
      <c r="J51" s="1"/>
      <c r="K51" s="1"/>
      <c r="L51" s="21"/>
      <c r="P51" s="22"/>
      <c r="Q51" s="376" t="s">
        <v>23</v>
      </c>
      <c r="R51" s="376" t="s">
        <v>24</v>
      </c>
      <c r="S51" s="376" t="s">
        <v>424</v>
      </c>
      <c r="T51" s="39"/>
    </row>
    <row r="52" spans="1:23" x14ac:dyDescent="0.3">
      <c r="A52" s="361"/>
      <c r="B52" s="401" t="s">
        <v>25</v>
      </c>
      <c r="C52" s="402" t="s">
        <v>452</v>
      </c>
      <c r="D52" s="1"/>
      <c r="E52" s="4"/>
      <c r="F52" s="1"/>
      <c r="G52" s="1"/>
      <c r="H52" s="1"/>
      <c r="I52" s="1"/>
      <c r="J52" s="1"/>
      <c r="K52" s="1"/>
      <c r="L52" s="21"/>
      <c r="O52" s="378" t="s">
        <v>465</v>
      </c>
      <c r="P52" s="260"/>
      <c r="Q52" s="403">
        <f>+E46</f>
        <v>0.06</v>
      </c>
      <c r="R52" s="403">
        <f>+E46</f>
        <v>0.06</v>
      </c>
      <c r="S52" s="403">
        <f>+E46</f>
        <v>0.06</v>
      </c>
      <c r="T52" s="380"/>
    </row>
    <row r="53" spans="1:23" x14ac:dyDescent="0.3">
      <c r="A53" s="361"/>
      <c r="B53" s="401" t="s">
        <v>26</v>
      </c>
      <c r="C53" s="402" t="s">
        <v>466</v>
      </c>
      <c r="D53" s="1"/>
      <c r="E53" s="4"/>
      <c r="F53" s="1"/>
      <c r="G53" s="1"/>
      <c r="H53" s="1"/>
      <c r="I53" s="1"/>
      <c r="J53" s="1"/>
      <c r="K53" s="1"/>
      <c r="L53" s="21"/>
      <c r="O53" s="378" t="s">
        <v>467</v>
      </c>
      <c r="P53" s="379"/>
      <c r="Q53" s="404">
        <f>+(1+Q52)^4</f>
        <v>1.2624769600000003</v>
      </c>
      <c r="R53" s="404">
        <f>+(1+R52)^3</f>
        <v>1.1910160000000003</v>
      </c>
      <c r="S53" s="404">
        <f>+(1+S52)^2</f>
        <v>1.1236000000000002</v>
      </c>
      <c r="T53" s="380"/>
    </row>
    <row r="54" spans="1:23" x14ac:dyDescent="0.3">
      <c r="A54" s="361"/>
      <c r="B54" s="1" t="s">
        <v>12</v>
      </c>
      <c r="C54" s="1"/>
      <c r="D54" s="1"/>
      <c r="E54" s="4"/>
      <c r="F54" s="1"/>
      <c r="G54" s="1"/>
      <c r="H54" s="1"/>
      <c r="I54" s="1"/>
      <c r="J54" s="1"/>
      <c r="K54" s="1"/>
      <c r="L54" s="21"/>
      <c r="O54" s="378" t="s">
        <v>468</v>
      </c>
      <c r="P54" s="379"/>
      <c r="Q54" s="380">
        <f>+Q46*Q53</f>
        <v>18307178.396960005</v>
      </c>
      <c r="R54" s="380">
        <f>+R46*R53</f>
        <v>19699404.640000004</v>
      </c>
      <c r="S54" s="380">
        <f>+S46*S53</f>
        <v>19410190.000000004</v>
      </c>
      <c r="T54" s="380"/>
    </row>
    <row r="55" spans="1:23" x14ac:dyDescent="0.3">
      <c r="A55" s="361"/>
      <c r="B55" s="1"/>
      <c r="C55" s="1"/>
      <c r="D55" s="1"/>
      <c r="E55" s="4"/>
      <c r="F55" s="1"/>
      <c r="G55" s="1"/>
      <c r="H55" s="1"/>
      <c r="I55" s="1"/>
      <c r="J55" s="1"/>
      <c r="K55" s="1"/>
      <c r="L55" s="21"/>
      <c r="O55" s="378" t="s">
        <v>469</v>
      </c>
      <c r="P55" s="260"/>
      <c r="Q55" s="403">
        <f>+Q54/Q34</f>
        <v>0.87981441738562116</v>
      </c>
      <c r="R55" s="403">
        <f>+R54/R34</f>
        <v>0.95609612890700857</v>
      </c>
      <c r="S55" s="403">
        <f>+S54/S34</f>
        <v>0.92376689510755772</v>
      </c>
      <c r="T55" s="405"/>
    </row>
    <row r="56" spans="1:23" x14ac:dyDescent="0.3">
      <c r="A56" s="364" t="s">
        <v>0</v>
      </c>
      <c r="E56" s="22"/>
      <c r="L56" s="21"/>
      <c r="O56" s="378" t="s">
        <v>470</v>
      </c>
      <c r="P56" s="379"/>
      <c r="Q56" s="403">
        <f>+C30</f>
        <v>0.1</v>
      </c>
      <c r="R56" s="403">
        <f>+D30</f>
        <v>0.4</v>
      </c>
      <c r="S56" s="403">
        <f>+E30</f>
        <v>0.5</v>
      </c>
      <c r="T56" s="385"/>
    </row>
    <row r="57" spans="1:23" x14ac:dyDescent="0.3">
      <c r="A57" s="65" t="s">
        <v>22</v>
      </c>
      <c r="E57" s="22"/>
      <c r="L57" s="21"/>
      <c r="O57" s="389" t="s">
        <v>471</v>
      </c>
      <c r="P57" s="390"/>
      <c r="Q57" s="391"/>
      <c r="R57" s="391"/>
      <c r="S57" s="391"/>
      <c r="T57" s="406">
        <f>SUMPRODUCT(Q55:S55,Q56:S56)</f>
        <v>0.93230334085514444</v>
      </c>
      <c r="U57" s="468" t="s">
        <v>472</v>
      </c>
      <c r="V57" s="469"/>
      <c r="W57" s="469"/>
    </row>
    <row r="58" spans="1:23" x14ac:dyDescent="0.3">
      <c r="E58" s="22"/>
      <c r="L58" s="21"/>
      <c r="O58" s="378" t="s">
        <v>473</v>
      </c>
      <c r="P58" s="260"/>
      <c r="Q58" s="380"/>
      <c r="R58" s="380"/>
      <c r="S58" s="380"/>
      <c r="T58" s="405">
        <f>1-E43</f>
        <v>0.85</v>
      </c>
    </row>
    <row r="59" spans="1:23" x14ac:dyDescent="0.3">
      <c r="L59" s="21"/>
      <c r="O59" s="378" t="s">
        <v>474</v>
      </c>
      <c r="P59" s="260"/>
      <c r="Q59" s="380"/>
      <c r="R59" s="380"/>
      <c r="S59" s="380"/>
      <c r="T59" s="405">
        <f>+T57/T58-1</f>
        <v>9.6827459829581741E-2</v>
      </c>
      <c r="U59" s="2" t="s">
        <v>475</v>
      </c>
    </row>
    <row r="60" spans="1:23" x14ac:dyDescent="0.3">
      <c r="L60" s="21"/>
      <c r="P60" s="22"/>
    </row>
    <row r="61" spans="1:23" x14ac:dyDescent="0.3">
      <c r="L61" s="21"/>
      <c r="O61" s="407" t="s">
        <v>476</v>
      </c>
      <c r="P61" s="408"/>
      <c r="Q61" s="409"/>
      <c r="R61" s="409"/>
      <c r="S61" s="410"/>
      <c r="T61" s="411">
        <f>+T33</f>
        <v>340</v>
      </c>
      <c r="U61" s="2" t="s">
        <v>477</v>
      </c>
    </row>
    <row r="62" spans="1:23" x14ac:dyDescent="0.3">
      <c r="A62" s="65" t="s">
        <v>25</v>
      </c>
      <c r="L62" s="21"/>
      <c r="O62" s="407" t="s">
        <v>478</v>
      </c>
      <c r="P62" s="408"/>
      <c r="Q62" s="409"/>
      <c r="R62" s="409"/>
      <c r="S62" s="410"/>
      <c r="T62" s="412">
        <f>+T59</f>
        <v>9.6827459829581741E-2</v>
      </c>
    </row>
    <row r="63" spans="1:23" x14ac:dyDescent="0.3">
      <c r="L63" s="21"/>
      <c r="O63" s="407" t="s">
        <v>479</v>
      </c>
      <c r="P63" s="408"/>
      <c r="Q63" s="409"/>
      <c r="R63" s="409"/>
      <c r="S63" s="410"/>
      <c r="T63" s="411">
        <f>+T61*(1+T62)</f>
        <v>372.92133634205777</v>
      </c>
      <c r="U63" s="2" t="s">
        <v>480</v>
      </c>
    </row>
    <row r="64" spans="1:23" x14ac:dyDescent="0.3">
      <c r="L64" s="21"/>
      <c r="P64" s="22"/>
      <c r="T64" s="129"/>
    </row>
    <row r="65" spans="1:23" x14ac:dyDescent="0.3">
      <c r="L65" s="21"/>
      <c r="O65" s="407" t="s">
        <v>481</v>
      </c>
      <c r="P65" s="408"/>
      <c r="Q65" s="409"/>
      <c r="R65" s="409"/>
      <c r="S65" s="410"/>
      <c r="T65" s="413">
        <f>-T47</f>
        <v>889150</v>
      </c>
      <c r="U65" s="2" t="s">
        <v>482</v>
      </c>
    </row>
    <row r="66" spans="1:23" x14ac:dyDescent="0.3">
      <c r="L66" s="21"/>
      <c r="O66" s="414" t="s">
        <v>483</v>
      </c>
      <c r="P66" s="408"/>
      <c r="Q66" s="409"/>
      <c r="R66" s="409"/>
      <c r="S66" s="410"/>
      <c r="T66" s="411">
        <f>+T65/E36/24</f>
        <v>7.1245993589743586</v>
      </c>
      <c r="U66" s="2" t="s">
        <v>484</v>
      </c>
    </row>
    <row r="67" spans="1:23" x14ac:dyDescent="0.3">
      <c r="A67" s="65" t="s">
        <v>26</v>
      </c>
      <c r="L67" s="21"/>
    </row>
    <row r="68" spans="1:23" x14ac:dyDescent="0.3">
      <c r="L68" s="21"/>
      <c r="O68" s="407" t="s">
        <v>485</v>
      </c>
      <c r="P68" s="408"/>
      <c r="Q68" s="409"/>
      <c r="R68" s="409"/>
      <c r="S68" s="410"/>
      <c r="T68" s="411">
        <f>+E35</f>
        <v>22</v>
      </c>
    </row>
    <row r="69" spans="1:23" x14ac:dyDescent="0.3">
      <c r="L69" s="21"/>
      <c r="P69" s="22"/>
    </row>
    <row r="70" spans="1:23" x14ac:dyDescent="0.3">
      <c r="L70" s="21"/>
      <c r="O70" s="415" t="s">
        <v>486</v>
      </c>
      <c r="P70" s="416"/>
      <c r="Q70" s="417"/>
      <c r="R70" s="417"/>
      <c r="S70" s="418"/>
      <c r="T70" s="419">
        <f>+T63+T66+T68</f>
        <v>402.04593570103214</v>
      </c>
      <c r="U70" s="468" t="s">
        <v>487</v>
      </c>
      <c r="V70" s="469"/>
      <c r="W70" s="469"/>
    </row>
    <row r="71" spans="1:23" x14ac:dyDescent="0.3">
      <c r="L71" s="21"/>
    </row>
    <row r="72" spans="1:23" x14ac:dyDescent="0.3">
      <c r="A72" s="420" t="s">
        <v>2</v>
      </c>
      <c r="B72" s="3"/>
      <c r="C72" s="3"/>
      <c r="D72" s="3"/>
      <c r="E72" s="3"/>
      <c r="F72" s="3"/>
      <c r="G72" s="3"/>
      <c r="H72" s="3"/>
      <c r="I72" s="3"/>
      <c r="J72" s="3"/>
      <c r="K72" s="3"/>
      <c r="L72" s="3"/>
      <c r="N72"/>
      <c r="O72"/>
      <c r="P72"/>
      <c r="Q72"/>
      <c r="R72"/>
      <c r="S72"/>
      <c r="T72"/>
      <c r="U72"/>
      <c r="V72"/>
      <c r="W72"/>
    </row>
    <row r="73" spans="1:23" x14ac:dyDescent="0.3">
      <c r="N73"/>
      <c r="O73"/>
      <c r="P73"/>
      <c r="Q73"/>
      <c r="R73"/>
      <c r="S73"/>
      <c r="T73"/>
      <c r="U73"/>
      <c r="V73"/>
      <c r="W73"/>
    </row>
    <row r="74" spans="1:23" x14ac:dyDescent="0.3">
      <c r="N74"/>
      <c r="O74"/>
      <c r="P74"/>
      <c r="Q74"/>
      <c r="R74"/>
      <c r="S74"/>
      <c r="T74"/>
      <c r="U74"/>
      <c r="V74"/>
      <c r="W74"/>
    </row>
    <row r="75" spans="1:23" x14ac:dyDescent="0.3">
      <c r="N75"/>
      <c r="O75"/>
      <c r="P75"/>
      <c r="Q75"/>
      <c r="R75"/>
      <c r="S75"/>
      <c r="T75"/>
      <c r="U75"/>
      <c r="V75"/>
      <c r="W75"/>
    </row>
    <row r="76" spans="1:23" x14ac:dyDescent="0.3">
      <c r="N76"/>
      <c r="O76"/>
      <c r="P76"/>
      <c r="Q76"/>
      <c r="R76"/>
      <c r="S76"/>
      <c r="T76"/>
      <c r="U76"/>
      <c r="V76"/>
      <c r="W76"/>
    </row>
    <row r="77" spans="1:23" x14ac:dyDescent="0.3">
      <c r="N77"/>
      <c r="O77"/>
      <c r="P77"/>
      <c r="Q77"/>
      <c r="R77"/>
      <c r="S77"/>
      <c r="T77"/>
      <c r="U77"/>
      <c r="V77"/>
      <c r="W77"/>
    </row>
    <row r="78" spans="1:23" ht="31.5" customHeight="1" x14ac:dyDescent="0.3">
      <c r="N78"/>
      <c r="O78"/>
      <c r="P78"/>
      <c r="Q78"/>
      <c r="R78"/>
      <c r="S78"/>
      <c r="T78"/>
      <c r="U78"/>
      <c r="V78"/>
      <c r="W78"/>
    </row>
    <row r="79" spans="1:23" x14ac:dyDescent="0.3">
      <c r="N79"/>
      <c r="O79"/>
      <c r="P79"/>
      <c r="Q79"/>
      <c r="R79"/>
      <c r="S79"/>
      <c r="T79"/>
      <c r="U79"/>
      <c r="V79"/>
      <c r="W79"/>
    </row>
    <row r="80" spans="1:23" x14ac:dyDescent="0.3">
      <c r="N80"/>
      <c r="O80"/>
      <c r="P80"/>
      <c r="Q80"/>
      <c r="R80"/>
      <c r="S80"/>
      <c r="T80"/>
      <c r="U80"/>
      <c r="V80"/>
      <c r="W80"/>
    </row>
    <row r="81" spans="14:23" x14ac:dyDescent="0.3">
      <c r="N81"/>
      <c r="O81"/>
      <c r="P81"/>
      <c r="Q81"/>
      <c r="R81"/>
      <c r="S81"/>
      <c r="T81"/>
      <c r="U81"/>
      <c r="V81"/>
      <c r="W81"/>
    </row>
    <row r="82" spans="14:23" x14ac:dyDescent="0.3">
      <c r="N82"/>
      <c r="O82"/>
      <c r="P82"/>
      <c r="Q82"/>
      <c r="R82"/>
      <c r="S82"/>
      <c r="T82"/>
      <c r="U82"/>
      <c r="V82"/>
      <c r="W82"/>
    </row>
    <row r="83" spans="14:23" x14ac:dyDescent="0.3">
      <c r="N83"/>
      <c r="O83"/>
      <c r="P83"/>
      <c r="Q83"/>
      <c r="R83"/>
      <c r="S83"/>
      <c r="T83"/>
      <c r="U83"/>
      <c r="V83"/>
      <c r="W83"/>
    </row>
    <row r="84" spans="14:23" x14ac:dyDescent="0.3">
      <c r="N84"/>
      <c r="O84"/>
      <c r="P84"/>
      <c r="Q84"/>
      <c r="R84"/>
      <c r="S84"/>
      <c r="T84"/>
      <c r="U84"/>
      <c r="V84"/>
      <c r="W84"/>
    </row>
    <row r="85" spans="14:23" x14ac:dyDescent="0.3">
      <c r="N85"/>
      <c r="O85"/>
      <c r="P85"/>
      <c r="Q85"/>
      <c r="R85"/>
      <c r="S85"/>
      <c r="T85"/>
      <c r="U85"/>
      <c r="V85"/>
      <c r="W85"/>
    </row>
    <row r="86" spans="14:23" x14ac:dyDescent="0.3">
      <c r="N86"/>
      <c r="O86"/>
      <c r="P86"/>
      <c r="Q86"/>
      <c r="R86"/>
      <c r="S86"/>
      <c r="T86"/>
      <c r="U86"/>
      <c r="V86"/>
      <c r="W86"/>
    </row>
    <row r="87" spans="14:23" x14ac:dyDescent="0.3">
      <c r="N87"/>
      <c r="O87"/>
      <c r="P87"/>
      <c r="Q87"/>
      <c r="R87"/>
      <c r="S87"/>
      <c r="T87"/>
      <c r="U87"/>
      <c r="V87"/>
      <c r="W87"/>
    </row>
    <row r="88" spans="14:23" x14ac:dyDescent="0.3">
      <c r="N88"/>
      <c r="O88"/>
      <c r="P88"/>
      <c r="Q88"/>
      <c r="R88"/>
      <c r="S88"/>
      <c r="T88"/>
      <c r="U88"/>
      <c r="V88"/>
      <c r="W88"/>
    </row>
    <row r="89" spans="14:23" x14ac:dyDescent="0.3">
      <c r="N89"/>
      <c r="O89"/>
      <c r="P89"/>
      <c r="Q89"/>
      <c r="R89"/>
      <c r="S89"/>
      <c r="T89"/>
      <c r="U89"/>
      <c r="V89"/>
      <c r="W89"/>
    </row>
    <row r="90" spans="14:23" x14ac:dyDescent="0.3">
      <c r="N90"/>
      <c r="O90"/>
      <c r="P90"/>
      <c r="Q90"/>
      <c r="R90"/>
      <c r="S90"/>
      <c r="T90"/>
      <c r="U90"/>
      <c r="V90"/>
      <c r="W90"/>
    </row>
    <row r="91" spans="14:23" ht="29.25" customHeight="1" x14ac:dyDescent="0.3">
      <c r="N91"/>
      <c r="O91"/>
      <c r="P91"/>
      <c r="Q91"/>
      <c r="R91"/>
      <c r="S91"/>
      <c r="T91"/>
      <c r="U91"/>
      <c r="V91"/>
      <c r="W91"/>
    </row>
    <row r="92" spans="14:23" x14ac:dyDescent="0.3">
      <c r="N92"/>
      <c r="O92"/>
      <c r="P92"/>
      <c r="Q92"/>
      <c r="R92"/>
      <c r="S92"/>
      <c r="T92"/>
      <c r="U92"/>
      <c r="V92"/>
      <c r="W92"/>
    </row>
    <row r="93" spans="14:23" x14ac:dyDescent="0.3">
      <c r="N93"/>
      <c r="O93"/>
      <c r="P93"/>
      <c r="Q93"/>
      <c r="R93"/>
      <c r="S93"/>
      <c r="T93"/>
      <c r="U93"/>
      <c r="V93"/>
      <c r="W93"/>
    </row>
    <row r="94" spans="14:23" x14ac:dyDescent="0.3">
      <c r="N94"/>
      <c r="O94"/>
      <c r="P94"/>
      <c r="Q94"/>
      <c r="R94"/>
      <c r="S94"/>
      <c r="T94"/>
      <c r="U94"/>
      <c r="V94"/>
      <c r="W94"/>
    </row>
    <row r="95" spans="14:23" x14ac:dyDescent="0.3">
      <c r="N95"/>
      <c r="O95"/>
      <c r="P95"/>
      <c r="Q95"/>
      <c r="R95"/>
      <c r="S95"/>
      <c r="T95"/>
      <c r="U95"/>
      <c r="V95"/>
      <c r="W95"/>
    </row>
    <row r="96" spans="14:23" x14ac:dyDescent="0.3">
      <c r="N96"/>
      <c r="O96"/>
      <c r="P96"/>
      <c r="Q96"/>
      <c r="R96"/>
      <c r="S96"/>
      <c r="T96"/>
      <c r="U96"/>
      <c r="V96"/>
      <c r="W96"/>
    </row>
    <row r="97" spans="14:23" x14ac:dyDescent="0.3">
      <c r="N97"/>
      <c r="O97"/>
      <c r="P97"/>
      <c r="Q97"/>
      <c r="R97"/>
      <c r="S97"/>
      <c r="T97"/>
      <c r="U97"/>
      <c r="V97"/>
      <c r="W97"/>
    </row>
    <row r="98" spans="14:23" x14ac:dyDescent="0.3">
      <c r="N98"/>
      <c r="O98"/>
      <c r="P98"/>
      <c r="Q98"/>
      <c r="R98"/>
      <c r="S98"/>
      <c r="T98"/>
      <c r="U98"/>
      <c r="V98"/>
      <c r="W98"/>
    </row>
    <row r="99" spans="14:23" x14ac:dyDescent="0.3">
      <c r="N99"/>
      <c r="O99"/>
      <c r="P99"/>
      <c r="Q99"/>
      <c r="R99"/>
      <c r="S99"/>
      <c r="T99"/>
      <c r="U99"/>
      <c r="V99"/>
      <c r="W99"/>
    </row>
    <row r="100" spans="14:23" x14ac:dyDescent="0.3">
      <c r="N100"/>
      <c r="O100"/>
      <c r="P100"/>
      <c r="Q100"/>
      <c r="R100"/>
      <c r="S100"/>
      <c r="T100"/>
      <c r="U100"/>
      <c r="V100"/>
      <c r="W100"/>
    </row>
    <row r="101" spans="14:23" x14ac:dyDescent="0.3">
      <c r="N101"/>
      <c r="O101"/>
      <c r="P101"/>
      <c r="Q101"/>
      <c r="R101"/>
      <c r="S101"/>
      <c r="T101"/>
      <c r="U101"/>
      <c r="V101"/>
      <c r="W101"/>
    </row>
    <row r="102" spans="14:23" x14ac:dyDescent="0.3">
      <c r="N102"/>
      <c r="O102"/>
      <c r="P102"/>
      <c r="Q102"/>
      <c r="R102"/>
      <c r="S102"/>
      <c r="T102"/>
      <c r="U102"/>
      <c r="V102"/>
      <c r="W102"/>
    </row>
    <row r="103" spans="14:23" x14ac:dyDescent="0.3">
      <c r="N103"/>
      <c r="O103"/>
      <c r="P103"/>
      <c r="Q103"/>
      <c r="R103"/>
      <c r="S103"/>
      <c r="T103"/>
      <c r="U103"/>
      <c r="V103"/>
      <c r="W103"/>
    </row>
    <row r="104" spans="14:23" x14ac:dyDescent="0.3">
      <c r="N104"/>
      <c r="O104"/>
      <c r="P104"/>
      <c r="Q104"/>
      <c r="R104"/>
      <c r="S104"/>
      <c r="T104"/>
      <c r="U104"/>
      <c r="V104"/>
      <c r="W104"/>
    </row>
    <row r="105" spans="14:23" x14ac:dyDescent="0.3">
      <c r="N105"/>
      <c r="O105"/>
      <c r="P105"/>
      <c r="Q105"/>
      <c r="R105"/>
      <c r="S105"/>
      <c r="T105"/>
      <c r="U105"/>
      <c r="V105"/>
      <c r="W105"/>
    </row>
  </sheetData>
  <mergeCells count="4">
    <mergeCell ref="U33:W33"/>
    <mergeCell ref="U34:W34"/>
    <mergeCell ref="U57:W57"/>
    <mergeCell ref="U70:W7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0256-46AD-4DAA-AF12-FE336CFEB281}">
  <dimension ref="A1:P46"/>
  <sheetViews>
    <sheetView zoomScale="90" zoomScaleNormal="90" workbookViewId="0"/>
  </sheetViews>
  <sheetFormatPr defaultColWidth="10.6640625" defaultRowHeight="15.6" x14ac:dyDescent="0.3"/>
  <cols>
    <col min="1" max="1" width="10.6640625" style="2" customWidth="1"/>
    <col min="2" max="2" width="38.44140625" style="2" customWidth="1"/>
    <col min="3" max="3" width="20.44140625" style="2" customWidth="1"/>
    <col min="4" max="4" width="19.6640625" style="2" customWidth="1"/>
    <col min="5" max="10" width="11.33203125" style="2" customWidth="1"/>
    <col min="11" max="11" width="3.33203125" style="2" customWidth="1"/>
    <col min="12" max="12" width="4.109375" style="2" customWidth="1"/>
    <col min="13" max="13" width="12.77734375" style="2" customWidth="1"/>
    <col min="14" max="14" width="6" style="2" customWidth="1"/>
    <col min="15" max="15" width="43.44140625" style="2" customWidth="1"/>
    <col min="16" max="16384" width="10.6640625" style="2"/>
  </cols>
  <sheetData>
    <row r="1" spans="1:16" x14ac:dyDescent="0.3">
      <c r="A1" s="4" t="s">
        <v>261</v>
      </c>
      <c r="B1" s="1"/>
      <c r="C1" s="1"/>
      <c r="D1" s="1"/>
      <c r="E1" s="1"/>
      <c r="F1" s="1"/>
      <c r="G1" s="1"/>
      <c r="H1" s="1"/>
      <c r="I1" s="1"/>
      <c r="J1" s="1"/>
      <c r="K1" s="21"/>
      <c r="L1" s="2" t="s">
        <v>345</v>
      </c>
    </row>
    <row r="2" spans="1:16" x14ac:dyDescent="0.3">
      <c r="A2" s="1" t="s">
        <v>259</v>
      </c>
      <c r="B2" s="1"/>
      <c r="C2" s="1"/>
      <c r="D2" s="1"/>
      <c r="E2" s="1"/>
      <c r="F2" s="1"/>
      <c r="G2" s="1"/>
      <c r="H2" s="1"/>
      <c r="I2" s="1"/>
      <c r="J2" s="1"/>
      <c r="K2" s="21"/>
    </row>
    <row r="3" spans="1:16" x14ac:dyDescent="0.3">
      <c r="A3" s="1" t="s">
        <v>277</v>
      </c>
      <c r="B3" s="1"/>
      <c r="C3" s="1"/>
      <c r="D3" s="1"/>
      <c r="E3" s="1"/>
      <c r="F3" s="1"/>
      <c r="G3" s="1"/>
      <c r="H3" s="1"/>
      <c r="I3" s="1"/>
      <c r="J3" s="1"/>
      <c r="K3" s="21"/>
      <c r="M3" s="65" t="s">
        <v>303</v>
      </c>
      <c r="N3" s="65" t="s">
        <v>283</v>
      </c>
    </row>
    <row r="4" spans="1:16" x14ac:dyDescent="0.3">
      <c r="A4" s="1"/>
      <c r="B4" s="1"/>
      <c r="C4" s="1"/>
      <c r="D4" s="1"/>
      <c r="E4" s="1"/>
      <c r="F4" s="1"/>
      <c r="G4" s="1"/>
      <c r="H4" s="1"/>
      <c r="I4" s="1"/>
      <c r="J4" s="1"/>
      <c r="K4" s="21"/>
    </row>
    <row r="5" spans="1:16" x14ac:dyDescent="0.3">
      <c r="A5" s="54" t="s">
        <v>197</v>
      </c>
      <c r="B5" s="1"/>
      <c r="C5" s="1"/>
      <c r="D5" s="1"/>
      <c r="E5" s="1"/>
      <c r="F5" s="1"/>
      <c r="G5" s="1"/>
      <c r="H5" s="1"/>
      <c r="I5" s="1"/>
      <c r="J5" s="1"/>
      <c r="K5" s="21"/>
      <c r="M5" s="139"/>
    </row>
    <row r="6" spans="1:16" x14ac:dyDescent="0.3">
      <c r="A6" s="54" t="s">
        <v>201</v>
      </c>
      <c r="B6" s="1"/>
      <c r="C6" s="1"/>
      <c r="D6" s="1"/>
      <c r="E6" s="1"/>
      <c r="F6" s="1"/>
      <c r="G6" s="1"/>
      <c r="H6" s="1"/>
      <c r="I6" s="1"/>
      <c r="J6" s="1"/>
      <c r="K6" s="21"/>
      <c r="M6" s="2" t="s">
        <v>15</v>
      </c>
    </row>
    <row r="7" spans="1:16" x14ac:dyDescent="0.3">
      <c r="A7" s="5"/>
      <c r="B7" s="1"/>
      <c r="C7" s="1"/>
      <c r="D7" s="1"/>
      <c r="E7" s="1"/>
      <c r="F7" s="1"/>
      <c r="G7" s="1"/>
      <c r="H7" s="1"/>
      <c r="I7" s="1"/>
      <c r="J7" s="1"/>
      <c r="K7" s="21"/>
      <c r="M7" s="22"/>
      <c r="N7" s="2" t="s">
        <v>22</v>
      </c>
      <c r="O7" s="2" t="s">
        <v>238</v>
      </c>
      <c r="P7" s="17"/>
    </row>
    <row r="8" spans="1:16" x14ac:dyDescent="0.3">
      <c r="A8" s="118" t="s">
        <v>186</v>
      </c>
      <c r="B8" s="55" t="s">
        <v>200</v>
      </c>
      <c r="C8" s="55" t="s">
        <v>199</v>
      </c>
      <c r="D8" s="1"/>
      <c r="E8" s="1"/>
      <c r="F8" s="1"/>
      <c r="G8" s="1"/>
      <c r="H8" s="1"/>
      <c r="I8" s="1"/>
      <c r="J8" s="1"/>
      <c r="K8" s="21"/>
      <c r="M8" s="139"/>
      <c r="O8" s="2" t="s">
        <v>239</v>
      </c>
      <c r="P8" s="17"/>
    </row>
    <row r="9" spans="1:16" x14ac:dyDescent="0.3">
      <c r="A9" s="7">
        <v>1</v>
      </c>
      <c r="B9" s="6" t="s">
        <v>202</v>
      </c>
      <c r="C9" s="56">
        <v>175</v>
      </c>
      <c r="D9" s="1"/>
      <c r="E9" s="1"/>
      <c r="F9" s="1"/>
      <c r="G9" s="1"/>
      <c r="H9" s="1"/>
      <c r="I9" s="1"/>
      <c r="J9" s="1"/>
      <c r="K9" s="21"/>
      <c r="O9" s="141">
        <f>(2 * 365 * (5/7) * 175) + (1 * 365 * (7/7) * 250)</f>
        <v>182500</v>
      </c>
      <c r="P9" s="142" t="s">
        <v>240</v>
      </c>
    </row>
    <row r="10" spans="1:16" x14ac:dyDescent="0.3">
      <c r="A10" s="7">
        <v>2</v>
      </c>
      <c r="B10" s="6" t="s">
        <v>202</v>
      </c>
      <c r="C10" s="56">
        <v>175</v>
      </c>
      <c r="D10" s="1"/>
      <c r="E10" s="1"/>
      <c r="F10" s="1"/>
      <c r="G10" s="1"/>
      <c r="H10" s="1"/>
      <c r="I10" s="1"/>
      <c r="J10" s="1"/>
      <c r="K10" s="21"/>
      <c r="M10" s="139"/>
      <c r="P10" s="17"/>
    </row>
    <row r="11" spans="1:16" x14ac:dyDescent="0.3">
      <c r="A11" s="7">
        <v>3</v>
      </c>
      <c r="B11" s="6" t="s">
        <v>198</v>
      </c>
      <c r="C11" s="56">
        <v>400</v>
      </c>
      <c r="D11" s="1"/>
      <c r="E11" s="1"/>
      <c r="F11" s="1"/>
      <c r="G11" s="1"/>
      <c r="H11" s="1"/>
      <c r="I11" s="1"/>
      <c r="J11" s="1"/>
      <c r="K11" s="21"/>
      <c r="P11" s="17"/>
    </row>
    <row r="12" spans="1:16" x14ac:dyDescent="0.3">
      <c r="A12" s="1"/>
      <c r="B12" s="1"/>
      <c r="C12" s="1"/>
      <c r="D12" s="1"/>
      <c r="E12" s="1"/>
      <c r="F12" s="1"/>
      <c r="G12" s="1"/>
      <c r="H12" s="1"/>
      <c r="I12" s="1"/>
      <c r="J12" s="1"/>
      <c r="K12" s="21"/>
      <c r="N12" s="2" t="s">
        <v>25</v>
      </c>
      <c r="O12" s="2" t="s">
        <v>241</v>
      </c>
      <c r="P12" s="17"/>
    </row>
    <row r="13" spans="1:16" x14ac:dyDescent="0.3">
      <c r="A13" s="5" t="s">
        <v>204</v>
      </c>
      <c r="B13" s="1"/>
      <c r="C13" s="63"/>
      <c r="D13" s="63"/>
      <c r="E13" s="1"/>
      <c r="F13" s="1"/>
      <c r="G13" s="1"/>
      <c r="H13" s="1"/>
      <c r="I13" s="1"/>
      <c r="J13" s="1"/>
      <c r="K13" s="21"/>
      <c r="N13" s="17"/>
      <c r="O13" s="2" t="s">
        <v>242</v>
      </c>
      <c r="P13" s="17"/>
    </row>
    <row r="14" spans="1:16" x14ac:dyDescent="0.3">
      <c r="A14" s="5"/>
      <c r="B14" s="1"/>
      <c r="C14" s="63"/>
      <c r="D14" s="63"/>
      <c r="E14" s="1"/>
      <c r="F14" s="1"/>
      <c r="G14" s="1"/>
      <c r="H14" s="1"/>
      <c r="I14" s="1"/>
      <c r="J14" s="1"/>
      <c r="K14" s="21"/>
      <c r="N14" s="17"/>
      <c r="O14" s="141">
        <f>25 * 10000 + 11 * 10000</f>
        <v>360000</v>
      </c>
      <c r="P14" s="142" t="s">
        <v>240</v>
      </c>
    </row>
    <row r="15" spans="1:16" x14ac:dyDescent="0.3">
      <c r="A15" s="5"/>
      <c r="B15" s="55" t="s">
        <v>273</v>
      </c>
      <c r="C15" s="126" t="s">
        <v>236</v>
      </c>
      <c r="D15" s="127"/>
      <c r="E15" s="127"/>
      <c r="F15" s="128"/>
      <c r="G15" s="128"/>
      <c r="H15" s="128"/>
      <c r="I15" s="128"/>
      <c r="J15" s="19"/>
      <c r="K15" s="21"/>
      <c r="N15" s="17"/>
      <c r="P15" s="17"/>
    </row>
    <row r="16" spans="1:16" x14ac:dyDescent="0.3">
      <c r="A16" s="5"/>
      <c r="B16" s="123" t="s">
        <v>203</v>
      </c>
      <c r="C16" s="119" t="s">
        <v>205</v>
      </c>
      <c r="D16" s="120"/>
      <c r="E16" s="120"/>
      <c r="F16" s="57"/>
      <c r="G16" s="57"/>
      <c r="H16" s="57"/>
      <c r="I16" s="57"/>
      <c r="J16" s="58"/>
      <c r="K16" s="21"/>
      <c r="N16" s="2" t="s">
        <v>26</v>
      </c>
      <c r="O16" s="2" t="s">
        <v>243</v>
      </c>
      <c r="P16" s="17"/>
    </row>
    <row r="17" spans="1:16" x14ac:dyDescent="0.3">
      <c r="A17" s="5"/>
      <c r="B17" s="124" t="s">
        <v>271</v>
      </c>
      <c r="C17" s="54" t="s">
        <v>237</v>
      </c>
      <c r="D17" s="63"/>
      <c r="E17" s="63"/>
      <c r="F17" s="1"/>
      <c r="G17" s="1"/>
      <c r="H17" s="1"/>
      <c r="I17" s="1"/>
      <c r="J17" s="59"/>
      <c r="K17" s="21"/>
      <c r="O17" s="2" t="s">
        <v>244</v>
      </c>
      <c r="P17" s="17"/>
    </row>
    <row r="18" spans="1:16" x14ac:dyDescent="0.3">
      <c r="A18" s="5"/>
      <c r="B18" s="125" t="s">
        <v>272</v>
      </c>
      <c r="C18" s="121" t="s">
        <v>250</v>
      </c>
      <c r="D18" s="122"/>
      <c r="E18" s="122"/>
      <c r="F18" s="60"/>
      <c r="G18" s="60"/>
      <c r="H18" s="60"/>
      <c r="I18" s="60"/>
      <c r="J18" s="61"/>
      <c r="K18" s="21"/>
      <c r="O18" s="2" t="s">
        <v>245</v>
      </c>
      <c r="P18" s="17"/>
    </row>
    <row r="19" spans="1:16" x14ac:dyDescent="0.3">
      <c r="A19" s="5"/>
      <c r="B19" s="5"/>
      <c r="C19" s="5"/>
      <c r="D19" s="63"/>
      <c r="E19" s="63"/>
      <c r="F19" s="1"/>
      <c r="G19" s="1"/>
      <c r="H19" s="1"/>
      <c r="I19" s="1"/>
      <c r="J19" s="1"/>
      <c r="K19" s="21"/>
      <c r="O19" s="141">
        <f>36 * 10000 + (1000000 - 36 * 10000)</f>
        <v>1000000</v>
      </c>
      <c r="P19" s="142" t="s">
        <v>240</v>
      </c>
    </row>
    <row r="20" spans="1:16" x14ac:dyDescent="0.3">
      <c r="A20" s="13" t="s">
        <v>15</v>
      </c>
      <c r="B20" s="1" t="s">
        <v>276</v>
      </c>
      <c r="C20" s="1"/>
      <c r="D20" s="1"/>
      <c r="E20" s="1"/>
      <c r="F20" s="1"/>
      <c r="G20" s="1"/>
      <c r="H20" s="1"/>
      <c r="I20" s="1"/>
      <c r="J20" s="1"/>
      <c r="K20" s="21"/>
    </row>
    <row r="21" spans="1:16" x14ac:dyDescent="0.3">
      <c r="A21" s="11"/>
      <c r="B21" s="13" t="s">
        <v>206</v>
      </c>
      <c r="C21" s="1"/>
      <c r="D21" s="1"/>
      <c r="E21" s="1"/>
      <c r="F21" s="1"/>
      <c r="G21" s="1"/>
      <c r="H21" s="1"/>
      <c r="I21" s="1"/>
      <c r="J21" s="1"/>
      <c r="K21" s="21"/>
    </row>
    <row r="22" spans="1:16" x14ac:dyDescent="0.3">
      <c r="A22" s="11"/>
      <c r="B22" s="13" t="s">
        <v>274</v>
      </c>
      <c r="C22" s="1"/>
      <c r="D22" s="1"/>
      <c r="E22" s="1"/>
      <c r="F22" s="1"/>
      <c r="G22" s="1"/>
      <c r="H22" s="1"/>
      <c r="I22" s="1"/>
      <c r="J22" s="1"/>
      <c r="K22" s="21"/>
    </row>
    <row r="23" spans="1:16" x14ac:dyDescent="0.3">
      <c r="A23" s="11"/>
      <c r="B23" s="13" t="s">
        <v>275</v>
      </c>
      <c r="C23" s="1"/>
      <c r="D23" s="1"/>
      <c r="E23" s="1"/>
      <c r="F23" s="1"/>
      <c r="G23" s="1"/>
      <c r="H23" s="1"/>
      <c r="I23" s="1"/>
      <c r="J23" s="1"/>
      <c r="K23" s="21"/>
    </row>
    <row r="24" spans="1:16" x14ac:dyDescent="0.3">
      <c r="A24" s="11"/>
      <c r="B24" s="1" t="s">
        <v>12</v>
      </c>
      <c r="C24" s="1"/>
      <c r="D24" s="1"/>
      <c r="E24" s="1"/>
      <c r="F24" s="1"/>
      <c r="G24" s="1"/>
      <c r="H24" s="1"/>
      <c r="I24" s="1"/>
      <c r="J24" s="1"/>
      <c r="K24" s="21"/>
    </row>
    <row r="25" spans="1:16" x14ac:dyDescent="0.3">
      <c r="A25" s="11"/>
      <c r="B25" s="1"/>
      <c r="C25" s="1"/>
      <c r="D25" s="1"/>
      <c r="E25" s="1"/>
      <c r="F25" s="1"/>
      <c r="G25" s="1"/>
      <c r="H25" s="1"/>
      <c r="I25" s="1"/>
      <c r="J25" s="1"/>
      <c r="K25" s="21"/>
      <c r="M25" s="139"/>
    </row>
    <row r="26" spans="1:16" x14ac:dyDescent="0.3">
      <c r="A26" s="10" t="s">
        <v>0</v>
      </c>
      <c r="K26" s="21"/>
      <c r="M26" s="139"/>
    </row>
    <row r="27" spans="1:16" x14ac:dyDescent="0.3">
      <c r="A27" s="2" t="s">
        <v>22</v>
      </c>
      <c r="C27" s="17"/>
      <c r="D27" s="17"/>
      <c r="E27" s="17"/>
      <c r="F27" s="17"/>
      <c r="G27" s="17"/>
      <c r="H27" s="17"/>
      <c r="I27" s="17"/>
      <c r="J27" s="17"/>
      <c r="K27" s="21"/>
      <c r="M27" s="139"/>
    </row>
    <row r="28" spans="1:16" x14ac:dyDescent="0.3">
      <c r="C28" s="17"/>
      <c r="D28" s="17"/>
      <c r="E28" s="17"/>
      <c r="F28" s="17"/>
      <c r="G28" s="17"/>
      <c r="H28" s="17"/>
      <c r="I28" s="17"/>
      <c r="J28" s="17"/>
      <c r="K28" s="21"/>
    </row>
    <row r="29" spans="1:16" x14ac:dyDescent="0.3">
      <c r="C29" s="17"/>
      <c r="D29" s="17"/>
      <c r="E29" s="17"/>
      <c r="F29" s="17"/>
      <c r="G29" s="17"/>
      <c r="H29" s="17"/>
      <c r="I29" s="17"/>
      <c r="J29" s="17"/>
      <c r="K29" s="21"/>
      <c r="M29" s="139"/>
    </row>
    <row r="30" spans="1:16" x14ac:dyDescent="0.3">
      <c r="C30" s="17"/>
      <c r="D30" s="17"/>
      <c r="E30" s="17"/>
      <c r="F30" s="17"/>
      <c r="G30" s="17"/>
      <c r="H30" s="17"/>
      <c r="I30" s="17"/>
      <c r="J30" s="17"/>
      <c r="K30" s="21"/>
      <c r="M30" s="10"/>
    </row>
    <row r="31" spans="1:16" x14ac:dyDescent="0.3">
      <c r="C31" s="17"/>
      <c r="D31" s="17"/>
      <c r="E31" s="17"/>
      <c r="F31" s="17"/>
      <c r="G31" s="17"/>
      <c r="H31" s="17"/>
      <c r="I31" s="17"/>
      <c r="J31" s="17"/>
      <c r="K31" s="21"/>
    </row>
    <row r="32" spans="1:16" x14ac:dyDescent="0.3">
      <c r="A32" s="2" t="s">
        <v>25</v>
      </c>
      <c r="C32" s="17"/>
      <c r="D32" s="17"/>
      <c r="E32" s="17"/>
      <c r="F32" s="17"/>
      <c r="G32" s="17"/>
      <c r="H32" s="17"/>
      <c r="I32" s="17"/>
      <c r="J32" s="17"/>
      <c r="K32" s="21"/>
    </row>
    <row r="33" spans="1:14" x14ac:dyDescent="0.3">
      <c r="A33" s="17"/>
      <c r="C33" s="17"/>
      <c r="D33" s="17"/>
      <c r="E33" s="17"/>
      <c r="F33" s="17"/>
      <c r="G33" s="17"/>
      <c r="H33" s="17"/>
      <c r="I33" s="17"/>
      <c r="J33" s="17"/>
      <c r="K33" s="21"/>
    </row>
    <row r="34" spans="1:14" x14ac:dyDescent="0.3">
      <c r="A34" s="17"/>
      <c r="C34" s="17"/>
      <c r="D34" s="17"/>
      <c r="E34" s="17"/>
      <c r="F34" s="17"/>
      <c r="G34" s="17"/>
      <c r="H34" s="17"/>
      <c r="I34" s="17"/>
      <c r="J34" s="17"/>
      <c r="K34" s="21"/>
    </row>
    <row r="35" spans="1:14" x14ac:dyDescent="0.3">
      <c r="A35" s="17"/>
      <c r="C35" s="17"/>
      <c r="D35" s="17"/>
      <c r="E35" s="17"/>
      <c r="F35" s="17"/>
      <c r="G35" s="17"/>
      <c r="H35" s="17"/>
      <c r="I35" s="17"/>
      <c r="J35" s="17"/>
      <c r="K35" s="21"/>
    </row>
    <row r="36" spans="1:14" x14ac:dyDescent="0.3">
      <c r="A36" s="2" t="s">
        <v>26</v>
      </c>
      <c r="C36" s="17"/>
      <c r="D36" s="17"/>
      <c r="E36" s="17"/>
      <c r="F36" s="17"/>
      <c r="G36" s="17"/>
      <c r="H36" s="17"/>
      <c r="I36" s="17"/>
      <c r="J36" s="17"/>
      <c r="K36" s="21"/>
    </row>
    <row r="37" spans="1:14" x14ac:dyDescent="0.3">
      <c r="C37" s="17"/>
      <c r="D37" s="17"/>
      <c r="E37" s="17"/>
      <c r="F37" s="17"/>
      <c r="G37" s="17"/>
      <c r="H37" s="17"/>
      <c r="I37" s="17"/>
      <c r="J37" s="17"/>
      <c r="K37" s="21"/>
    </row>
    <row r="38" spans="1:14" x14ac:dyDescent="0.3">
      <c r="C38" s="17"/>
      <c r="D38" s="17"/>
      <c r="E38" s="17"/>
      <c r="F38" s="17"/>
      <c r="G38" s="17"/>
      <c r="H38" s="17"/>
      <c r="I38" s="17"/>
      <c r="J38" s="17"/>
      <c r="K38" s="21"/>
    </row>
    <row r="39" spans="1:14" x14ac:dyDescent="0.3">
      <c r="C39" s="17"/>
      <c r="D39" s="17"/>
      <c r="E39" s="17"/>
      <c r="F39" s="17"/>
      <c r="G39" s="17"/>
      <c r="H39" s="17"/>
      <c r="I39" s="17"/>
      <c r="J39" s="17"/>
      <c r="K39" s="21"/>
    </row>
    <row r="40" spans="1:14" x14ac:dyDescent="0.3">
      <c r="C40" s="17"/>
      <c r="D40" s="17"/>
      <c r="E40" s="17"/>
      <c r="F40" s="17"/>
      <c r="G40" s="17"/>
      <c r="H40" s="17"/>
      <c r="I40" s="17"/>
      <c r="J40" s="17"/>
      <c r="K40" s="21"/>
    </row>
    <row r="41" spans="1:14" x14ac:dyDescent="0.3">
      <c r="A41" s="3" t="s">
        <v>2</v>
      </c>
      <c r="B41" s="3"/>
      <c r="C41" s="3"/>
      <c r="D41" s="3"/>
      <c r="E41" s="3"/>
      <c r="F41" s="3"/>
      <c r="G41" s="3"/>
      <c r="H41" s="3"/>
      <c r="I41" s="3"/>
      <c r="J41" s="3"/>
      <c r="K41" s="3"/>
    </row>
    <row r="45" spans="1:14" x14ac:dyDescent="0.3">
      <c r="M45" s="140"/>
      <c r="N45" s="131"/>
    </row>
    <row r="46" spans="1:14" x14ac:dyDescent="0.3">
      <c r="M46" s="1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8A80-5D76-C74E-B249-6F6BCA53EAA9}">
  <dimension ref="A1:Y99"/>
  <sheetViews>
    <sheetView zoomScale="90" zoomScaleNormal="90" workbookViewId="0"/>
  </sheetViews>
  <sheetFormatPr defaultColWidth="9.109375" defaultRowHeight="15.6" x14ac:dyDescent="0.3"/>
  <cols>
    <col min="1" max="1" width="15.44140625" style="2" customWidth="1"/>
    <col min="2" max="2" width="20.44140625" style="2" customWidth="1"/>
    <col min="3" max="3" width="15.77734375" style="2" customWidth="1"/>
    <col min="4" max="4" width="17.44140625" style="2" customWidth="1"/>
    <col min="5" max="5" width="17.109375" style="2" customWidth="1"/>
    <col min="6" max="8" width="19.44140625" style="2" customWidth="1"/>
    <col min="9" max="11" width="13.44140625" style="2" customWidth="1"/>
    <col min="12" max="12" width="3.44140625" style="2" customWidth="1"/>
    <col min="13" max="13" width="4.109375" style="2" customWidth="1"/>
    <col min="14" max="14" width="6.44140625" style="2" customWidth="1"/>
    <col min="15" max="22" width="18" style="2" customWidth="1"/>
    <col min="23" max="24" width="13.44140625" style="2" customWidth="1"/>
    <col min="25" max="25" width="3.44140625" style="2" customWidth="1"/>
    <col min="26" max="26" width="9.109375" style="2"/>
    <col min="27" max="27" width="11.44140625" style="2" bestFit="1" customWidth="1"/>
    <col min="28" max="29" width="9.109375" style="2"/>
    <col min="30" max="30" width="21" style="2" customWidth="1"/>
    <col min="31" max="31" width="36.44140625" style="2" customWidth="1"/>
    <col min="32" max="32" width="18.44140625" style="2" customWidth="1"/>
    <col min="33" max="16384" width="9.109375" style="2"/>
  </cols>
  <sheetData>
    <row r="1" spans="1:25" x14ac:dyDescent="0.3">
      <c r="A1" s="4" t="s">
        <v>488</v>
      </c>
      <c r="B1" s="1"/>
      <c r="C1" s="1"/>
      <c r="D1" s="1"/>
      <c r="E1" s="1"/>
      <c r="F1" s="1"/>
      <c r="G1" s="1"/>
      <c r="H1" s="1"/>
      <c r="I1" s="1"/>
      <c r="J1" s="1"/>
      <c r="K1" s="1"/>
      <c r="L1" s="21"/>
      <c r="M1" s="2" t="s">
        <v>345</v>
      </c>
      <c r="Y1" s="21"/>
    </row>
    <row r="2" spans="1:25" x14ac:dyDescent="0.3">
      <c r="A2" s="1" t="s">
        <v>360</v>
      </c>
      <c r="B2" s="1"/>
      <c r="C2" s="1"/>
      <c r="D2" s="1"/>
      <c r="E2" s="1"/>
      <c r="F2" s="1"/>
      <c r="G2" s="1"/>
      <c r="H2" s="1"/>
      <c r="I2" s="1"/>
      <c r="J2" s="1"/>
      <c r="K2" s="1"/>
      <c r="L2" s="21"/>
      <c r="Y2" s="21"/>
    </row>
    <row r="3" spans="1:25" x14ac:dyDescent="0.3">
      <c r="L3" s="21"/>
      <c r="Y3" s="21"/>
    </row>
    <row r="4" spans="1:25" x14ac:dyDescent="0.3">
      <c r="A4" s="13" t="s">
        <v>29</v>
      </c>
      <c r="B4" s="1" t="s">
        <v>56</v>
      </c>
      <c r="C4" s="1" t="s">
        <v>489</v>
      </c>
      <c r="D4" s="1"/>
      <c r="E4" s="1"/>
      <c r="F4" s="1"/>
      <c r="G4" s="1"/>
      <c r="H4" s="1"/>
      <c r="I4" s="1"/>
      <c r="J4" s="1"/>
      <c r="K4" s="1"/>
      <c r="L4" s="21"/>
      <c r="N4" s="47" t="s">
        <v>29</v>
      </c>
      <c r="O4" s="65" t="s">
        <v>304</v>
      </c>
      <c r="T4" s="131"/>
      <c r="U4" s="131"/>
      <c r="Y4" s="21"/>
    </row>
    <row r="5" spans="1:25" x14ac:dyDescent="0.3">
      <c r="A5" s="13"/>
      <c r="B5" s="1"/>
      <c r="C5" s="1"/>
      <c r="D5" s="1"/>
      <c r="E5" s="1"/>
      <c r="F5" s="1"/>
      <c r="G5" s="1"/>
      <c r="H5" s="1"/>
      <c r="I5" s="1"/>
      <c r="J5" s="1"/>
      <c r="K5" s="1"/>
      <c r="L5" s="21"/>
      <c r="N5" s="20"/>
      <c r="P5" s="421"/>
      <c r="T5" s="131"/>
      <c r="U5" s="131"/>
      <c r="Y5" s="21"/>
    </row>
    <row r="6" spans="1:25" x14ac:dyDescent="0.3">
      <c r="A6" s="10" t="s">
        <v>0</v>
      </c>
      <c r="L6" s="21"/>
      <c r="P6" s="421"/>
      <c r="T6" s="131"/>
      <c r="U6" s="131"/>
      <c r="Y6" s="21"/>
    </row>
    <row r="7" spans="1:25" x14ac:dyDescent="0.3">
      <c r="L7" s="21"/>
      <c r="Q7" s="421"/>
      <c r="T7" s="131"/>
      <c r="U7" s="131"/>
      <c r="Y7" s="21"/>
    </row>
    <row r="8" spans="1:25" x14ac:dyDescent="0.3">
      <c r="L8" s="21"/>
      <c r="Q8" s="421"/>
      <c r="T8" s="131"/>
      <c r="U8" s="131"/>
      <c r="Y8" s="21"/>
    </row>
    <row r="9" spans="1:25" x14ac:dyDescent="0.3">
      <c r="L9" s="21"/>
      <c r="Q9" s="421"/>
      <c r="T9" s="131"/>
      <c r="U9" s="131"/>
      <c r="Y9" s="21"/>
    </row>
    <row r="10" spans="1:25" x14ac:dyDescent="0.3">
      <c r="L10" s="21"/>
      <c r="Q10" s="421"/>
      <c r="T10" s="131"/>
      <c r="U10" s="131"/>
      <c r="Y10" s="21"/>
    </row>
    <row r="11" spans="1:25" x14ac:dyDescent="0.3">
      <c r="L11" s="21"/>
      <c r="Q11" s="421"/>
      <c r="T11" s="131"/>
      <c r="U11" s="131"/>
      <c r="Y11" s="21"/>
    </row>
    <row r="12" spans="1:25" x14ac:dyDescent="0.3">
      <c r="L12" s="21"/>
      <c r="Q12" s="421"/>
      <c r="T12" s="131"/>
      <c r="U12" s="131"/>
      <c r="Y12" s="21"/>
    </row>
    <row r="13" spans="1:25" x14ac:dyDescent="0.3">
      <c r="L13" s="21"/>
      <c r="P13" s="421"/>
      <c r="Q13" s="421"/>
      <c r="Y13" s="21"/>
    </row>
    <row r="14" spans="1:25" x14ac:dyDescent="0.3">
      <c r="L14" s="21"/>
      <c r="P14" s="421"/>
      <c r="Q14" s="421"/>
      <c r="Y14" s="21"/>
    </row>
    <row r="15" spans="1:25" x14ac:dyDescent="0.3">
      <c r="A15" s="13" t="s">
        <v>21</v>
      </c>
      <c r="B15" s="1" t="s">
        <v>30</v>
      </c>
      <c r="C15" s="1" t="s">
        <v>490</v>
      </c>
      <c r="D15" s="1"/>
      <c r="E15" s="1"/>
      <c r="F15" s="1"/>
      <c r="G15" s="1"/>
      <c r="H15" s="1"/>
      <c r="I15" s="1"/>
      <c r="J15" s="1"/>
      <c r="K15" s="1"/>
      <c r="L15" s="21"/>
      <c r="N15" s="47" t="s">
        <v>21</v>
      </c>
      <c r="O15" s="65" t="s">
        <v>304</v>
      </c>
      <c r="P15" s="421"/>
      <c r="Y15" s="21"/>
    </row>
    <row r="16" spans="1:25" x14ac:dyDescent="0.3">
      <c r="A16" s="13"/>
      <c r="B16" s="1"/>
      <c r="C16" s="1"/>
      <c r="D16" s="1"/>
      <c r="E16" s="1"/>
      <c r="F16" s="1"/>
      <c r="G16" s="1"/>
      <c r="H16" s="1"/>
      <c r="I16" s="1"/>
      <c r="J16" s="1"/>
      <c r="K16" s="1"/>
      <c r="L16" s="21"/>
      <c r="P16" s="421"/>
      <c r="Q16" s="421"/>
      <c r="Y16" s="21"/>
    </row>
    <row r="17" spans="1:25" x14ac:dyDescent="0.3">
      <c r="A17" s="10" t="s">
        <v>0</v>
      </c>
      <c r="L17" s="21"/>
      <c r="P17" s="421"/>
      <c r="Q17" s="421"/>
      <c r="Y17" s="21"/>
    </row>
    <row r="18" spans="1:25" x14ac:dyDescent="0.3">
      <c r="L18" s="21"/>
      <c r="P18" s="421"/>
      <c r="Y18" s="21"/>
    </row>
    <row r="19" spans="1:25" x14ac:dyDescent="0.3">
      <c r="L19" s="21"/>
      <c r="P19" s="421"/>
      <c r="Q19" s="421"/>
      <c r="Y19" s="21"/>
    </row>
    <row r="20" spans="1:25" x14ac:dyDescent="0.3">
      <c r="L20" s="21"/>
      <c r="P20" s="421"/>
      <c r="Q20" s="421"/>
      <c r="Y20" s="21"/>
    </row>
    <row r="21" spans="1:25" x14ac:dyDescent="0.3">
      <c r="L21" s="21"/>
      <c r="P21" s="421"/>
      <c r="Y21" s="21"/>
    </row>
    <row r="22" spans="1:25" x14ac:dyDescent="0.3">
      <c r="L22" s="21"/>
      <c r="P22" s="421"/>
      <c r="Y22" s="21"/>
    </row>
    <row r="23" spans="1:25" x14ac:dyDescent="0.3">
      <c r="L23" s="21"/>
      <c r="P23" s="421"/>
      <c r="Q23" s="421"/>
      <c r="Y23" s="21"/>
    </row>
    <row r="24" spans="1:25" x14ac:dyDescent="0.3">
      <c r="L24" s="21"/>
      <c r="Y24" s="21"/>
    </row>
    <row r="25" spans="1:25" x14ac:dyDescent="0.3">
      <c r="L25" s="21"/>
      <c r="Y25" s="21"/>
    </row>
    <row r="26" spans="1:25" x14ac:dyDescent="0.3">
      <c r="L26" s="21"/>
    </row>
    <row r="27" spans="1:25" x14ac:dyDescent="0.3">
      <c r="L27" s="21"/>
      <c r="O27" s="470"/>
      <c r="P27" s="470"/>
      <c r="Q27" s="470"/>
      <c r="R27" s="470"/>
      <c r="S27" s="470"/>
      <c r="T27" s="470"/>
      <c r="U27" s="470"/>
      <c r="V27" s="470"/>
      <c r="W27" s="470"/>
      <c r="X27" s="470"/>
      <c r="Y27" s="470"/>
    </row>
    <row r="28" spans="1:25" x14ac:dyDescent="0.3">
      <c r="L28" s="21"/>
      <c r="O28" s="257"/>
      <c r="P28" s="422"/>
      <c r="Q28" s="422"/>
      <c r="R28" s="422"/>
      <c r="S28" s="422"/>
      <c r="T28" s="422"/>
      <c r="U28" s="422"/>
      <c r="V28" s="422"/>
      <c r="W28" s="422"/>
      <c r="X28" s="422"/>
      <c r="Y28" s="422"/>
    </row>
    <row r="29" spans="1:25" x14ac:dyDescent="0.3">
      <c r="A29" s="219" t="s">
        <v>491</v>
      </c>
      <c r="B29" s="1"/>
      <c r="C29" s="1"/>
      <c r="D29" s="1"/>
      <c r="E29" s="1"/>
      <c r="F29" s="1"/>
      <c r="G29" s="1"/>
      <c r="H29" s="1"/>
      <c r="I29" s="1"/>
      <c r="J29" s="1"/>
      <c r="K29" s="1"/>
      <c r="L29" s="21"/>
      <c r="O29" s="257"/>
      <c r="P29" s="422"/>
      <c r="Q29" s="422"/>
      <c r="R29" s="422"/>
      <c r="S29" s="422"/>
      <c r="T29" s="422"/>
      <c r="U29" s="422"/>
      <c r="V29" s="422"/>
      <c r="W29" s="422"/>
      <c r="X29" s="422"/>
      <c r="Y29" s="422"/>
    </row>
    <row r="30" spans="1:25" x14ac:dyDescent="0.3">
      <c r="A30" s="1"/>
      <c r="B30" s="1"/>
      <c r="C30" s="1"/>
      <c r="D30" s="1"/>
      <c r="E30" s="1"/>
      <c r="F30" s="1"/>
      <c r="G30" s="1"/>
      <c r="H30" s="1"/>
      <c r="I30" s="1"/>
      <c r="J30" s="1"/>
      <c r="K30" s="1"/>
      <c r="L30" s="21"/>
      <c r="O30" s="257"/>
      <c r="P30" s="422"/>
      <c r="Q30" s="422"/>
      <c r="R30" s="422"/>
      <c r="S30" s="422"/>
      <c r="T30" s="422"/>
      <c r="U30" s="422"/>
      <c r="V30" s="422"/>
      <c r="W30" s="422"/>
      <c r="X30" s="422"/>
      <c r="Y30" s="422"/>
    </row>
    <row r="31" spans="1:25" x14ac:dyDescent="0.3">
      <c r="A31" s="1" t="s">
        <v>31</v>
      </c>
      <c r="B31" s="1"/>
      <c r="C31" s="1"/>
      <c r="D31" s="1"/>
      <c r="E31" s="1"/>
      <c r="F31" s="1"/>
      <c r="G31" s="1"/>
      <c r="H31" s="1"/>
      <c r="I31" s="1"/>
      <c r="J31" s="1"/>
      <c r="K31" s="1"/>
      <c r="L31" s="21"/>
      <c r="O31" s="257"/>
      <c r="P31" s="422"/>
      <c r="Q31" s="422"/>
      <c r="R31" s="422"/>
      <c r="S31" s="422"/>
      <c r="T31" s="422"/>
      <c r="U31" s="422"/>
      <c r="V31" s="422"/>
      <c r="W31" s="422"/>
      <c r="X31" s="422"/>
      <c r="Y31" s="422"/>
    </row>
    <row r="32" spans="1:25" x14ac:dyDescent="0.3">
      <c r="A32" s="1"/>
      <c r="B32" s="219" t="s">
        <v>492</v>
      </c>
      <c r="C32" s="1"/>
      <c r="D32" s="1"/>
      <c r="E32" s="234">
        <v>0.5</v>
      </c>
      <c r="F32" s="1"/>
      <c r="G32" s="1"/>
      <c r="H32" s="1"/>
      <c r="I32" s="1"/>
      <c r="J32" s="1"/>
      <c r="K32" s="1"/>
      <c r="L32" s="21"/>
    </row>
    <row r="33" spans="1:25" x14ac:dyDescent="0.3">
      <c r="A33" s="1"/>
      <c r="B33" s="219" t="s">
        <v>493</v>
      </c>
      <c r="C33" s="1"/>
      <c r="D33" s="1"/>
      <c r="E33" s="277">
        <v>50000</v>
      </c>
      <c r="F33" s="1"/>
      <c r="G33" s="1"/>
      <c r="H33" s="1"/>
      <c r="I33" s="1"/>
      <c r="J33" s="1"/>
      <c r="K33" s="1"/>
      <c r="L33" s="21"/>
    </row>
    <row r="34" spans="1:25" x14ac:dyDescent="0.3">
      <c r="A34" s="1"/>
      <c r="B34" s="219" t="s">
        <v>494</v>
      </c>
      <c r="C34" s="1"/>
      <c r="D34" s="1"/>
      <c r="E34" s="234">
        <v>1.1000000000000001</v>
      </c>
      <c r="F34" s="1"/>
      <c r="G34" s="1"/>
      <c r="H34" s="1"/>
      <c r="I34" s="1"/>
      <c r="J34" s="1"/>
      <c r="K34" s="1"/>
      <c r="L34" s="21"/>
    </row>
    <row r="35" spans="1:25" x14ac:dyDescent="0.3">
      <c r="A35" s="1"/>
      <c r="B35" s="219" t="s">
        <v>495</v>
      </c>
      <c r="C35" s="1"/>
      <c r="D35" s="1"/>
      <c r="E35" s="277">
        <v>100000</v>
      </c>
      <c r="F35" s="1"/>
      <c r="G35" s="1"/>
      <c r="H35" s="1"/>
      <c r="I35" s="1"/>
      <c r="J35" s="1"/>
      <c r="K35" s="1"/>
      <c r="L35" s="21"/>
      <c r="O35" s="131"/>
      <c r="P35" s="131"/>
    </row>
    <row r="36" spans="1:25" x14ac:dyDescent="0.3">
      <c r="A36" s="1"/>
      <c r="B36" s="219"/>
      <c r="C36" s="1"/>
      <c r="D36" s="1"/>
      <c r="E36" s="1"/>
      <c r="F36" s="1"/>
      <c r="G36" s="1"/>
      <c r="H36" s="1"/>
      <c r="I36" s="1"/>
      <c r="J36" s="1"/>
      <c r="K36" s="1"/>
      <c r="L36" s="21"/>
      <c r="O36" s="131"/>
      <c r="P36" s="131"/>
    </row>
    <row r="37" spans="1:25" x14ac:dyDescent="0.3">
      <c r="A37" s="1"/>
      <c r="B37" s="423" t="s">
        <v>496</v>
      </c>
      <c r="C37" s="424"/>
      <c r="D37" s="424"/>
      <c r="E37" s="9" t="s">
        <v>497</v>
      </c>
      <c r="F37" s="1"/>
      <c r="G37" s="1"/>
      <c r="H37" s="1"/>
      <c r="I37" s="1"/>
      <c r="J37" s="1"/>
      <c r="K37" s="1"/>
      <c r="L37" s="21"/>
      <c r="O37" s="131"/>
      <c r="P37" s="131"/>
    </row>
    <row r="38" spans="1:25" x14ac:dyDescent="0.3">
      <c r="A38" s="1"/>
      <c r="B38" s="211" t="s">
        <v>498</v>
      </c>
      <c r="C38" s="1"/>
      <c r="D38" s="1"/>
      <c r="E38" s="425">
        <v>600</v>
      </c>
      <c r="F38" s="1"/>
      <c r="G38" s="1"/>
      <c r="H38" s="1"/>
      <c r="I38" s="1"/>
      <c r="J38" s="1"/>
      <c r="K38" s="1"/>
      <c r="L38" s="21"/>
      <c r="O38" s="131"/>
      <c r="P38" s="131"/>
    </row>
    <row r="39" spans="1:25" x14ac:dyDescent="0.3">
      <c r="A39" s="1"/>
      <c r="B39" s="211" t="s">
        <v>499</v>
      </c>
      <c r="C39" s="1"/>
      <c r="D39" s="1"/>
      <c r="E39" s="425">
        <v>50</v>
      </c>
      <c r="F39" s="1"/>
      <c r="G39" s="1"/>
      <c r="H39" s="234"/>
      <c r="I39" s="1"/>
      <c r="J39" s="1"/>
      <c r="K39" s="1"/>
      <c r="L39" s="21"/>
      <c r="O39" s="131"/>
      <c r="P39" s="131"/>
    </row>
    <row r="40" spans="1:25" x14ac:dyDescent="0.3">
      <c r="A40" s="1"/>
      <c r="B40" s="211" t="s">
        <v>500</v>
      </c>
      <c r="C40" s="1"/>
      <c r="D40" s="1"/>
      <c r="E40" s="425">
        <v>10</v>
      </c>
      <c r="F40" s="1"/>
      <c r="G40" s="1"/>
      <c r="H40" s="234"/>
      <c r="I40" s="1"/>
      <c r="J40" s="1"/>
      <c r="K40" s="1"/>
      <c r="L40" s="21"/>
      <c r="O40" s="131"/>
      <c r="P40" s="131"/>
    </row>
    <row r="41" spans="1:25" x14ac:dyDescent="0.3">
      <c r="A41" s="1"/>
      <c r="B41" s="211" t="s">
        <v>501</v>
      </c>
      <c r="C41" s="1"/>
      <c r="D41" s="1"/>
      <c r="E41" s="425">
        <v>150</v>
      </c>
      <c r="F41" s="1"/>
      <c r="G41" s="1"/>
      <c r="H41" s="234"/>
      <c r="I41" s="1"/>
      <c r="J41" s="1"/>
      <c r="K41" s="1"/>
      <c r="L41" s="21"/>
    </row>
    <row r="42" spans="1:25" x14ac:dyDescent="0.3">
      <c r="A42" s="1"/>
      <c r="B42" s="426" t="s">
        <v>502</v>
      </c>
      <c r="C42" s="60"/>
      <c r="D42" s="60"/>
      <c r="E42" s="61">
        <v>115</v>
      </c>
      <c r="F42" s="1"/>
      <c r="G42" s="1"/>
      <c r="H42" s="234"/>
      <c r="I42" s="1"/>
      <c r="J42" s="1"/>
      <c r="K42" s="1"/>
      <c r="L42" s="21"/>
    </row>
    <row r="43" spans="1:25" x14ac:dyDescent="0.3">
      <c r="A43" s="1"/>
      <c r="B43" s="1"/>
      <c r="C43" s="1"/>
      <c r="D43" s="1"/>
      <c r="E43" s="1"/>
      <c r="F43" s="1"/>
      <c r="G43" s="1"/>
      <c r="H43" s="1"/>
      <c r="I43" s="1"/>
      <c r="J43" s="1"/>
      <c r="K43" s="1"/>
      <c r="L43" s="21"/>
    </row>
    <row r="44" spans="1:25" x14ac:dyDescent="0.3">
      <c r="A44" s="1"/>
      <c r="B44" s="1" t="s">
        <v>503</v>
      </c>
      <c r="C44" s="1"/>
      <c r="D44" s="1"/>
      <c r="E44" s="1"/>
      <c r="F44" s="1"/>
      <c r="G44" s="1"/>
      <c r="H44" s="1"/>
      <c r="I44" s="1"/>
      <c r="J44" s="1"/>
      <c r="K44" s="1"/>
      <c r="L44" s="21"/>
    </row>
    <row r="45" spans="1:25" x14ac:dyDescent="0.3">
      <c r="A45" s="1"/>
      <c r="B45" s="1"/>
      <c r="C45" s="1"/>
      <c r="D45" s="1"/>
      <c r="E45" s="1"/>
      <c r="F45" s="1"/>
      <c r="G45" s="1"/>
      <c r="H45" s="1"/>
      <c r="I45" s="1"/>
      <c r="J45" s="1"/>
      <c r="K45" s="1"/>
      <c r="L45" s="21"/>
    </row>
    <row r="46" spans="1:25" x14ac:dyDescent="0.3">
      <c r="A46" s="1"/>
      <c r="B46" s="1" t="s">
        <v>504</v>
      </c>
      <c r="C46" s="1"/>
      <c r="D46" s="1"/>
      <c r="E46" s="1"/>
      <c r="F46" s="1"/>
      <c r="G46" s="1"/>
      <c r="H46" s="1"/>
      <c r="I46" s="1"/>
      <c r="J46" s="1"/>
      <c r="K46" s="1"/>
      <c r="L46" s="21"/>
    </row>
    <row r="47" spans="1:25" x14ac:dyDescent="0.3">
      <c r="A47" s="1"/>
      <c r="B47" s="423" t="s">
        <v>505</v>
      </c>
      <c r="C47" s="427" t="s">
        <v>506</v>
      </c>
      <c r="D47" s="1"/>
      <c r="E47" s="1"/>
      <c r="F47" s="1"/>
      <c r="G47" s="1"/>
      <c r="H47" s="1"/>
      <c r="I47" s="1"/>
      <c r="J47" s="1"/>
      <c r="K47" s="1"/>
      <c r="L47" s="21"/>
    </row>
    <row r="48" spans="1:25" x14ac:dyDescent="0.3">
      <c r="A48" s="1"/>
      <c r="B48" s="428">
        <v>1</v>
      </c>
      <c r="C48" s="429">
        <v>300000</v>
      </c>
      <c r="D48" s="1"/>
      <c r="E48" s="1"/>
      <c r="F48" s="1"/>
      <c r="G48" s="1"/>
      <c r="H48" s="1"/>
      <c r="I48" s="1"/>
      <c r="J48" s="1"/>
      <c r="K48" s="1"/>
      <c r="L48" s="21"/>
      <c r="Y48" s="21"/>
    </row>
    <row r="49" spans="1:25" x14ac:dyDescent="0.3">
      <c r="A49" s="1"/>
      <c r="B49" s="430">
        <v>2</v>
      </c>
      <c r="C49" s="431">
        <v>145000</v>
      </c>
      <c r="D49" s="1"/>
      <c r="E49" s="1"/>
      <c r="F49" s="1"/>
      <c r="G49" s="1"/>
      <c r="H49" s="1"/>
      <c r="I49" s="1"/>
      <c r="J49" s="1"/>
      <c r="K49" s="1"/>
      <c r="L49" s="21"/>
      <c r="Y49" s="21"/>
    </row>
    <row r="50" spans="1:25" x14ac:dyDescent="0.3">
      <c r="A50" s="1"/>
      <c r="B50" s="1"/>
      <c r="C50" s="1"/>
      <c r="D50" s="1"/>
      <c r="E50" s="1"/>
      <c r="F50" s="1"/>
      <c r="G50" s="1"/>
      <c r="H50" s="1"/>
      <c r="I50" s="1"/>
      <c r="J50" s="1"/>
      <c r="K50" s="1"/>
      <c r="L50" s="21"/>
      <c r="P50" s="20"/>
      <c r="Y50" s="21"/>
    </row>
    <row r="51" spans="1:25" x14ac:dyDescent="0.3">
      <c r="A51" s="1"/>
      <c r="B51" s="55" t="s">
        <v>507</v>
      </c>
      <c r="C51" s="376" t="s">
        <v>506</v>
      </c>
      <c r="D51" s="1"/>
      <c r="E51" s="1"/>
      <c r="F51" s="1"/>
      <c r="G51" s="1"/>
      <c r="H51" s="1"/>
      <c r="I51" s="1"/>
      <c r="J51" s="1"/>
      <c r="K51" s="1"/>
      <c r="L51" s="21"/>
      <c r="Y51" s="21"/>
    </row>
    <row r="52" spans="1:25" x14ac:dyDescent="0.3">
      <c r="A52" s="1"/>
      <c r="B52" s="6" t="s">
        <v>508</v>
      </c>
      <c r="C52" s="138">
        <v>105000</v>
      </c>
      <c r="D52" s="1"/>
      <c r="E52" s="1"/>
      <c r="F52" s="1"/>
      <c r="G52" s="1"/>
      <c r="H52" s="1"/>
      <c r="I52" s="1"/>
      <c r="J52" s="1"/>
      <c r="K52" s="1"/>
      <c r="L52" s="21"/>
      <c r="P52" s="47"/>
      <c r="R52" s="113"/>
      <c r="S52" s="113"/>
      <c r="T52" s="113"/>
      <c r="Y52" s="21"/>
    </row>
    <row r="53" spans="1:25" x14ac:dyDescent="0.3">
      <c r="A53" s="1"/>
      <c r="B53" s="6" t="s">
        <v>509</v>
      </c>
      <c r="C53" s="138">
        <v>80000</v>
      </c>
      <c r="D53" s="1"/>
      <c r="E53" s="1"/>
      <c r="F53" s="1"/>
      <c r="G53" s="1"/>
      <c r="H53" s="1"/>
      <c r="I53" s="1"/>
      <c r="J53" s="1"/>
      <c r="K53" s="1"/>
      <c r="L53" s="21"/>
      <c r="P53" s="47"/>
      <c r="R53" s="113"/>
      <c r="S53" s="113"/>
      <c r="T53" s="113"/>
      <c r="Y53" s="21"/>
    </row>
    <row r="54" spans="1:25" x14ac:dyDescent="0.3">
      <c r="A54" s="1"/>
      <c r="B54" s="6" t="s">
        <v>510</v>
      </c>
      <c r="C54" s="138">
        <v>150000</v>
      </c>
      <c r="D54" s="1"/>
      <c r="E54" s="1"/>
      <c r="F54" s="1"/>
      <c r="G54" s="1"/>
      <c r="H54" s="1"/>
      <c r="I54" s="1"/>
      <c r="J54" s="1"/>
      <c r="K54" s="1"/>
      <c r="L54" s="21"/>
      <c r="P54" s="47"/>
      <c r="R54" s="113"/>
      <c r="S54" s="113"/>
      <c r="T54" s="113"/>
      <c r="Y54" s="21"/>
    </row>
    <row r="55" spans="1:25" x14ac:dyDescent="0.3">
      <c r="A55" s="1"/>
      <c r="B55" s="6" t="s">
        <v>511</v>
      </c>
      <c r="C55" s="138">
        <v>60000</v>
      </c>
      <c r="D55" s="1"/>
      <c r="E55" s="1"/>
      <c r="F55" s="1"/>
      <c r="G55" s="1"/>
      <c r="H55" s="1"/>
      <c r="I55" s="1"/>
      <c r="J55" s="1"/>
      <c r="K55" s="1"/>
      <c r="L55" s="21"/>
      <c r="R55" s="113"/>
      <c r="S55" s="113"/>
      <c r="T55" s="113"/>
      <c r="Y55" s="21"/>
    </row>
    <row r="56" spans="1:25" x14ac:dyDescent="0.3">
      <c r="A56" s="1"/>
      <c r="B56" s="6" t="s">
        <v>512</v>
      </c>
      <c r="C56" s="138">
        <v>86000</v>
      </c>
      <c r="D56" s="1"/>
      <c r="E56" s="1"/>
      <c r="F56" s="1"/>
      <c r="G56" s="1"/>
      <c r="H56" s="1"/>
      <c r="I56" s="1"/>
      <c r="J56" s="1"/>
      <c r="K56" s="1"/>
      <c r="L56" s="21"/>
      <c r="R56" s="113"/>
      <c r="S56" s="113"/>
      <c r="T56" s="113"/>
      <c r="Y56" s="21"/>
    </row>
    <row r="57" spans="1:25" x14ac:dyDescent="0.3">
      <c r="A57" s="1"/>
      <c r="B57" s="6" t="s">
        <v>513</v>
      </c>
      <c r="C57" s="138">
        <v>170000</v>
      </c>
      <c r="D57" s="1"/>
      <c r="E57" s="1"/>
      <c r="F57" s="1"/>
      <c r="G57" s="1"/>
      <c r="H57" s="1"/>
      <c r="I57" s="1"/>
      <c r="J57" s="1"/>
      <c r="K57" s="1"/>
      <c r="L57" s="21"/>
      <c r="R57" s="113"/>
      <c r="S57" s="113"/>
      <c r="T57" s="113"/>
      <c r="Y57" s="21"/>
    </row>
    <row r="58" spans="1:25" x14ac:dyDescent="0.3">
      <c r="A58" s="1"/>
      <c r="B58" s="6" t="s">
        <v>514</v>
      </c>
      <c r="C58" s="138">
        <v>79000</v>
      </c>
      <c r="D58" s="1"/>
      <c r="E58" s="1"/>
      <c r="F58" s="1"/>
      <c r="G58" s="1"/>
      <c r="H58" s="1"/>
      <c r="I58" s="1"/>
      <c r="J58" s="1"/>
      <c r="K58" s="1"/>
      <c r="L58" s="21"/>
      <c r="R58" s="113"/>
      <c r="S58" s="113"/>
      <c r="T58" s="113"/>
      <c r="Y58" s="21"/>
    </row>
    <row r="59" spans="1:25" x14ac:dyDescent="0.3">
      <c r="A59" s="1"/>
      <c r="B59" s="6" t="s">
        <v>515</v>
      </c>
      <c r="C59" s="138">
        <v>55000</v>
      </c>
      <c r="D59" s="1"/>
      <c r="E59" s="1"/>
      <c r="F59" s="1"/>
      <c r="G59" s="1"/>
      <c r="H59" s="1"/>
      <c r="I59" s="1"/>
      <c r="J59" s="1"/>
      <c r="K59" s="1"/>
      <c r="L59" s="21"/>
      <c r="R59" s="113"/>
      <c r="S59" s="113"/>
      <c r="T59" s="113"/>
      <c r="Y59" s="21"/>
    </row>
    <row r="60" spans="1:25" x14ac:dyDescent="0.3">
      <c r="A60" s="1"/>
      <c r="B60" s="6" t="s">
        <v>516</v>
      </c>
      <c r="C60" s="138">
        <v>79000</v>
      </c>
      <c r="D60" s="1"/>
      <c r="E60" s="1"/>
      <c r="F60" s="1"/>
      <c r="G60" s="1"/>
      <c r="H60" s="1"/>
      <c r="I60" s="1"/>
      <c r="J60" s="1"/>
      <c r="K60" s="1"/>
      <c r="L60" s="21"/>
      <c r="R60" s="113"/>
      <c r="S60" s="113"/>
      <c r="T60" s="113"/>
      <c r="Y60" s="21"/>
    </row>
    <row r="61" spans="1:25" x14ac:dyDescent="0.3">
      <c r="A61" s="1"/>
      <c r="B61" s="6" t="s">
        <v>517</v>
      </c>
      <c r="C61" s="138">
        <v>81000</v>
      </c>
      <c r="D61" s="1"/>
      <c r="E61" s="1"/>
      <c r="F61" s="1"/>
      <c r="G61" s="1"/>
      <c r="H61" s="1"/>
      <c r="I61" s="1"/>
      <c r="J61" s="1"/>
      <c r="K61" s="1"/>
      <c r="L61" s="21"/>
      <c r="R61" s="113"/>
      <c r="S61" s="113"/>
      <c r="T61" s="113"/>
      <c r="Y61" s="21"/>
    </row>
    <row r="62" spans="1:25" x14ac:dyDescent="0.3">
      <c r="A62" s="1"/>
      <c r="B62" s="6" t="s">
        <v>518</v>
      </c>
      <c r="C62" s="138">
        <v>90000</v>
      </c>
      <c r="D62" s="1"/>
      <c r="E62" s="1"/>
      <c r="F62" s="1"/>
      <c r="G62" s="1"/>
      <c r="H62" s="1"/>
      <c r="I62" s="1"/>
      <c r="J62" s="1"/>
      <c r="K62" s="1"/>
      <c r="L62" s="21"/>
      <c r="R62" s="113"/>
      <c r="S62" s="113"/>
      <c r="T62" s="113"/>
      <c r="Y62" s="21"/>
    </row>
    <row r="63" spans="1:25" x14ac:dyDescent="0.3">
      <c r="A63" s="1"/>
      <c r="B63" s="6" t="s">
        <v>519</v>
      </c>
      <c r="C63" s="138">
        <v>175000</v>
      </c>
      <c r="D63" s="1"/>
      <c r="E63" s="1"/>
      <c r="F63" s="1"/>
      <c r="G63" s="1"/>
      <c r="H63" s="1"/>
      <c r="I63" s="1"/>
      <c r="J63" s="1"/>
      <c r="K63" s="1"/>
      <c r="L63" s="21"/>
      <c r="R63" s="113"/>
      <c r="S63" s="113"/>
      <c r="T63" s="113"/>
      <c r="Y63" s="21"/>
    </row>
    <row r="64" spans="1:25" x14ac:dyDescent="0.3">
      <c r="A64" s="1"/>
      <c r="B64" s="6" t="s">
        <v>14</v>
      </c>
      <c r="C64" s="138">
        <f>SUM(C52:C63)</f>
        <v>1210000</v>
      </c>
      <c r="D64" s="1"/>
      <c r="E64" s="1"/>
      <c r="F64" s="1"/>
      <c r="G64" s="1"/>
      <c r="H64" s="1"/>
      <c r="I64" s="1"/>
      <c r="J64" s="1"/>
      <c r="K64" s="1"/>
      <c r="L64" s="21"/>
      <c r="R64" s="113"/>
      <c r="S64" s="113"/>
      <c r="T64" s="113"/>
      <c r="Y64" s="21"/>
    </row>
    <row r="65" spans="1:25" x14ac:dyDescent="0.3">
      <c r="A65" s="1"/>
      <c r="B65" s="1"/>
      <c r="C65" s="1"/>
      <c r="D65" s="1"/>
      <c r="E65" s="1"/>
      <c r="F65" s="1"/>
      <c r="G65" s="1"/>
      <c r="H65" s="1"/>
      <c r="I65" s="1"/>
      <c r="J65" s="1"/>
      <c r="K65" s="1"/>
      <c r="L65" s="21"/>
      <c r="R65" s="113"/>
      <c r="S65" s="113"/>
      <c r="T65" s="113"/>
      <c r="Y65" s="21"/>
    </row>
    <row r="66" spans="1:25" x14ac:dyDescent="0.3">
      <c r="A66" s="1"/>
      <c r="B66" s="1"/>
      <c r="C66" s="1"/>
      <c r="D66" s="1"/>
      <c r="E66" s="1"/>
      <c r="F66" s="1"/>
      <c r="G66" s="1"/>
      <c r="H66" s="1"/>
      <c r="I66" s="1"/>
      <c r="J66" s="1"/>
      <c r="K66" s="1"/>
      <c r="L66" s="21"/>
      <c r="R66" s="113"/>
      <c r="S66" s="113"/>
      <c r="T66" s="113"/>
      <c r="Y66" s="21"/>
    </row>
    <row r="67" spans="1:25" x14ac:dyDescent="0.3">
      <c r="A67" s="13" t="s">
        <v>15</v>
      </c>
      <c r="B67" s="1" t="s">
        <v>30</v>
      </c>
      <c r="C67" s="1" t="s">
        <v>520</v>
      </c>
      <c r="D67" s="1"/>
      <c r="E67" s="1"/>
      <c r="F67" s="1"/>
      <c r="G67" s="1"/>
      <c r="H67" s="1"/>
      <c r="I67" s="1"/>
      <c r="J67" s="1"/>
      <c r="K67" s="1"/>
      <c r="L67" s="21"/>
      <c r="R67" s="113"/>
      <c r="S67" s="113"/>
      <c r="T67" s="113"/>
      <c r="Y67" s="21"/>
    </row>
    <row r="68" spans="1:25" x14ac:dyDescent="0.3">
      <c r="A68" s="13"/>
      <c r="B68" s="219" t="s">
        <v>12</v>
      </c>
      <c r="C68" s="1"/>
      <c r="D68" s="1"/>
      <c r="E68" s="1"/>
      <c r="F68" s="1"/>
      <c r="G68" s="1"/>
      <c r="H68" s="1"/>
      <c r="I68" s="1"/>
      <c r="J68" s="1"/>
      <c r="K68" s="1"/>
      <c r="L68" s="21"/>
      <c r="R68" s="113"/>
      <c r="S68" s="113"/>
      <c r="T68" s="113"/>
      <c r="Y68" s="21"/>
    </row>
    <row r="69" spans="1:25" x14ac:dyDescent="0.3">
      <c r="A69" s="1"/>
      <c r="B69" s="219"/>
      <c r="C69" s="1"/>
      <c r="D69" s="1"/>
      <c r="E69" s="1"/>
      <c r="F69" s="1"/>
      <c r="G69" s="1"/>
      <c r="H69" s="1"/>
      <c r="I69" s="1"/>
      <c r="J69" s="1"/>
      <c r="K69" s="1"/>
      <c r="L69" s="21"/>
      <c r="N69" s="47" t="s">
        <v>15</v>
      </c>
      <c r="R69" s="113"/>
      <c r="S69" s="113"/>
      <c r="T69" s="113"/>
      <c r="Y69" s="21"/>
    </row>
    <row r="70" spans="1:25" x14ac:dyDescent="0.3">
      <c r="A70" s="2" t="s">
        <v>521</v>
      </c>
      <c r="L70" s="21"/>
      <c r="O70" s="432" t="s">
        <v>522</v>
      </c>
      <c r="R70" s="113"/>
      <c r="S70" s="113"/>
      <c r="T70" s="113"/>
      <c r="Y70" s="21"/>
    </row>
    <row r="71" spans="1:25" x14ac:dyDescent="0.3">
      <c r="L71" s="21"/>
      <c r="O71" s="2" t="s">
        <v>523</v>
      </c>
      <c r="R71" s="433">
        <f>(+E38+E40+E41)*12*E42</f>
        <v>1048800</v>
      </c>
      <c r="Y71" s="21"/>
    </row>
    <row r="72" spans="1:25" x14ac:dyDescent="0.3">
      <c r="L72" s="21"/>
      <c r="O72" s="2" t="s">
        <v>524</v>
      </c>
      <c r="R72" s="433">
        <f>+C64</f>
        <v>1210000</v>
      </c>
      <c r="Y72" s="21"/>
    </row>
    <row r="73" spans="1:25" x14ac:dyDescent="0.3">
      <c r="L73" s="21"/>
      <c r="O73" s="2" t="s">
        <v>525</v>
      </c>
      <c r="R73" s="433">
        <f>SUM(R75:R76)</f>
        <v>295000</v>
      </c>
      <c r="Y73" s="21"/>
    </row>
    <row r="74" spans="1:25" x14ac:dyDescent="0.3">
      <c r="L74" s="21"/>
      <c r="P74" s="2" t="s">
        <v>526</v>
      </c>
      <c r="Y74" s="21"/>
    </row>
    <row r="75" spans="1:25" x14ac:dyDescent="0.3">
      <c r="L75" s="21"/>
      <c r="Q75" s="2" t="s">
        <v>527</v>
      </c>
      <c r="R75" s="433">
        <f>+C48-V75</f>
        <v>250000</v>
      </c>
      <c r="S75" s="2" t="s">
        <v>528</v>
      </c>
      <c r="V75" s="434">
        <f>E33</f>
        <v>50000</v>
      </c>
      <c r="Y75" s="21"/>
    </row>
    <row r="76" spans="1:25" x14ac:dyDescent="0.3">
      <c r="L76" s="21"/>
      <c r="Q76" s="2" t="s">
        <v>529</v>
      </c>
      <c r="R76" s="433">
        <f>+C49-V76</f>
        <v>45000</v>
      </c>
      <c r="S76" s="2" t="s">
        <v>530</v>
      </c>
      <c r="V76" s="434">
        <f>E35</f>
        <v>100000</v>
      </c>
      <c r="Y76" s="21"/>
    </row>
    <row r="77" spans="1:25" x14ac:dyDescent="0.3">
      <c r="L77" s="21"/>
      <c r="Y77" s="21"/>
    </row>
    <row r="78" spans="1:25" x14ac:dyDescent="0.3">
      <c r="L78" s="21"/>
      <c r="O78" s="257" t="s">
        <v>531</v>
      </c>
      <c r="R78" s="433">
        <f>+R72-R73</f>
        <v>915000</v>
      </c>
      <c r="Y78" s="21"/>
    </row>
    <row r="79" spans="1:25" x14ac:dyDescent="0.3">
      <c r="L79" s="21"/>
      <c r="O79" s="257" t="s">
        <v>532</v>
      </c>
      <c r="R79" s="433"/>
      <c r="Y79" s="21"/>
    </row>
    <row r="80" spans="1:25" x14ac:dyDescent="0.3">
      <c r="L80" s="21"/>
      <c r="O80" s="257"/>
      <c r="P80" s="2" t="s">
        <v>533</v>
      </c>
      <c r="R80" s="434">
        <f>R78-V80</f>
        <v>4200</v>
      </c>
      <c r="S80" s="2" t="s">
        <v>534</v>
      </c>
      <c r="V80" s="433">
        <f>+E38*1.1*12*E42</f>
        <v>910800</v>
      </c>
      <c r="Y80" s="21"/>
    </row>
    <row r="81" spans="1:25" x14ac:dyDescent="0.3">
      <c r="L81" s="21"/>
      <c r="O81" s="257"/>
      <c r="R81" s="434"/>
      <c r="Y81" s="21"/>
    </row>
    <row r="82" spans="1:25" x14ac:dyDescent="0.3">
      <c r="A82" s="3" t="s">
        <v>2</v>
      </c>
      <c r="B82" s="3"/>
      <c r="C82" s="3"/>
      <c r="D82" s="3"/>
      <c r="E82" s="3"/>
      <c r="F82" s="3"/>
      <c r="G82" s="3"/>
      <c r="H82" s="3"/>
      <c r="I82" s="3"/>
      <c r="J82" s="3"/>
      <c r="K82" s="3"/>
      <c r="L82" s="3"/>
      <c r="O82" s="257" t="s">
        <v>535</v>
      </c>
      <c r="R82" s="433">
        <f>R78-R80</f>
        <v>910800</v>
      </c>
      <c r="Y82" s="21"/>
    </row>
    <row r="83" spans="1:25" x14ac:dyDescent="0.3">
      <c r="L83" s="21"/>
      <c r="O83" s="435" t="s">
        <v>536</v>
      </c>
      <c r="P83" s="435"/>
      <c r="Q83" s="435"/>
      <c r="R83" s="436">
        <f>+R71-R82</f>
        <v>138000</v>
      </c>
      <c r="Y83" s="21"/>
    </row>
    <row r="84" spans="1:25" x14ac:dyDescent="0.3">
      <c r="L84" s="21"/>
      <c r="O84" s="437" t="s">
        <v>537</v>
      </c>
      <c r="P84" s="267"/>
      <c r="Q84" s="438"/>
      <c r="R84" s="439">
        <f>+R83*E32</f>
        <v>69000</v>
      </c>
      <c r="Y84" s="21"/>
    </row>
    <row r="85" spans="1:25" x14ac:dyDescent="0.3">
      <c r="L85" s="21"/>
      <c r="Y85" s="21"/>
    </row>
    <row r="86" spans="1:25" x14ac:dyDescent="0.3">
      <c r="L86" s="21"/>
      <c r="Y86" s="21"/>
    </row>
    <row r="87" spans="1:25" x14ac:dyDescent="0.3">
      <c r="L87" s="21"/>
      <c r="Y87" s="21"/>
    </row>
    <row r="88" spans="1:25" ht="16.2" x14ac:dyDescent="0.35">
      <c r="L88" s="21"/>
      <c r="O88" s="440" t="s">
        <v>538</v>
      </c>
      <c r="Y88" s="21"/>
    </row>
    <row r="89" spans="1:25" x14ac:dyDescent="0.3">
      <c r="L89" s="21"/>
      <c r="O89" s="131"/>
      <c r="P89" s="131"/>
      <c r="Q89" s="131"/>
      <c r="Y89" s="21"/>
    </row>
    <row r="90" spans="1:25" x14ac:dyDescent="0.3">
      <c r="L90" s="21"/>
      <c r="O90" s="131"/>
      <c r="P90" s="131"/>
      <c r="Q90" s="131"/>
      <c r="Y90" s="21"/>
    </row>
    <row r="91" spans="1:25" x14ac:dyDescent="0.3">
      <c r="L91" s="21"/>
      <c r="O91" s="131"/>
      <c r="P91" s="131"/>
      <c r="Q91" s="131"/>
      <c r="Y91" s="21"/>
    </row>
    <row r="92" spans="1:25" x14ac:dyDescent="0.3">
      <c r="L92" s="21"/>
      <c r="O92" s="131"/>
      <c r="P92" s="131"/>
      <c r="Q92" s="131"/>
      <c r="Y92" s="21"/>
    </row>
    <row r="93" spans="1:25" x14ac:dyDescent="0.3">
      <c r="L93" s="21"/>
      <c r="O93" s="131"/>
      <c r="P93" s="131"/>
      <c r="Q93" s="131"/>
      <c r="Y93" s="21"/>
    </row>
    <row r="94" spans="1:25" x14ac:dyDescent="0.3">
      <c r="L94" s="21"/>
      <c r="O94" s="131"/>
      <c r="P94" s="131"/>
      <c r="Q94" s="131"/>
      <c r="Y94" s="21"/>
    </row>
    <row r="95" spans="1:25" x14ac:dyDescent="0.3">
      <c r="L95" s="21"/>
      <c r="O95" s="131"/>
      <c r="P95" s="131"/>
      <c r="Q95" s="131"/>
      <c r="Y95" s="21"/>
    </row>
    <row r="96" spans="1:25" x14ac:dyDescent="0.3">
      <c r="L96" s="21"/>
      <c r="O96" s="131"/>
      <c r="P96" s="131"/>
      <c r="Q96" s="131"/>
      <c r="Y96" s="21"/>
    </row>
    <row r="97" spans="1:25" x14ac:dyDescent="0.3">
      <c r="L97" s="21"/>
      <c r="Y97" s="21"/>
    </row>
    <row r="98" spans="1:25" x14ac:dyDescent="0.3">
      <c r="L98" s="21"/>
      <c r="R98" s="20"/>
      <c r="Y98" s="21"/>
    </row>
    <row r="99" spans="1:25" s="3" customFormat="1" x14ac:dyDescent="0.3">
      <c r="A99" s="2"/>
      <c r="B99" s="2"/>
      <c r="C99" s="2"/>
      <c r="D99" s="2"/>
      <c r="E99" s="2"/>
      <c r="F99" s="2"/>
      <c r="G99" s="2"/>
      <c r="H99" s="2"/>
      <c r="I99" s="2"/>
      <c r="J99" s="2"/>
      <c r="K99" s="2"/>
      <c r="L99" s="21"/>
    </row>
  </sheetData>
  <mergeCells count="1">
    <mergeCell ref="O27:Y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3F49-27B5-CA40-916B-819E448D21AB}">
  <sheetPr>
    <tabColor rgb="FFFFFF00"/>
  </sheetPr>
  <dimension ref="A1:R54"/>
  <sheetViews>
    <sheetView zoomScale="90" zoomScaleNormal="90" workbookViewId="0">
      <pane ySplit="9" topLeftCell="A10" activePane="bottomLeft" state="frozen"/>
      <selection activeCell="B26" sqref="B26"/>
      <selection pane="bottomLeft"/>
    </sheetView>
  </sheetViews>
  <sheetFormatPr defaultColWidth="8.77734375" defaultRowHeight="13.8" x14ac:dyDescent="0.25"/>
  <cols>
    <col min="1" max="1" width="13.77734375" style="442" customWidth="1"/>
    <col min="2" max="2" width="13.109375" style="442" customWidth="1"/>
    <col min="3" max="3" width="13.44140625" style="442" customWidth="1"/>
    <col min="4" max="4" width="22.109375" style="442" customWidth="1"/>
    <col min="5" max="5" width="13.109375" style="442" bestFit="1" customWidth="1"/>
    <col min="6" max="6" width="8.44140625" style="12" customWidth="1"/>
    <col min="7" max="7" width="9.44140625" style="12" customWidth="1"/>
    <col min="8" max="8" width="10.77734375" style="231" customWidth="1"/>
    <col min="9" max="9" width="16.44140625" style="299" customWidth="1"/>
    <col min="10" max="10" width="17.77734375" style="299" customWidth="1"/>
    <col min="11" max="11" width="22.109375" style="299" customWidth="1"/>
    <col min="12" max="12" width="8.77734375" style="12"/>
    <col min="13" max="13" width="8.44140625" style="12" customWidth="1"/>
    <col min="14" max="14" width="9.44140625" style="12" customWidth="1"/>
    <col min="15" max="15" width="10.77734375" style="231" customWidth="1"/>
    <col min="16" max="16" width="14.6640625" style="299" customWidth="1"/>
    <col min="17" max="17" width="16.33203125" style="299" customWidth="1"/>
    <col min="18" max="18" width="20.6640625" style="299" customWidth="1"/>
    <col min="19" max="16384" width="8.77734375" style="12"/>
  </cols>
  <sheetData>
    <row r="1" spans="1:18" x14ac:dyDescent="0.25">
      <c r="A1" s="441" t="s">
        <v>207</v>
      </c>
      <c r="B1" s="441"/>
      <c r="C1" s="441"/>
      <c r="D1" s="441"/>
      <c r="F1" s="443"/>
      <c r="G1" s="443"/>
      <c r="H1" s="443"/>
      <c r="I1" s="443"/>
      <c r="J1" s="443"/>
      <c r="K1" s="443"/>
      <c r="M1" s="443"/>
      <c r="N1" s="443"/>
      <c r="O1" s="443"/>
      <c r="P1" s="443"/>
      <c r="Q1" s="443"/>
      <c r="R1" s="443"/>
    </row>
    <row r="2" spans="1:18" x14ac:dyDescent="0.25">
      <c r="A2" s="444" t="s">
        <v>208</v>
      </c>
      <c r="B2" s="444"/>
      <c r="C2" s="444"/>
      <c r="D2" s="445">
        <v>1500</v>
      </c>
      <c r="F2" s="443"/>
      <c r="G2" s="443"/>
      <c r="H2" s="443"/>
      <c r="I2" s="443"/>
      <c r="J2" s="443"/>
      <c r="K2" s="443"/>
      <c r="M2" s="443"/>
      <c r="N2" s="443"/>
      <c r="O2" s="443"/>
      <c r="P2" s="443"/>
      <c r="Q2" s="443"/>
      <c r="R2" s="443"/>
    </row>
    <row r="3" spans="1:18" x14ac:dyDescent="0.25">
      <c r="A3" s="444" t="s">
        <v>209</v>
      </c>
      <c r="B3" s="444"/>
      <c r="C3" s="444"/>
      <c r="D3" s="446">
        <v>0.1</v>
      </c>
      <c r="F3" s="447"/>
      <c r="G3" s="447"/>
      <c r="H3" s="447"/>
      <c r="I3" s="447"/>
      <c r="J3" s="447"/>
      <c r="K3" s="447"/>
      <c r="M3" s="447"/>
      <c r="N3" s="447"/>
      <c r="O3" s="447"/>
      <c r="P3" s="447"/>
      <c r="Q3" s="447"/>
      <c r="R3" s="447"/>
    </row>
    <row r="4" spans="1:18" x14ac:dyDescent="0.25">
      <c r="A4" s="448" t="s">
        <v>210</v>
      </c>
      <c r="B4" s="448"/>
      <c r="C4" s="448"/>
      <c r="D4" s="449">
        <v>5000</v>
      </c>
      <c r="F4" s="447"/>
      <c r="G4" s="447"/>
      <c r="H4" s="447"/>
      <c r="I4" s="447"/>
      <c r="J4" s="447"/>
      <c r="K4" s="450"/>
      <c r="M4" s="447"/>
      <c r="O4" s="451"/>
      <c r="R4" s="450"/>
    </row>
    <row r="5" spans="1:18" x14ac:dyDescent="0.25">
      <c r="F5" s="447"/>
      <c r="G5" s="447"/>
      <c r="H5" s="447"/>
      <c r="I5" s="447"/>
      <c r="J5" s="447"/>
      <c r="O5" s="451"/>
      <c r="P5" s="452"/>
    </row>
    <row r="6" spans="1:18" x14ac:dyDescent="0.25">
      <c r="A6" s="453" t="s">
        <v>211</v>
      </c>
      <c r="B6" s="453"/>
      <c r="C6" s="453"/>
      <c r="D6" s="454">
        <v>500</v>
      </c>
      <c r="H6" s="451"/>
      <c r="I6" s="452"/>
      <c r="O6" s="451"/>
      <c r="P6" s="452"/>
    </row>
    <row r="7" spans="1:18" x14ac:dyDescent="0.25">
      <c r="H7" s="451"/>
      <c r="K7" s="231"/>
      <c r="O7" s="451"/>
      <c r="R7" s="231"/>
    </row>
    <row r="8" spans="1:18" x14ac:dyDescent="0.25">
      <c r="A8" s="280" t="s">
        <v>212</v>
      </c>
      <c r="B8" s="281"/>
      <c r="C8" s="281"/>
      <c r="D8" s="282"/>
      <c r="F8" s="283" t="s">
        <v>213</v>
      </c>
      <c r="G8" s="284"/>
      <c r="H8" s="284"/>
      <c r="I8" s="284"/>
      <c r="J8" s="284"/>
      <c r="K8" s="285"/>
      <c r="M8" s="283" t="s">
        <v>214</v>
      </c>
      <c r="N8" s="284"/>
      <c r="O8" s="284"/>
      <c r="P8" s="284"/>
      <c r="Q8" s="284"/>
      <c r="R8" s="285"/>
    </row>
    <row r="9" spans="1:18" s="455" customFormat="1" ht="41.4" x14ac:dyDescent="0.25">
      <c r="A9" s="286" t="s">
        <v>215</v>
      </c>
      <c r="B9" s="287" t="s">
        <v>83</v>
      </c>
      <c r="C9" s="286" t="s">
        <v>216</v>
      </c>
      <c r="D9" s="286" t="s">
        <v>217</v>
      </c>
      <c r="F9" s="288" t="s">
        <v>218</v>
      </c>
      <c r="G9" s="288" t="s">
        <v>219</v>
      </c>
      <c r="H9" s="289" t="s">
        <v>220</v>
      </c>
      <c r="I9" s="290" t="s">
        <v>221</v>
      </c>
      <c r="J9" s="289" t="s">
        <v>222</v>
      </c>
      <c r="K9" s="289" t="s">
        <v>223</v>
      </c>
      <c r="M9" s="288" t="s">
        <v>218</v>
      </c>
      <c r="N9" s="288" t="s">
        <v>219</v>
      </c>
      <c r="O9" s="289" t="s">
        <v>220</v>
      </c>
      <c r="P9" s="290" t="s">
        <v>221</v>
      </c>
      <c r="Q9" s="289" t="s">
        <v>222</v>
      </c>
      <c r="R9" s="289" t="s">
        <v>223</v>
      </c>
    </row>
    <row r="10" spans="1:18" x14ac:dyDescent="0.25">
      <c r="A10" s="291">
        <v>0</v>
      </c>
      <c r="B10" s="292">
        <v>0.13500000000000001</v>
      </c>
      <c r="C10" s="293" t="e">
        <f t="shared" ref="C10:C39" si="0">MIN(MOOP,A10,Deductible+Coinsurance*(A10-Deductible))</f>
        <v>#NAME?</v>
      </c>
      <c r="D10" s="293" t="e">
        <f t="shared" ref="D10:D39" si="1">A10-C10</f>
        <v>#NAME?</v>
      </c>
      <c r="E10" s="12"/>
      <c r="F10" s="294">
        <v>0</v>
      </c>
      <c r="G10" s="295">
        <v>50</v>
      </c>
      <c r="H10" s="295">
        <v>0</v>
      </c>
      <c r="I10" s="296"/>
      <c r="J10" s="297"/>
      <c r="K10" s="298"/>
      <c r="M10" s="294">
        <v>0</v>
      </c>
      <c r="N10" s="295">
        <v>40</v>
      </c>
      <c r="O10" s="295">
        <v>0</v>
      </c>
      <c r="Q10" s="297"/>
      <c r="R10" s="298"/>
    </row>
    <row r="11" spans="1:18" x14ac:dyDescent="0.25">
      <c r="A11" s="300">
        <v>291.31306011918548</v>
      </c>
      <c r="B11" s="292">
        <v>0.23513861161736999</v>
      </c>
      <c r="C11" s="293" t="e">
        <f t="shared" si="0"/>
        <v>#NAME?</v>
      </c>
      <c r="D11" s="293" t="e">
        <f t="shared" si="1"/>
        <v>#NAME?</v>
      </c>
      <c r="E11" s="12"/>
      <c r="F11" s="294">
        <v>50</v>
      </c>
      <c r="G11" s="295">
        <v>55</v>
      </c>
      <c r="H11" s="295">
        <v>1256</v>
      </c>
      <c r="I11" s="296">
        <f t="shared" ref="I11:I32" si="2">H11/500000</f>
        <v>2.5119999999999999E-3</v>
      </c>
      <c r="J11" s="301">
        <v>1547423027.4051013</v>
      </c>
      <c r="K11" s="302">
        <f t="shared" ref="K11:K32" si="3">J11/H11</f>
        <v>1232024.7033480105</v>
      </c>
      <c r="M11" s="294">
        <v>40</v>
      </c>
      <c r="N11" s="295">
        <v>45</v>
      </c>
      <c r="O11" s="295">
        <v>893</v>
      </c>
      <c r="P11" s="296">
        <f t="shared" ref="P11:P47" si="4">O11/500000</f>
        <v>1.786E-3</v>
      </c>
      <c r="Q11" s="301">
        <v>1152981374.3995168</v>
      </c>
      <c r="R11" s="302">
        <f t="shared" ref="R11:R47" si="5">Q11/O11</f>
        <v>1291132.5581181599</v>
      </c>
    </row>
    <row r="12" spans="1:18" x14ac:dyDescent="0.25">
      <c r="A12" s="300">
        <v>869.53578255012428</v>
      </c>
      <c r="B12" s="292">
        <v>0.13863420655266906</v>
      </c>
      <c r="C12" s="293" t="e">
        <f t="shared" si="0"/>
        <v>#NAME?</v>
      </c>
      <c r="D12" s="293" t="e">
        <f t="shared" si="1"/>
        <v>#NAME?</v>
      </c>
      <c r="E12" s="12"/>
      <c r="F12" s="294">
        <v>55</v>
      </c>
      <c r="G12" s="295">
        <v>60</v>
      </c>
      <c r="H12" s="295">
        <v>2553</v>
      </c>
      <c r="I12" s="296">
        <f t="shared" si="2"/>
        <v>5.1060000000000003E-3</v>
      </c>
      <c r="J12" s="301">
        <v>3458098244.0432401</v>
      </c>
      <c r="K12" s="302">
        <f t="shared" si="3"/>
        <v>1354523.401505382</v>
      </c>
      <c r="M12" s="294">
        <v>45</v>
      </c>
      <c r="N12" s="295">
        <v>50</v>
      </c>
      <c r="O12" s="295">
        <v>2408</v>
      </c>
      <c r="P12" s="296">
        <f t="shared" si="4"/>
        <v>4.816E-3</v>
      </c>
      <c r="Q12" s="301">
        <v>3466722219.2507281</v>
      </c>
      <c r="R12" s="302">
        <f t="shared" si="5"/>
        <v>1439668.6957021295</v>
      </c>
    </row>
    <row r="13" spans="1:18" x14ac:dyDescent="0.25">
      <c r="A13" s="300">
        <v>1627.5343290007067</v>
      </c>
      <c r="B13" s="292">
        <v>5.789355647156591E-2</v>
      </c>
      <c r="C13" s="293" t="e">
        <f t="shared" si="0"/>
        <v>#NAME?</v>
      </c>
      <c r="D13" s="293" t="e">
        <f t="shared" si="1"/>
        <v>#NAME?</v>
      </c>
      <c r="E13" s="12"/>
      <c r="F13" s="294">
        <v>60</v>
      </c>
      <c r="G13" s="295">
        <v>65</v>
      </c>
      <c r="H13" s="295">
        <v>5264</v>
      </c>
      <c r="I13" s="296">
        <f t="shared" si="2"/>
        <v>1.0527999999999999E-2</v>
      </c>
      <c r="J13" s="301">
        <v>7743592425.2824974</v>
      </c>
      <c r="K13" s="302">
        <f t="shared" si="3"/>
        <v>1471047.1932527542</v>
      </c>
      <c r="M13" s="294">
        <v>50</v>
      </c>
      <c r="N13" s="295">
        <v>55</v>
      </c>
      <c r="O13" s="295">
        <v>5465</v>
      </c>
      <c r="P13" s="296">
        <f t="shared" si="4"/>
        <v>1.093E-2</v>
      </c>
      <c r="Q13" s="301">
        <v>8678336180.5309277</v>
      </c>
      <c r="R13" s="302">
        <f t="shared" si="5"/>
        <v>1587984.6624942229</v>
      </c>
    </row>
    <row r="14" spans="1:18" x14ac:dyDescent="0.25">
      <c r="A14" s="300">
        <v>2914.6875282910919</v>
      </c>
      <c r="B14" s="292">
        <v>7.4600491708770034E-2</v>
      </c>
      <c r="C14" s="293" t="e">
        <f t="shared" si="0"/>
        <v>#NAME?</v>
      </c>
      <c r="D14" s="293" t="e">
        <f t="shared" si="1"/>
        <v>#NAME?</v>
      </c>
      <c r="E14" s="12"/>
      <c r="F14" s="294">
        <v>65</v>
      </c>
      <c r="G14" s="295">
        <v>70</v>
      </c>
      <c r="H14" s="295">
        <v>9672</v>
      </c>
      <c r="I14" s="296">
        <f t="shared" si="2"/>
        <v>1.9344E-2</v>
      </c>
      <c r="J14" s="301">
        <v>15342945211.527264</v>
      </c>
      <c r="K14" s="302">
        <f t="shared" si="3"/>
        <v>1586326.0144258956</v>
      </c>
      <c r="M14" s="294">
        <v>55</v>
      </c>
      <c r="N14" s="295">
        <v>60</v>
      </c>
      <c r="O14" s="295">
        <v>10240</v>
      </c>
      <c r="P14" s="296">
        <f t="shared" si="4"/>
        <v>2.0480000000000002E-2</v>
      </c>
      <c r="Q14" s="301">
        <v>17778544556.690666</v>
      </c>
      <c r="R14" s="302">
        <f t="shared" si="5"/>
        <v>1736185.9918643229</v>
      </c>
    </row>
    <row r="15" spans="1:18" x14ac:dyDescent="0.25">
      <c r="A15" s="300">
        <v>4991.4001268681914</v>
      </c>
      <c r="B15" s="292">
        <v>7.1174387795825966E-2</v>
      </c>
      <c r="C15" s="293" t="e">
        <f t="shared" si="0"/>
        <v>#NAME?</v>
      </c>
      <c r="D15" s="293" t="e">
        <f t="shared" si="1"/>
        <v>#NAME?</v>
      </c>
      <c r="E15" s="12"/>
      <c r="F15" s="294">
        <v>70</v>
      </c>
      <c r="G15" s="295">
        <v>75</v>
      </c>
      <c r="H15" s="295">
        <v>16379</v>
      </c>
      <c r="I15" s="296">
        <f t="shared" si="2"/>
        <v>3.2758000000000002E-2</v>
      </c>
      <c r="J15" s="301">
        <v>27901799251.778137</v>
      </c>
      <c r="K15" s="302">
        <f t="shared" si="3"/>
        <v>1703510.5471505059</v>
      </c>
      <c r="M15" s="294">
        <v>60</v>
      </c>
      <c r="N15" s="295">
        <v>65</v>
      </c>
      <c r="O15" s="295">
        <v>16666</v>
      </c>
      <c r="P15" s="296">
        <f t="shared" si="4"/>
        <v>3.3332000000000001E-2</v>
      </c>
      <c r="Q15" s="301">
        <v>31419050434.230541</v>
      </c>
      <c r="R15" s="302">
        <f t="shared" si="5"/>
        <v>1885218.4347912241</v>
      </c>
    </row>
    <row r="16" spans="1:18" x14ac:dyDescent="0.25">
      <c r="A16" s="300">
        <v>8295.0231311460157</v>
      </c>
      <c r="B16" s="292">
        <v>8.5918174275676051E-2</v>
      </c>
      <c r="C16" s="293" t="e">
        <f t="shared" si="0"/>
        <v>#NAME?</v>
      </c>
      <c r="D16" s="293" t="e">
        <f t="shared" si="1"/>
        <v>#NAME?</v>
      </c>
      <c r="E16" s="12"/>
      <c r="F16" s="294">
        <v>75</v>
      </c>
      <c r="G16" s="295">
        <v>80</v>
      </c>
      <c r="H16" s="295">
        <v>25556</v>
      </c>
      <c r="I16" s="296">
        <f t="shared" si="2"/>
        <v>5.1111999999999998E-2</v>
      </c>
      <c r="J16" s="301">
        <v>46497366349.22406</v>
      </c>
      <c r="K16" s="302">
        <f t="shared" si="3"/>
        <v>1819430.5192214767</v>
      </c>
      <c r="M16" s="294">
        <v>65</v>
      </c>
      <c r="N16" s="295">
        <v>70</v>
      </c>
      <c r="O16" s="295">
        <v>24276</v>
      </c>
      <c r="P16" s="296">
        <f t="shared" si="4"/>
        <v>4.8551999999999998E-2</v>
      </c>
      <c r="Q16" s="301">
        <v>49398737979.848419</v>
      </c>
      <c r="R16" s="302">
        <f t="shared" si="5"/>
        <v>2034879.6333765208</v>
      </c>
    </row>
    <row r="17" spans="1:18" x14ac:dyDescent="0.25">
      <c r="A17" s="300">
        <v>9407.2213667136584</v>
      </c>
      <c r="B17" s="292">
        <v>2.6335469784569021E-2</v>
      </c>
      <c r="C17" s="293" t="e">
        <f t="shared" si="0"/>
        <v>#NAME?</v>
      </c>
      <c r="D17" s="293" t="e">
        <f t="shared" si="1"/>
        <v>#NAME?</v>
      </c>
      <c r="E17" s="12"/>
      <c r="F17" s="294">
        <v>80</v>
      </c>
      <c r="G17" s="295">
        <v>85</v>
      </c>
      <c r="H17" s="295">
        <v>36228</v>
      </c>
      <c r="I17" s="296">
        <f t="shared" si="2"/>
        <v>7.2456000000000007E-2</v>
      </c>
      <c r="J17" s="301">
        <v>70132308465.288467</v>
      </c>
      <c r="K17" s="302">
        <f t="shared" si="3"/>
        <v>1935859.2377522488</v>
      </c>
      <c r="M17" s="294">
        <v>70</v>
      </c>
      <c r="N17" s="295">
        <v>75</v>
      </c>
      <c r="O17" s="295">
        <v>31600</v>
      </c>
      <c r="P17" s="296">
        <f t="shared" si="4"/>
        <v>6.3200000000000006E-2</v>
      </c>
      <c r="Q17" s="301">
        <v>69026546501.189606</v>
      </c>
      <c r="R17" s="302">
        <f t="shared" si="5"/>
        <v>2184384.3829490379</v>
      </c>
    </row>
    <row r="18" spans="1:18" x14ac:dyDescent="0.25">
      <c r="A18" s="300">
        <v>11652.463430168611</v>
      </c>
      <c r="B18" s="292">
        <v>3.6278477579642976E-2</v>
      </c>
      <c r="C18" s="293" t="e">
        <f t="shared" si="0"/>
        <v>#NAME?</v>
      </c>
      <c r="D18" s="293" t="e">
        <f t="shared" si="1"/>
        <v>#NAME?</v>
      </c>
      <c r="E18" s="12"/>
      <c r="F18" s="294">
        <v>85</v>
      </c>
      <c r="G18" s="295">
        <v>90</v>
      </c>
      <c r="H18" s="295">
        <v>46578</v>
      </c>
      <c r="I18" s="296">
        <f t="shared" si="2"/>
        <v>9.3156000000000003E-2</v>
      </c>
      <c r="J18" s="301">
        <v>95587104281.649948</v>
      </c>
      <c r="K18" s="302">
        <f t="shared" si="3"/>
        <v>2052194.2608452477</v>
      </c>
      <c r="M18" s="294">
        <v>75</v>
      </c>
      <c r="N18" s="295">
        <v>80</v>
      </c>
      <c r="O18" s="295">
        <v>36738</v>
      </c>
      <c r="P18" s="296">
        <f t="shared" si="4"/>
        <v>7.3476E-2</v>
      </c>
      <c r="Q18" s="301">
        <v>85739133630.232651</v>
      </c>
      <c r="R18" s="302">
        <f t="shared" si="5"/>
        <v>2333799.7068493837</v>
      </c>
    </row>
    <row r="19" spans="1:18" x14ac:dyDescent="0.25">
      <c r="A19" s="300">
        <v>12890.02518068326</v>
      </c>
      <c r="B19" s="292">
        <v>1.6760694282691002E-2</v>
      </c>
      <c r="C19" s="293" t="e">
        <f t="shared" si="0"/>
        <v>#NAME?</v>
      </c>
      <c r="D19" s="293" t="e">
        <f t="shared" si="1"/>
        <v>#NAME?</v>
      </c>
      <c r="E19" s="12"/>
      <c r="F19" s="294">
        <v>90</v>
      </c>
      <c r="G19" s="295">
        <v>95</v>
      </c>
      <c r="H19" s="295">
        <v>55185</v>
      </c>
      <c r="I19" s="296">
        <f t="shared" si="2"/>
        <v>0.11037</v>
      </c>
      <c r="J19" s="301">
        <v>119667491343.97279</v>
      </c>
      <c r="K19" s="302">
        <f t="shared" si="3"/>
        <v>2168478.5964296963</v>
      </c>
      <c r="M19" s="294">
        <v>80</v>
      </c>
      <c r="N19" s="295">
        <v>85</v>
      </c>
      <c r="O19" s="295">
        <v>39460</v>
      </c>
      <c r="P19" s="296">
        <f t="shared" si="4"/>
        <v>7.8920000000000004E-2</v>
      </c>
      <c r="Q19" s="301">
        <v>97991729321.362305</v>
      </c>
      <c r="R19" s="302">
        <f t="shared" si="5"/>
        <v>2483318.0263903271</v>
      </c>
    </row>
    <row r="20" spans="1:18" x14ac:dyDescent="0.25">
      <c r="A20" s="300">
        <v>15041.278726784303</v>
      </c>
      <c r="B20" s="303">
        <v>1.6031804860417997E-2</v>
      </c>
      <c r="C20" s="293" t="e">
        <f t="shared" si="0"/>
        <v>#NAME?</v>
      </c>
      <c r="D20" s="293" t="e">
        <f t="shared" si="1"/>
        <v>#NAME?</v>
      </c>
      <c r="E20" s="12"/>
      <c r="F20" s="294">
        <v>95</v>
      </c>
      <c r="G20" s="295">
        <v>100</v>
      </c>
      <c r="H20" s="295">
        <v>58176</v>
      </c>
      <c r="I20" s="296">
        <f t="shared" si="2"/>
        <v>0.116352</v>
      </c>
      <c r="J20" s="301">
        <v>132937381528.60713</v>
      </c>
      <c r="K20" s="302">
        <f t="shared" si="3"/>
        <v>2285089.753998335</v>
      </c>
      <c r="M20" s="294">
        <v>85</v>
      </c>
      <c r="N20" s="295">
        <v>90</v>
      </c>
      <c r="O20" s="295">
        <v>39881</v>
      </c>
      <c r="P20" s="296">
        <f t="shared" si="4"/>
        <v>7.9762E-2</v>
      </c>
      <c r="Q20" s="301">
        <v>105038742584.96193</v>
      </c>
      <c r="R20" s="302">
        <f t="shared" si="5"/>
        <v>2633804.1319164997</v>
      </c>
    </row>
    <row r="21" spans="1:18" x14ac:dyDescent="0.25">
      <c r="A21" s="300">
        <v>19006.969886086314</v>
      </c>
      <c r="B21" s="303">
        <v>4.6685233893160039E-2</v>
      </c>
      <c r="C21" s="293" t="e">
        <f t="shared" si="0"/>
        <v>#NAME?</v>
      </c>
      <c r="D21" s="293" t="e">
        <f t="shared" si="1"/>
        <v>#NAME?</v>
      </c>
      <c r="E21" s="12"/>
      <c r="F21" s="294">
        <v>100</v>
      </c>
      <c r="G21" s="295">
        <v>105</v>
      </c>
      <c r="H21" s="295">
        <v>56456</v>
      </c>
      <c r="I21" s="296">
        <f t="shared" si="2"/>
        <v>0.112912</v>
      </c>
      <c r="J21" s="301">
        <v>135560133151.24054</v>
      </c>
      <c r="K21" s="302">
        <f t="shared" si="3"/>
        <v>2401164.3253372633</v>
      </c>
      <c r="M21" s="294">
        <v>90</v>
      </c>
      <c r="N21" s="295">
        <v>95</v>
      </c>
      <c r="O21" s="295">
        <v>38022</v>
      </c>
      <c r="P21" s="296">
        <f t="shared" si="4"/>
        <v>7.6044E-2</v>
      </c>
      <c r="Q21" s="301">
        <v>105831029158.8231</v>
      </c>
      <c r="R21" s="302">
        <f t="shared" si="5"/>
        <v>2783415.6319715721</v>
      </c>
    </row>
    <row r="22" spans="1:18" x14ac:dyDescent="0.25">
      <c r="A22" s="300">
        <v>30025.620764019015</v>
      </c>
      <c r="B22" s="303">
        <v>1.9068229926516911E-2</v>
      </c>
      <c r="C22" s="293" t="e">
        <f t="shared" si="0"/>
        <v>#NAME?</v>
      </c>
      <c r="D22" s="293" t="e">
        <f t="shared" si="1"/>
        <v>#NAME?</v>
      </c>
      <c r="E22" s="12"/>
      <c r="F22" s="294">
        <v>105</v>
      </c>
      <c r="G22" s="295">
        <v>110</v>
      </c>
      <c r="H22" s="295">
        <v>50080</v>
      </c>
      <c r="I22" s="296">
        <f t="shared" si="2"/>
        <v>0.10016</v>
      </c>
      <c r="J22" s="301">
        <v>126081537116.1371</v>
      </c>
      <c r="K22" s="302">
        <f t="shared" si="3"/>
        <v>2517602.5781976259</v>
      </c>
      <c r="M22" s="294">
        <v>95</v>
      </c>
      <c r="N22" s="295">
        <v>100</v>
      </c>
      <c r="O22" s="295">
        <v>34900</v>
      </c>
      <c r="P22" s="296">
        <f t="shared" si="4"/>
        <v>6.9800000000000001E-2</v>
      </c>
      <c r="Q22" s="301">
        <v>102370079553.90457</v>
      </c>
      <c r="R22" s="302">
        <f t="shared" si="5"/>
        <v>2933240.1018310767</v>
      </c>
    </row>
    <row r="23" spans="1:18" x14ac:dyDescent="0.25">
      <c r="A23" s="300">
        <v>39959.539547031112</v>
      </c>
      <c r="B23" s="292">
        <v>1.9170668091496035E-2</v>
      </c>
      <c r="C23" s="293" t="e">
        <f t="shared" si="0"/>
        <v>#NAME?</v>
      </c>
      <c r="D23" s="293" t="e">
        <f t="shared" si="1"/>
        <v>#NAME?</v>
      </c>
      <c r="E23" s="12"/>
      <c r="F23" s="294">
        <v>110</v>
      </c>
      <c r="G23" s="295">
        <v>115</v>
      </c>
      <c r="H23" s="295">
        <v>41322</v>
      </c>
      <c r="I23" s="296">
        <f t="shared" si="2"/>
        <v>8.2643999999999995E-2</v>
      </c>
      <c r="J23" s="301">
        <v>108866538952.09129</v>
      </c>
      <c r="K23" s="302">
        <f t="shared" si="3"/>
        <v>2634590.2655266272</v>
      </c>
      <c r="M23" s="294">
        <v>100</v>
      </c>
      <c r="N23" s="295">
        <v>105</v>
      </c>
      <c r="O23" s="295">
        <v>34733</v>
      </c>
      <c r="P23" s="296">
        <f t="shared" si="4"/>
        <v>6.9466E-2</v>
      </c>
      <c r="Q23" s="301">
        <v>107111040714.03883</v>
      </c>
      <c r="R23" s="302">
        <f t="shared" si="5"/>
        <v>3083840.7483960162</v>
      </c>
    </row>
    <row r="24" spans="1:18" x14ac:dyDescent="0.25">
      <c r="A24" s="300">
        <v>57913.358689025692</v>
      </c>
      <c r="B24" s="292">
        <v>8.3643911634749823E-3</v>
      </c>
      <c r="C24" s="293" t="e">
        <f t="shared" si="0"/>
        <v>#NAME?</v>
      </c>
      <c r="D24" s="293" t="e">
        <f t="shared" si="1"/>
        <v>#NAME?</v>
      </c>
      <c r="E24" s="12"/>
      <c r="F24" s="294">
        <v>115</v>
      </c>
      <c r="G24" s="295">
        <v>120</v>
      </c>
      <c r="H24" s="295">
        <v>32083</v>
      </c>
      <c r="I24" s="296">
        <f t="shared" si="2"/>
        <v>6.4166000000000001E-2</v>
      </c>
      <c r="J24" s="301">
        <v>88258493002.999634</v>
      </c>
      <c r="K24" s="302">
        <f t="shared" si="3"/>
        <v>2750942.6488482882</v>
      </c>
      <c r="M24" s="294">
        <v>105</v>
      </c>
      <c r="N24" s="295">
        <v>110</v>
      </c>
      <c r="O24" s="295">
        <v>30302</v>
      </c>
      <c r="P24" s="296">
        <f t="shared" si="4"/>
        <v>6.0603999999999998E-2</v>
      </c>
      <c r="Q24" s="301">
        <v>97994980517.602875</v>
      </c>
      <c r="R24" s="302">
        <f t="shared" si="5"/>
        <v>3233944.3111874755</v>
      </c>
    </row>
    <row r="25" spans="1:18" x14ac:dyDescent="0.25">
      <c r="A25" s="300">
        <v>84577.53348853004</v>
      </c>
      <c r="B25" s="292">
        <v>4.7308722998670172E-3</v>
      </c>
      <c r="C25" s="293" t="e">
        <f t="shared" si="0"/>
        <v>#NAME?</v>
      </c>
      <c r="D25" s="293" t="e">
        <f t="shared" si="1"/>
        <v>#NAME?</v>
      </c>
      <c r="E25" s="12"/>
      <c r="F25" s="294">
        <v>120</v>
      </c>
      <c r="G25" s="295">
        <v>125</v>
      </c>
      <c r="H25" s="295">
        <v>23208</v>
      </c>
      <c r="I25" s="296">
        <f t="shared" si="2"/>
        <v>4.6415999999999999E-2</v>
      </c>
      <c r="J25" s="301">
        <v>66551580640.415344</v>
      </c>
      <c r="K25" s="302">
        <f t="shared" si="3"/>
        <v>2867613.7814725675</v>
      </c>
      <c r="M25" s="294">
        <v>110</v>
      </c>
      <c r="N25" s="295">
        <v>115</v>
      </c>
      <c r="O25" s="295">
        <v>26007</v>
      </c>
      <c r="P25" s="296">
        <f t="shared" si="4"/>
        <v>5.2013999999999998E-2</v>
      </c>
      <c r="Q25" s="301">
        <v>88040401017.405029</v>
      </c>
      <c r="R25" s="302">
        <f t="shared" si="5"/>
        <v>3385257.8543240293</v>
      </c>
    </row>
    <row r="26" spans="1:18" x14ac:dyDescent="0.25">
      <c r="A26" s="300">
        <v>114824.21259738342</v>
      </c>
      <c r="B26" s="292">
        <v>3.4862488711140394E-3</v>
      </c>
      <c r="C26" s="293" t="e">
        <f t="shared" si="0"/>
        <v>#NAME?</v>
      </c>
      <c r="D26" s="293" t="e">
        <f t="shared" si="1"/>
        <v>#NAME?</v>
      </c>
      <c r="E26" s="12"/>
      <c r="F26" s="294">
        <v>125</v>
      </c>
      <c r="G26" s="295">
        <v>130</v>
      </c>
      <c r="H26" s="295">
        <v>16039</v>
      </c>
      <c r="I26" s="296">
        <f t="shared" si="2"/>
        <v>3.2078000000000002E-2</v>
      </c>
      <c r="J26" s="301">
        <v>47857651746.820602</v>
      </c>
      <c r="K26" s="302">
        <f t="shared" si="3"/>
        <v>2983830.1481900741</v>
      </c>
      <c r="M26" s="294">
        <v>115</v>
      </c>
      <c r="N26" s="295">
        <v>120</v>
      </c>
      <c r="O26" s="295">
        <v>22356</v>
      </c>
      <c r="P26" s="296">
        <f t="shared" si="4"/>
        <v>4.4712000000000002E-2</v>
      </c>
      <c r="Q26" s="301">
        <v>79028371537.804657</v>
      </c>
      <c r="R26" s="302">
        <f t="shared" si="5"/>
        <v>3534996.0430222158</v>
      </c>
    </row>
    <row r="27" spans="1:18" x14ac:dyDescent="0.25">
      <c r="A27" s="300">
        <v>151373.74593225529</v>
      </c>
      <c r="B27" s="292">
        <v>1.8335327928299394E-3</v>
      </c>
      <c r="C27" s="293" t="e">
        <f t="shared" si="0"/>
        <v>#NAME?</v>
      </c>
      <c r="D27" s="293" t="e">
        <f t="shared" si="1"/>
        <v>#NAME?</v>
      </c>
      <c r="E27" s="12"/>
      <c r="F27" s="294">
        <v>130</v>
      </c>
      <c r="G27" s="295">
        <v>135</v>
      </c>
      <c r="H27" s="295">
        <v>10352</v>
      </c>
      <c r="I27" s="296">
        <f t="shared" si="2"/>
        <v>2.0704E-2</v>
      </c>
      <c r="J27" s="301">
        <v>32100576221.930962</v>
      </c>
      <c r="K27" s="302">
        <f t="shared" si="3"/>
        <v>3100905.7401401624</v>
      </c>
      <c r="M27" s="294">
        <v>120</v>
      </c>
      <c r="N27" s="295">
        <v>125</v>
      </c>
      <c r="O27" s="295">
        <v>18752</v>
      </c>
      <c r="P27" s="296">
        <f t="shared" si="4"/>
        <v>3.7504000000000003E-2</v>
      </c>
      <c r="Q27" s="301">
        <v>69114135858.92749</v>
      </c>
      <c r="R27" s="302">
        <f t="shared" si="5"/>
        <v>3685694.1051049219</v>
      </c>
    </row>
    <row r="28" spans="1:18" x14ac:dyDescent="0.25">
      <c r="A28" s="300">
        <v>171424.56105895445</v>
      </c>
      <c r="B28" s="292">
        <v>9.6392138140000139E-4</v>
      </c>
      <c r="C28" s="293" t="e">
        <f t="shared" si="0"/>
        <v>#NAME?</v>
      </c>
      <c r="D28" s="293" t="e">
        <f t="shared" si="1"/>
        <v>#NAME?</v>
      </c>
      <c r="E28" s="12"/>
      <c r="F28" s="294">
        <v>135</v>
      </c>
      <c r="G28" s="295">
        <v>140</v>
      </c>
      <c r="H28" s="295">
        <v>6290</v>
      </c>
      <c r="I28" s="296">
        <f t="shared" si="2"/>
        <v>1.2579999999999999E-2</v>
      </c>
      <c r="J28" s="301">
        <v>20239972710.806187</v>
      </c>
      <c r="K28" s="302">
        <f t="shared" si="3"/>
        <v>3217801.7028308725</v>
      </c>
      <c r="M28" s="294">
        <v>125</v>
      </c>
      <c r="N28" s="295">
        <v>130</v>
      </c>
      <c r="O28" s="295">
        <v>15641</v>
      </c>
      <c r="P28" s="296">
        <f t="shared" si="4"/>
        <v>3.1281999999999997E-2</v>
      </c>
      <c r="Q28" s="301">
        <v>59997783593.008842</v>
      </c>
      <c r="R28" s="302">
        <f t="shared" si="5"/>
        <v>3835930.1574713155</v>
      </c>
    </row>
    <row r="29" spans="1:18" x14ac:dyDescent="0.25">
      <c r="A29" s="300">
        <v>238306.75383058185</v>
      </c>
      <c r="B29" s="292">
        <v>5.5284796393206825E-4</v>
      </c>
      <c r="C29" s="293" t="e">
        <f t="shared" si="0"/>
        <v>#NAME?</v>
      </c>
      <c r="D29" s="293" t="e">
        <f t="shared" si="1"/>
        <v>#NAME?</v>
      </c>
      <c r="E29" s="12"/>
      <c r="F29" s="294">
        <v>140</v>
      </c>
      <c r="G29" s="295">
        <v>145</v>
      </c>
      <c r="H29" s="295">
        <v>3648</v>
      </c>
      <c r="I29" s="296">
        <f t="shared" si="2"/>
        <v>7.2960000000000004E-3</v>
      </c>
      <c r="J29" s="301">
        <v>12163873406.739576</v>
      </c>
      <c r="K29" s="302">
        <f t="shared" si="3"/>
        <v>3334395.1224615066</v>
      </c>
      <c r="M29" s="294">
        <v>130</v>
      </c>
      <c r="N29" s="295">
        <v>135</v>
      </c>
      <c r="O29" s="295">
        <v>12985</v>
      </c>
      <c r="P29" s="296">
        <f t="shared" si="4"/>
        <v>2.597E-2</v>
      </c>
      <c r="Q29" s="301">
        <v>51766039158.729828</v>
      </c>
      <c r="R29" s="302">
        <f t="shared" si="5"/>
        <v>3986602.9386776919</v>
      </c>
    </row>
    <row r="30" spans="1:18" x14ac:dyDescent="0.25">
      <c r="A30" s="300">
        <v>329862.35960423521</v>
      </c>
      <c r="B30" s="292">
        <v>7.9901384014191557E-4</v>
      </c>
      <c r="C30" s="293" t="e">
        <f t="shared" si="0"/>
        <v>#NAME?</v>
      </c>
      <c r="D30" s="293" t="e">
        <f t="shared" si="1"/>
        <v>#NAME?</v>
      </c>
      <c r="E30" s="12"/>
      <c r="F30" s="294">
        <v>145</v>
      </c>
      <c r="G30" s="295">
        <v>150</v>
      </c>
      <c r="H30" s="295">
        <v>2005</v>
      </c>
      <c r="I30" s="296">
        <f t="shared" si="2"/>
        <v>4.0099999999999997E-3</v>
      </c>
      <c r="J30" s="301">
        <v>6915015368.0588303</v>
      </c>
      <c r="K30" s="302">
        <f t="shared" si="3"/>
        <v>3448885.4703535312</v>
      </c>
      <c r="M30" s="294">
        <v>135</v>
      </c>
      <c r="N30" s="295">
        <v>140</v>
      </c>
      <c r="O30" s="295">
        <v>10624</v>
      </c>
      <c r="P30" s="296">
        <f t="shared" si="4"/>
        <v>2.1248E-2</v>
      </c>
      <c r="Q30" s="301">
        <v>43947500294.036819</v>
      </c>
      <c r="R30" s="302">
        <f t="shared" si="5"/>
        <v>4136624.6511706342</v>
      </c>
    </row>
    <row r="31" spans="1:18" x14ac:dyDescent="0.25">
      <c r="A31" s="300">
        <v>435098.10411352973</v>
      </c>
      <c r="B31" s="292">
        <v>3.2445723299800999E-4</v>
      </c>
      <c r="C31" s="293" t="e">
        <f t="shared" si="0"/>
        <v>#NAME?</v>
      </c>
      <c r="D31" s="293" t="e">
        <f t="shared" si="1"/>
        <v>#NAME?</v>
      </c>
      <c r="E31" s="12"/>
      <c r="F31" s="294">
        <v>150</v>
      </c>
      <c r="G31" s="295">
        <v>155</v>
      </c>
      <c r="H31" s="295">
        <v>1057</v>
      </c>
      <c r="I31" s="296">
        <f t="shared" si="2"/>
        <v>2.114E-3</v>
      </c>
      <c r="J31" s="301">
        <v>3770947972.2984514</v>
      </c>
      <c r="K31" s="302">
        <f t="shared" si="3"/>
        <v>3567595.0542085632</v>
      </c>
      <c r="M31" s="294">
        <v>140</v>
      </c>
      <c r="N31" s="295">
        <v>145</v>
      </c>
      <c r="O31" s="295">
        <v>8609</v>
      </c>
      <c r="P31" s="296">
        <f t="shared" si="4"/>
        <v>1.7218000000000001E-2</v>
      </c>
      <c r="Q31" s="301">
        <v>36903036791.201584</v>
      </c>
      <c r="R31" s="302">
        <f t="shared" si="5"/>
        <v>4286564.8497155979</v>
      </c>
    </row>
    <row r="32" spans="1:18" x14ac:dyDescent="0.25">
      <c r="A32" s="300">
        <v>627254.87503929774</v>
      </c>
      <c r="B32" s="292">
        <v>8.6420851780011354E-5</v>
      </c>
      <c r="C32" s="293" t="e">
        <f t="shared" si="0"/>
        <v>#NAME?</v>
      </c>
      <c r="D32" s="293" t="e">
        <f t="shared" si="1"/>
        <v>#NAME?</v>
      </c>
      <c r="E32" s="12"/>
      <c r="F32" s="304">
        <v>155</v>
      </c>
      <c r="G32" s="305">
        <v>160</v>
      </c>
      <c r="H32" s="305">
        <v>613</v>
      </c>
      <c r="I32" s="306">
        <f t="shared" si="2"/>
        <v>1.2260000000000001E-3</v>
      </c>
      <c r="J32" s="307">
        <v>2265116883.75</v>
      </c>
      <c r="K32" s="308">
        <f t="shared" si="3"/>
        <v>3695133.5787112559</v>
      </c>
      <c r="M32" s="294">
        <v>145</v>
      </c>
      <c r="N32" s="295">
        <v>150</v>
      </c>
      <c r="O32" s="295">
        <v>7184</v>
      </c>
      <c r="P32" s="296">
        <f t="shared" si="4"/>
        <v>1.4368000000000001E-2</v>
      </c>
      <c r="Q32" s="301">
        <v>31873155064.664726</v>
      </c>
      <c r="R32" s="302">
        <f t="shared" si="5"/>
        <v>4436686.3954154681</v>
      </c>
    </row>
    <row r="33" spans="1:18" x14ac:dyDescent="0.25">
      <c r="A33" s="300">
        <v>741207.8067337682</v>
      </c>
      <c r="B33" s="292">
        <v>2.2742329416014506E-5</v>
      </c>
      <c r="C33" s="293" t="e">
        <f t="shared" si="0"/>
        <v>#NAME?</v>
      </c>
      <c r="D33" s="293" t="e">
        <f t="shared" si="1"/>
        <v>#NAME?</v>
      </c>
      <c r="E33" s="12"/>
      <c r="M33" s="294">
        <v>150</v>
      </c>
      <c r="N33" s="295">
        <v>155</v>
      </c>
      <c r="O33" s="295">
        <v>6027</v>
      </c>
      <c r="P33" s="296">
        <f t="shared" si="4"/>
        <v>1.2054E-2</v>
      </c>
      <c r="Q33" s="301">
        <v>27651411403.374958</v>
      </c>
      <c r="R33" s="302">
        <f t="shared" si="5"/>
        <v>4587922.9141156394</v>
      </c>
    </row>
    <row r="34" spans="1:18" x14ac:dyDescent="0.25">
      <c r="A34" s="300">
        <v>829866.91010218428</v>
      </c>
      <c r="B34" s="292">
        <v>4.3968503537050729E-5</v>
      </c>
      <c r="C34" s="293" t="e">
        <f t="shared" si="0"/>
        <v>#NAME?</v>
      </c>
      <c r="D34" s="293" t="e">
        <f t="shared" si="1"/>
        <v>#NAME?</v>
      </c>
      <c r="E34" s="12"/>
      <c r="M34" s="294">
        <v>155</v>
      </c>
      <c r="N34" s="295">
        <v>160</v>
      </c>
      <c r="O34" s="295">
        <v>5121</v>
      </c>
      <c r="P34" s="296">
        <f t="shared" si="4"/>
        <v>1.0241999999999999E-2</v>
      </c>
      <c r="Q34" s="301">
        <v>24268189678.611454</v>
      </c>
      <c r="R34" s="302">
        <f t="shared" si="5"/>
        <v>4738955.2194125084</v>
      </c>
    </row>
    <row r="35" spans="1:18" x14ac:dyDescent="0.25">
      <c r="A35" s="300">
        <v>1055142.2564788521</v>
      </c>
      <c r="B35" s="292">
        <v>4.8516969420986378E-5</v>
      </c>
      <c r="C35" s="293" t="e">
        <f t="shared" si="0"/>
        <v>#NAME?</v>
      </c>
      <c r="D35" s="293" t="e">
        <f t="shared" si="1"/>
        <v>#NAME?</v>
      </c>
      <c r="E35" s="12"/>
      <c r="M35" s="294">
        <v>160</v>
      </c>
      <c r="N35" s="295">
        <v>165</v>
      </c>
      <c r="O35" s="295">
        <v>4417</v>
      </c>
      <c r="P35" s="296">
        <f t="shared" si="4"/>
        <v>8.8339999999999998E-3</v>
      </c>
      <c r="Q35" s="301">
        <v>21595763917.144028</v>
      </c>
      <c r="R35" s="302">
        <f t="shared" si="5"/>
        <v>4889237.9255476631</v>
      </c>
    </row>
    <row r="36" spans="1:18" x14ac:dyDescent="0.25">
      <c r="A36" s="300">
        <v>1232415.614960453</v>
      </c>
      <c r="B36" s="292">
        <v>3.1839261181998424E-5</v>
      </c>
      <c r="C36" s="293" t="e">
        <f t="shared" si="0"/>
        <v>#NAME?</v>
      </c>
      <c r="D36" s="293" t="e">
        <f t="shared" si="1"/>
        <v>#NAME?</v>
      </c>
      <c r="E36" s="12"/>
      <c r="M36" s="294">
        <v>165</v>
      </c>
      <c r="N36" s="295">
        <v>170</v>
      </c>
      <c r="O36" s="295">
        <v>3812</v>
      </c>
      <c r="P36" s="296">
        <f t="shared" si="4"/>
        <v>7.6239999999999997E-3</v>
      </c>
      <c r="Q36" s="301">
        <v>19206654713.565956</v>
      </c>
      <c r="R36" s="302">
        <f t="shared" si="5"/>
        <v>5038471.8556049205</v>
      </c>
    </row>
    <row r="37" spans="1:18" x14ac:dyDescent="0.25">
      <c r="A37" s="300">
        <v>1428020.959516003</v>
      </c>
      <c r="B37" s="292">
        <v>1.3645397648920365E-5</v>
      </c>
      <c r="C37" s="293" t="e">
        <f t="shared" si="0"/>
        <v>#NAME?</v>
      </c>
      <c r="D37" s="293" t="e">
        <f t="shared" si="1"/>
        <v>#NAME?</v>
      </c>
      <c r="E37" s="12"/>
      <c r="M37" s="294">
        <v>170</v>
      </c>
      <c r="N37" s="295">
        <v>175</v>
      </c>
      <c r="O37" s="295">
        <v>3293</v>
      </c>
      <c r="P37" s="296">
        <f t="shared" si="4"/>
        <v>6.5859999999999998E-3</v>
      </c>
      <c r="Q37" s="301">
        <v>17098991478.497635</v>
      </c>
      <c r="R37" s="302">
        <f t="shared" si="5"/>
        <v>5192527.0204973081</v>
      </c>
    </row>
    <row r="38" spans="1:18" x14ac:dyDescent="0.25">
      <c r="A38" s="300">
        <v>1687070.6872623065</v>
      </c>
      <c r="B38" s="292">
        <v>6.1484658830934791E-6</v>
      </c>
      <c r="C38" s="293" t="e">
        <f t="shared" si="0"/>
        <v>#NAME?</v>
      </c>
      <c r="D38" s="293" t="e">
        <f t="shared" si="1"/>
        <v>#NAME?</v>
      </c>
      <c r="E38" s="12"/>
      <c r="M38" s="294">
        <v>175</v>
      </c>
      <c r="N38" s="295">
        <v>180</v>
      </c>
      <c r="O38" s="295">
        <v>2796</v>
      </c>
      <c r="P38" s="296">
        <f t="shared" si="4"/>
        <v>5.5919999999999997E-3</v>
      </c>
      <c r="Q38" s="301">
        <v>14930874933.105654</v>
      </c>
      <c r="R38" s="302">
        <f t="shared" si="5"/>
        <v>5340084.0247158995</v>
      </c>
    </row>
    <row r="39" spans="1:18" x14ac:dyDescent="0.25">
      <c r="A39" s="300">
        <v>1927982.0428046412</v>
      </c>
      <c r="B39" s="292">
        <v>1.4258350029550115E-6</v>
      </c>
      <c r="C39" s="293" t="e">
        <f t="shared" si="0"/>
        <v>#NAME?</v>
      </c>
      <c r="D39" s="293" t="e">
        <f t="shared" si="1"/>
        <v>#NAME?</v>
      </c>
      <c r="E39" s="12"/>
      <c r="M39" s="294">
        <v>180</v>
      </c>
      <c r="N39" s="295">
        <v>185</v>
      </c>
      <c r="O39" s="295">
        <v>2243</v>
      </c>
      <c r="P39" s="296">
        <f t="shared" si="4"/>
        <v>4.4860000000000004E-3</v>
      </c>
      <c r="Q39" s="301">
        <v>12314550233.267616</v>
      </c>
      <c r="R39" s="302">
        <f t="shared" si="5"/>
        <v>5490214.1031063823</v>
      </c>
    </row>
    <row r="40" spans="1:18" x14ac:dyDescent="0.25">
      <c r="A40" s="309" t="s">
        <v>224</v>
      </c>
      <c r="B40" s="310"/>
      <c r="C40" s="310"/>
      <c r="D40" s="311" t="e">
        <f>SUMPRODUCT(B$10:B39,D$10:D39)</f>
        <v>#NAME?</v>
      </c>
      <c r="E40" s="12"/>
      <c r="M40" s="294">
        <v>185</v>
      </c>
      <c r="N40" s="295">
        <v>190</v>
      </c>
      <c r="O40" s="295">
        <v>1663</v>
      </c>
      <c r="P40" s="296">
        <f t="shared" si="4"/>
        <v>3.326E-3</v>
      </c>
      <c r="Q40" s="301">
        <v>9383660289.108633</v>
      </c>
      <c r="R40" s="302">
        <f t="shared" si="5"/>
        <v>5642609.9152787933</v>
      </c>
    </row>
    <row r="41" spans="1:18" x14ac:dyDescent="0.25">
      <c r="A41" s="309" t="s">
        <v>225</v>
      </c>
      <c r="B41" s="310"/>
      <c r="C41" s="310"/>
      <c r="D41" s="311" t="e">
        <f>D40*$D$6</f>
        <v>#NAME?</v>
      </c>
      <c r="M41" s="294">
        <v>190</v>
      </c>
      <c r="N41" s="295">
        <v>195</v>
      </c>
      <c r="O41" s="295">
        <v>1058</v>
      </c>
      <c r="P41" s="296">
        <f t="shared" si="4"/>
        <v>2.1159999999999998E-3</v>
      </c>
      <c r="Q41" s="301">
        <v>6129998047.45119</v>
      </c>
      <c r="R41" s="302">
        <f t="shared" si="5"/>
        <v>5793949.0051523531</v>
      </c>
    </row>
    <row r="42" spans="1:18" x14ac:dyDescent="0.25">
      <c r="B42" s="456"/>
      <c r="F42" s="456"/>
      <c r="G42" s="295"/>
      <c r="H42" s="295"/>
      <c r="J42" s="301"/>
      <c r="K42" s="301"/>
      <c r="M42" s="294">
        <v>195</v>
      </c>
      <c r="N42" s="295">
        <v>200</v>
      </c>
      <c r="O42" s="295">
        <v>487</v>
      </c>
      <c r="P42" s="296">
        <f t="shared" si="4"/>
        <v>9.7400000000000004E-4</v>
      </c>
      <c r="Q42" s="301">
        <v>2894136133.6170115</v>
      </c>
      <c r="R42" s="302">
        <f t="shared" si="5"/>
        <v>5942784.6686180932</v>
      </c>
    </row>
    <row r="43" spans="1:18" x14ac:dyDescent="0.25">
      <c r="H43" s="12"/>
      <c r="I43" s="12"/>
      <c r="J43" s="12"/>
      <c r="K43" s="12"/>
      <c r="M43" s="294">
        <v>200</v>
      </c>
      <c r="N43" s="295">
        <v>205</v>
      </c>
      <c r="O43" s="295">
        <v>401</v>
      </c>
      <c r="P43" s="296">
        <f t="shared" si="4"/>
        <v>8.0199999999999998E-4</v>
      </c>
      <c r="Q43" s="301">
        <v>2444406553.8040938</v>
      </c>
      <c r="R43" s="302">
        <f t="shared" si="5"/>
        <v>6095776.9421548471</v>
      </c>
    </row>
    <row r="44" spans="1:18" x14ac:dyDescent="0.25">
      <c r="H44" s="12"/>
      <c r="I44" s="12"/>
      <c r="J44" s="12"/>
      <c r="K44" s="12"/>
      <c r="M44" s="294">
        <v>205</v>
      </c>
      <c r="N44" s="295">
        <v>210</v>
      </c>
      <c r="O44" s="295">
        <v>325</v>
      </c>
      <c r="P44" s="296">
        <f t="shared" si="4"/>
        <v>6.4999999999999997E-4</v>
      </c>
      <c r="Q44" s="301">
        <v>2030493252.5852509</v>
      </c>
      <c r="R44" s="302">
        <f t="shared" si="5"/>
        <v>6247671.5464161569</v>
      </c>
    </row>
    <row r="45" spans="1:18" x14ac:dyDescent="0.25">
      <c r="H45" s="12"/>
      <c r="I45" s="12"/>
      <c r="J45" s="12"/>
      <c r="K45" s="12"/>
      <c r="M45" s="294">
        <v>210</v>
      </c>
      <c r="N45" s="295">
        <v>215</v>
      </c>
      <c r="O45" s="295">
        <v>260</v>
      </c>
      <c r="P45" s="296">
        <f t="shared" si="4"/>
        <v>5.1999999999999995E-4</v>
      </c>
      <c r="Q45" s="301">
        <v>1662909886.5918076</v>
      </c>
      <c r="R45" s="302">
        <f t="shared" si="5"/>
        <v>6395807.2561223367</v>
      </c>
    </row>
    <row r="46" spans="1:18" x14ac:dyDescent="0.25">
      <c r="H46" s="12"/>
      <c r="I46" s="12"/>
      <c r="J46" s="12"/>
      <c r="K46" s="12"/>
      <c r="M46" s="294">
        <v>215</v>
      </c>
      <c r="N46" s="295">
        <v>220</v>
      </c>
      <c r="O46" s="295">
        <v>202</v>
      </c>
      <c r="P46" s="296">
        <f t="shared" si="4"/>
        <v>4.0400000000000001E-4</v>
      </c>
      <c r="Q46" s="301">
        <v>1322301152.7095857</v>
      </c>
      <c r="R46" s="302">
        <f t="shared" si="5"/>
        <v>6546045.3104434935</v>
      </c>
    </row>
    <row r="47" spans="1:18" x14ac:dyDescent="0.25">
      <c r="H47" s="12"/>
      <c r="I47" s="12"/>
      <c r="J47" s="12"/>
      <c r="K47" s="12"/>
      <c r="M47" s="304">
        <v>220</v>
      </c>
      <c r="N47" s="305">
        <v>225</v>
      </c>
      <c r="O47" s="305">
        <v>153</v>
      </c>
      <c r="P47" s="306">
        <f t="shared" si="4"/>
        <v>3.0600000000000001E-4</v>
      </c>
      <c r="Q47" s="307">
        <v>1024423627.6697538</v>
      </c>
      <c r="R47" s="308">
        <f t="shared" si="5"/>
        <v>6695579.2658153847</v>
      </c>
    </row>
    <row r="48" spans="1:18" x14ac:dyDescent="0.25">
      <c r="H48" s="12"/>
      <c r="I48" s="12"/>
      <c r="J48" s="12"/>
      <c r="K48" s="12"/>
    </row>
    <row r="49" spans="8:11" x14ac:dyDescent="0.25">
      <c r="H49" s="12"/>
      <c r="I49" s="12"/>
      <c r="J49" s="12"/>
      <c r="K49" s="12"/>
    </row>
    <row r="50" spans="8:11" x14ac:dyDescent="0.25">
      <c r="H50" s="12"/>
      <c r="I50" s="12"/>
      <c r="J50" s="12"/>
      <c r="K50" s="12"/>
    </row>
    <row r="51" spans="8:11" x14ac:dyDescent="0.25">
      <c r="H51" s="12"/>
      <c r="I51" s="12"/>
      <c r="J51" s="12"/>
      <c r="K51" s="12"/>
    </row>
    <row r="52" spans="8:11" x14ac:dyDescent="0.25">
      <c r="H52" s="12"/>
      <c r="I52" s="12"/>
      <c r="J52" s="12"/>
      <c r="K52" s="12"/>
    </row>
    <row r="53" spans="8:11" x14ac:dyDescent="0.25">
      <c r="H53" s="12"/>
      <c r="I53" s="12"/>
      <c r="J53" s="12"/>
      <c r="K53" s="12"/>
    </row>
    <row r="54" spans="8:11" x14ac:dyDescent="0.25">
      <c r="H54" s="12"/>
      <c r="I54" s="12"/>
      <c r="J54" s="12"/>
      <c r="K54"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14907-871A-411B-A0CB-C9BCCFF4DDD0}">
  <dimension ref="A1:X113"/>
  <sheetViews>
    <sheetView tabSelected="1" zoomScale="90" zoomScaleNormal="90" workbookViewId="0"/>
  </sheetViews>
  <sheetFormatPr defaultColWidth="9.109375" defaultRowHeight="15.6" x14ac:dyDescent="0.3"/>
  <cols>
    <col min="1" max="1" width="11" style="2" customWidth="1"/>
    <col min="2" max="6" width="12.77734375" style="2" customWidth="1"/>
    <col min="7" max="8" width="12.33203125" style="2" customWidth="1"/>
    <col min="9" max="9" width="21.77734375" style="2" customWidth="1"/>
    <col min="10" max="10" width="22" style="2" customWidth="1"/>
    <col min="11" max="11" width="3.33203125" style="2" customWidth="1"/>
    <col min="12" max="12" width="4.109375" style="2" customWidth="1"/>
    <col min="13" max="13" width="6.44140625" style="2" customWidth="1"/>
    <col min="14" max="14" width="26.44140625" style="2" customWidth="1"/>
    <col min="15" max="17" width="9.109375" style="2"/>
    <col min="18" max="18" width="18" style="2" customWidth="1"/>
    <col min="19" max="23" width="9.109375" style="2"/>
    <col min="24" max="24" width="3.33203125" style="2" customWidth="1"/>
    <col min="25" max="16384" width="9.109375" style="2"/>
  </cols>
  <sheetData>
    <row r="1" spans="1:24" x14ac:dyDescent="0.3">
      <c r="A1" s="4" t="s">
        <v>1</v>
      </c>
      <c r="B1" s="1"/>
      <c r="C1" s="1"/>
      <c r="D1" s="1"/>
      <c r="E1" s="1"/>
      <c r="F1" s="1"/>
      <c r="G1" s="1"/>
      <c r="H1" s="1"/>
      <c r="I1" s="1"/>
      <c r="J1" s="1"/>
      <c r="K1" s="21"/>
      <c r="L1" s="2" t="s">
        <v>345</v>
      </c>
      <c r="X1" s="21"/>
    </row>
    <row r="2" spans="1:24" x14ac:dyDescent="0.3">
      <c r="A2" s="1" t="s">
        <v>258</v>
      </c>
      <c r="B2" s="1" t="s">
        <v>264</v>
      </c>
      <c r="C2" s="1"/>
      <c r="D2" s="1"/>
      <c r="E2" s="1"/>
      <c r="F2" s="1"/>
      <c r="G2" s="1"/>
      <c r="H2" s="1"/>
      <c r="I2" s="1"/>
      <c r="J2" s="1"/>
      <c r="K2" s="21"/>
      <c r="X2" s="21"/>
    </row>
    <row r="3" spans="1:24" x14ac:dyDescent="0.3">
      <c r="K3" s="21"/>
      <c r="X3" s="21"/>
    </row>
    <row r="4" spans="1:24" x14ac:dyDescent="0.3">
      <c r="K4" s="21"/>
      <c r="X4" s="21"/>
    </row>
    <row r="5" spans="1:24" x14ac:dyDescent="0.3">
      <c r="A5" s="13" t="s">
        <v>29</v>
      </c>
      <c r="B5" s="1" t="s">
        <v>30</v>
      </c>
      <c r="C5" s="1" t="s">
        <v>226</v>
      </c>
      <c r="D5" s="1"/>
      <c r="E5" s="1"/>
      <c r="F5" s="1"/>
      <c r="G5" s="1"/>
      <c r="H5" s="1"/>
      <c r="I5" s="1"/>
      <c r="J5" s="1"/>
      <c r="K5" s="21"/>
      <c r="M5" s="2" t="s">
        <v>29</v>
      </c>
      <c r="N5" s="65" t="s">
        <v>304</v>
      </c>
      <c r="X5" s="21"/>
    </row>
    <row r="6" spans="1:24" x14ac:dyDescent="0.3">
      <c r="A6" s="13"/>
      <c r="B6" s="1"/>
      <c r="C6" s="1"/>
      <c r="D6" s="1"/>
      <c r="E6" s="1"/>
      <c r="F6" s="1"/>
      <c r="G6" s="1"/>
      <c r="H6" s="1"/>
      <c r="I6" s="1"/>
      <c r="J6" s="1"/>
      <c r="K6" s="21"/>
      <c r="X6" s="21"/>
    </row>
    <row r="7" spans="1:24" x14ac:dyDescent="0.3">
      <c r="A7" s="10" t="s">
        <v>0</v>
      </c>
      <c r="K7" s="21"/>
      <c r="N7" s="22"/>
      <c r="R7" s="22"/>
      <c r="X7" s="21"/>
    </row>
    <row r="8" spans="1:24" x14ac:dyDescent="0.3">
      <c r="K8" s="21"/>
      <c r="X8" s="21"/>
    </row>
    <row r="9" spans="1:24" x14ac:dyDescent="0.3">
      <c r="K9" s="21"/>
      <c r="X9" s="21"/>
    </row>
    <row r="10" spans="1:24" x14ac:dyDescent="0.3">
      <c r="K10" s="21"/>
      <c r="X10" s="21"/>
    </row>
    <row r="11" spans="1:24" x14ac:dyDescent="0.3">
      <c r="K11" s="21"/>
      <c r="X11" s="21"/>
    </row>
    <row r="12" spans="1:24" x14ac:dyDescent="0.3">
      <c r="K12" s="21"/>
      <c r="X12" s="21"/>
    </row>
    <row r="13" spans="1:24" x14ac:dyDescent="0.3">
      <c r="K13" s="21"/>
      <c r="N13" s="131"/>
      <c r="X13" s="21"/>
    </row>
    <row r="14" spans="1:24" x14ac:dyDescent="0.3">
      <c r="K14" s="21"/>
      <c r="N14" s="131"/>
      <c r="X14" s="21"/>
    </row>
    <row r="15" spans="1:24" x14ac:dyDescent="0.3">
      <c r="K15" s="21"/>
      <c r="N15" s="131"/>
      <c r="X15" s="21"/>
    </row>
    <row r="16" spans="1:24" x14ac:dyDescent="0.3">
      <c r="K16" s="21"/>
      <c r="N16" s="131"/>
      <c r="X16" s="21"/>
    </row>
    <row r="17" spans="1:24" x14ac:dyDescent="0.3">
      <c r="K17" s="21"/>
      <c r="N17" s="131"/>
      <c r="X17" s="21"/>
    </row>
    <row r="18" spans="1:24" x14ac:dyDescent="0.3">
      <c r="K18" s="21"/>
      <c r="X18" s="21"/>
    </row>
    <row r="19" spans="1:24" x14ac:dyDescent="0.3">
      <c r="A19" s="5" t="s">
        <v>31</v>
      </c>
      <c r="B19" s="1"/>
      <c r="C19" s="1"/>
      <c r="D19" s="1"/>
      <c r="E19" s="1"/>
      <c r="F19" s="1"/>
      <c r="G19" s="1"/>
      <c r="H19" s="1"/>
      <c r="I19" s="1"/>
      <c r="J19" s="1"/>
      <c r="K19" s="21"/>
      <c r="X19" s="21"/>
    </row>
    <row r="20" spans="1:24" ht="46.8" x14ac:dyDescent="0.3">
      <c r="A20" s="1"/>
      <c r="B20" s="37" t="s">
        <v>48</v>
      </c>
      <c r="C20" s="37" t="s">
        <v>42</v>
      </c>
      <c r="D20" s="37" t="s">
        <v>43</v>
      </c>
      <c r="E20" s="37" t="s">
        <v>44</v>
      </c>
      <c r="F20" s="38" t="s">
        <v>45</v>
      </c>
      <c r="G20" s="1"/>
      <c r="H20" s="1"/>
      <c r="I20" s="1"/>
      <c r="J20" s="1"/>
      <c r="K20" s="21"/>
      <c r="X20" s="21"/>
    </row>
    <row r="21" spans="1:24" x14ac:dyDescent="0.3">
      <c r="A21" s="1"/>
      <c r="B21" s="50" t="s">
        <v>49</v>
      </c>
      <c r="C21" s="26">
        <v>80</v>
      </c>
      <c r="D21" s="26">
        <v>85</v>
      </c>
      <c r="E21" s="27">
        <v>0.5</v>
      </c>
      <c r="F21" s="28">
        <v>0.52</v>
      </c>
      <c r="G21" s="1"/>
      <c r="H21" s="1"/>
      <c r="I21" s="1"/>
      <c r="J21" s="1"/>
      <c r="K21" s="21"/>
      <c r="T21" s="41"/>
      <c r="U21" s="41"/>
      <c r="V21" s="41"/>
      <c r="W21" s="41"/>
      <c r="X21" s="21"/>
    </row>
    <row r="22" spans="1:24" x14ac:dyDescent="0.3">
      <c r="A22" s="1"/>
      <c r="B22" s="51" t="s">
        <v>50</v>
      </c>
      <c r="C22" s="26">
        <v>125</v>
      </c>
      <c r="D22" s="26">
        <v>130</v>
      </c>
      <c r="E22" s="29">
        <v>0.2</v>
      </c>
      <c r="F22" s="30">
        <v>0.19</v>
      </c>
      <c r="G22" s="1"/>
      <c r="H22" s="1"/>
      <c r="I22" s="1"/>
      <c r="J22" s="1"/>
      <c r="K22" s="21"/>
      <c r="T22" s="42"/>
      <c r="U22" s="42"/>
      <c r="V22" s="43"/>
      <c r="W22" s="43"/>
      <c r="X22" s="21"/>
    </row>
    <row r="23" spans="1:24" x14ac:dyDescent="0.3">
      <c r="A23" s="1"/>
      <c r="B23" s="51" t="s">
        <v>51</v>
      </c>
      <c r="C23" s="26">
        <v>1500</v>
      </c>
      <c r="D23" s="26">
        <v>1525</v>
      </c>
      <c r="E23" s="29">
        <v>0.1</v>
      </c>
      <c r="F23" s="30">
        <v>0.11</v>
      </c>
      <c r="G23" s="1"/>
      <c r="H23" s="1"/>
      <c r="I23" s="1"/>
      <c r="J23" s="1"/>
      <c r="K23" s="21"/>
      <c r="T23" s="42"/>
      <c r="U23" s="42"/>
      <c r="V23" s="43"/>
      <c r="W23" s="43"/>
      <c r="X23" s="21"/>
    </row>
    <row r="24" spans="1:24" x14ac:dyDescent="0.3">
      <c r="A24" s="1"/>
      <c r="B24" s="51" t="s">
        <v>52</v>
      </c>
      <c r="C24" s="26">
        <v>200</v>
      </c>
      <c r="D24" s="26">
        <v>215</v>
      </c>
      <c r="E24" s="29">
        <v>0.05</v>
      </c>
      <c r="F24" s="30">
        <v>0.05</v>
      </c>
      <c r="G24" s="1"/>
      <c r="H24" s="1"/>
      <c r="I24" s="1"/>
      <c r="J24" s="1"/>
      <c r="K24" s="21"/>
      <c r="T24" s="42"/>
      <c r="U24" s="42"/>
      <c r="V24" s="43"/>
      <c r="W24" s="43"/>
      <c r="X24" s="21"/>
    </row>
    <row r="25" spans="1:24" x14ac:dyDescent="0.3">
      <c r="A25" s="1"/>
      <c r="B25" s="51" t="s">
        <v>53</v>
      </c>
      <c r="C25" s="26">
        <v>500</v>
      </c>
      <c r="D25" s="26">
        <v>530</v>
      </c>
      <c r="E25" s="29">
        <v>0.1</v>
      </c>
      <c r="F25" s="30">
        <v>0.08</v>
      </c>
      <c r="G25" s="1"/>
      <c r="H25" s="1"/>
      <c r="I25" s="1"/>
      <c r="J25" s="1"/>
      <c r="K25" s="21"/>
      <c r="T25" s="42"/>
      <c r="U25" s="42"/>
      <c r="V25" s="43"/>
      <c r="W25" s="43"/>
      <c r="X25" s="21"/>
    </row>
    <row r="26" spans="1:24" x14ac:dyDescent="0.3">
      <c r="A26" s="1"/>
      <c r="B26" s="52" t="s">
        <v>54</v>
      </c>
      <c r="C26" s="31">
        <v>2500</v>
      </c>
      <c r="D26" s="31">
        <v>2610</v>
      </c>
      <c r="E26" s="32">
        <v>0.05</v>
      </c>
      <c r="F26" s="33">
        <v>0.05</v>
      </c>
      <c r="G26" s="1"/>
      <c r="H26" s="1"/>
      <c r="I26" s="1"/>
      <c r="J26" s="1"/>
      <c r="K26" s="21"/>
      <c r="T26" s="42"/>
      <c r="U26" s="42"/>
      <c r="V26" s="43"/>
      <c r="W26" s="43"/>
      <c r="X26" s="21"/>
    </row>
    <row r="27" spans="1:24" x14ac:dyDescent="0.3">
      <c r="A27" s="1"/>
      <c r="B27" s="55" t="s">
        <v>16</v>
      </c>
      <c r="C27" s="35">
        <f>SUMPRODUCT(C21:C26,E21:E26)</f>
        <v>400</v>
      </c>
      <c r="D27" s="35">
        <f>SUMPRODUCT(D21:D26,F21:F26)</f>
        <v>420.3</v>
      </c>
      <c r="E27" s="36">
        <f>SUM(E21:E26)</f>
        <v>1</v>
      </c>
      <c r="F27" s="36">
        <f>SUM(F21:F26)</f>
        <v>1</v>
      </c>
      <c r="G27" s="1"/>
      <c r="H27" s="1"/>
      <c r="I27" s="1"/>
      <c r="J27" s="1"/>
      <c r="K27" s="21"/>
      <c r="T27" s="42"/>
      <c r="U27" s="42"/>
      <c r="V27" s="43"/>
      <c r="W27" s="43"/>
      <c r="X27" s="21"/>
    </row>
    <row r="28" spans="1:24" x14ac:dyDescent="0.3">
      <c r="A28" s="1"/>
      <c r="B28" s="1"/>
      <c r="C28" s="1"/>
      <c r="D28" s="1"/>
      <c r="E28" s="1"/>
      <c r="F28" s="1"/>
      <c r="G28" s="1"/>
      <c r="H28" s="1"/>
      <c r="I28" s="1"/>
      <c r="J28" s="1"/>
      <c r="K28" s="21"/>
      <c r="R28" s="22"/>
      <c r="T28" s="23"/>
      <c r="U28" s="23"/>
      <c r="V28" s="24"/>
      <c r="W28" s="24"/>
      <c r="X28" s="21"/>
    </row>
    <row r="29" spans="1:24" x14ac:dyDescent="0.3">
      <c r="A29" s="1"/>
      <c r="B29" s="6" t="s">
        <v>34</v>
      </c>
      <c r="C29" s="34">
        <v>5.0000000000000001E-3</v>
      </c>
      <c r="D29" s="1"/>
      <c r="E29" s="1"/>
      <c r="F29" s="1"/>
      <c r="G29" s="1"/>
      <c r="H29" s="1"/>
      <c r="I29" s="1"/>
      <c r="J29" s="1"/>
      <c r="K29" s="21"/>
      <c r="X29" s="21"/>
    </row>
    <row r="30" spans="1:24" x14ac:dyDescent="0.3">
      <c r="A30" s="5"/>
      <c r="B30" s="1"/>
      <c r="C30" s="1"/>
      <c r="D30" s="1"/>
      <c r="E30" s="1"/>
      <c r="F30" s="1"/>
      <c r="G30" s="1"/>
      <c r="H30" s="1"/>
      <c r="I30" s="1"/>
      <c r="J30" s="1"/>
      <c r="K30" s="21"/>
      <c r="X30" s="21"/>
    </row>
    <row r="31" spans="1:24" x14ac:dyDescent="0.3">
      <c r="A31" s="13" t="s">
        <v>21</v>
      </c>
      <c r="B31" s="1" t="s">
        <v>30</v>
      </c>
      <c r="C31" s="1" t="s">
        <v>267</v>
      </c>
      <c r="D31" s="1"/>
      <c r="E31" s="1"/>
      <c r="F31" s="1"/>
      <c r="G31" s="1"/>
      <c r="H31" s="1"/>
      <c r="I31" s="1"/>
      <c r="J31" s="1"/>
      <c r="K31" s="21"/>
      <c r="X31" s="21"/>
    </row>
    <row r="32" spans="1:24" x14ac:dyDescent="0.3">
      <c r="A32" s="11"/>
      <c r="B32" s="13" t="s">
        <v>22</v>
      </c>
      <c r="C32" s="1" t="s">
        <v>62</v>
      </c>
      <c r="D32" s="1"/>
      <c r="E32" s="1"/>
      <c r="F32" s="1"/>
      <c r="G32" s="1"/>
      <c r="H32" s="1"/>
      <c r="I32" s="1"/>
      <c r="J32" s="1"/>
      <c r="K32" s="21"/>
      <c r="M32" s="20" t="s">
        <v>21</v>
      </c>
      <c r="R32" s="40" t="s">
        <v>41</v>
      </c>
      <c r="X32" s="21"/>
    </row>
    <row r="33" spans="1:24" x14ac:dyDescent="0.3">
      <c r="A33" s="11"/>
      <c r="B33" s="13" t="s">
        <v>25</v>
      </c>
      <c r="C33" s="1" t="s">
        <v>63</v>
      </c>
      <c r="D33" s="1"/>
      <c r="E33" s="1"/>
      <c r="F33" s="1"/>
      <c r="G33" s="1"/>
      <c r="H33" s="1"/>
      <c r="I33" s="1"/>
      <c r="J33" s="1"/>
      <c r="K33" s="21"/>
      <c r="M33" s="20"/>
      <c r="R33" s="40"/>
      <c r="X33" s="21"/>
    </row>
    <row r="34" spans="1:24" x14ac:dyDescent="0.3">
      <c r="A34" s="11"/>
      <c r="B34" s="13" t="s">
        <v>26</v>
      </c>
      <c r="C34" s="1" t="s">
        <v>64</v>
      </c>
      <c r="D34" s="1"/>
      <c r="E34" s="1"/>
      <c r="F34" s="1"/>
      <c r="G34" s="1"/>
      <c r="H34" s="1"/>
      <c r="I34" s="1"/>
      <c r="J34" s="1"/>
      <c r="K34" s="21"/>
      <c r="M34" s="20"/>
      <c r="R34" s="40"/>
      <c r="X34" s="21"/>
    </row>
    <row r="35" spans="1:24" x14ac:dyDescent="0.3">
      <c r="A35" s="11"/>
      <c r="B35" s="1" t="s">
        <v>36</v>
      </c>
      <c r="C35" s="1"/>
      <c r="D35" s="1"/>
      <c r="E35" s="1"/>
      <c r="F35" s="1"/>
      <c r="G35" s="1"/>
      <c r="H35" s="1"/>
      <c r="I35" s="1"/>
      <c r="J35" s="1"/>
      <c r="K35" s="21"/>
      <c r="M35" s="20"/>
      <c r="R35" s="40"/>
      <c r="X35" s="21"/>
    </row>
    <row r="36" spans="1:24" s="17" customFormat="1" x14ac:dyDescent="0.3">
      <c r="A36" s="11"/>
      <c r="B36" s="1"/>
      <c r="C36" s="1"/>
      <c r="D36" s="1"/>
      <c r="E36" s="1"/>
      <c r="F36" s="1"/>
      <c r="G36" s="1"/>
      <c r="H36" s="1"/>
      <c r="I36" s="1"/>
      <c r="J36" s="1"/>
      <c r="K36" s="21"/>
      <c r="L36" s="2"/>
      <c r="N36" s="2"/>
      <c r="O36" s="48" t="s">
        <v>23</v>
      </c>
      <c r="P36" s="48" t="s">
        <v>24</v>
      </c>
      <c r="Q36" s="48"/>
      <c r="R36" s="48"/>
      <c r="S36" s="48"/>
      <c r="T36" s="48" t="s">
        <v>23</v>
      </c>
      <c r="U36" s="48" t="s">
        <v>24</v>
      </c>
      <c r="V36" s="2"/>
      <c r="W36" s="2"/>
      <c r="X36" s="21"/>
    </row>
    <row r="37" spans="1:24" s="17" customFormat="1" x14ac:dyDescent="0.3">
      <c r="A37" s="10" t="s">
        <v>0</v>
      </c>
      <c r="B37" s="2"/>
      <c r="C37" s="2"/>
      <c r="D37" s="2"/>
      <c r="E37" s="2"/>
      <c r="F37" s="2"/>
      <c r="G37" s="2"/>
      <c r="H37" s="2"/>
      <c r="I37" s="2"/>
      <c r="J37" s="2"/>
      <c r="K37" s="21"/>
      <c r="L37" s="2"/>
      <c r="M37" s="2"/>
      <c r="N37" s="39" t="s">
        <v>37</v>
      </c>
      <c r="O37" s="42">
        <f>SUMPRODUCT(C21:C26,E21:E26)</f>
        <v>400</v>
      </c>
      <c r="P37" s="42">
        <f>SUMPRODUCT(D21:D26,E21:E26)</f>
        <v>415.25</v>
      </c>
      <c r="S37" s="39" t="s">
        <v>39</v>
      </c>
      <c r="T37" s="23">
        <f>SUMPRODUCT(C21:C26,E21:E26)</f>
        <v>400</v>
      </c>
      <c r="U37" s="23">
        <f>SUMPRODUCT(C21:C26,F21:F26)</f>
        <v>405.35</v>
      </c>
      <c r="W37" s="2"/>
      <c r="X37" s="21"/>
    </row>
    <row r="38" spans="1:24" s="17" customFormat="1" x14ac:dyDescent="0.3">
      <c r="A38" s="2" t="s">
        <v>22</v>
      </c>
      <c r="B38" s="2"/>
      <c r="K38" s="21"/>
      <c r="L38" s="2"/>
      <c r="M38" s="2"/>
      <c r="N38" s="39" t="s">
        <v>38</v>
      </c>
      <c r="O38" s="42">
        <f>SUMPRODUCT(D21:D26,E21:E26)</f>
        <v>415.25</v>
      </c>
      <c r="P38" s="42">
        <f>SUMPRODUCT(D21:D26,F21:F26)</f>
        <v>420.3</v>
      </c>
      <c r="S38" s="39" t="s">
        <v>40</v>
      </c>
      <c r="T38" s="23">
        <f>SUMPRODUCT(C21:C26,F21:F26)</f>
        <v>405.35</v>
      </c>
      <c r="U38" s="23">
        <f>SUMPRODUCT(D21:D26,F21:F26)</f>
        <v>420.3</v>
      </c>
      <c r="W38" s="2"/>
      <c r="X38" s="21"/>
    </row>
    <row r="39" spans="1:24" s="17" customFormat="1" x14ac:dyDescent="0.3">
      <c r="A39" s="2"/>
      <c r="B39" s="2"/>
      <c r="K39" s="21"/>
      <c r="L39" s="2"/>
      <c r="M39" s="2"/>
      <c r="N39" s="39"/>
      <c r="O39" s="2"/>
      <c r="P39" s="2"/>
      <c r="S39" s="39"/>
      <c r="T39" s="2"/>
      <c r="U39" s="2"/>
      <c r="W39" s="2"/>
      <c r="X39" s="21"/>
    </row>
    <row r="40" spans="1:24" s="17" customFormat="1" x14ac:dyDescent="0.3">
      <c r="A40" s="2"/>
      <c r="B40" s="2"/>
      <c r="K40" s="21"/>
      <c r="L40" s="2"/>
      <c r="M40" s="2" t="s">
        <v>278</v>
      </c>
      <c r="N40" s="39" t="s">
        <v>32</v>
      </c>
      <c r="O40" s="44">
        <f>P37/O37-1</f>
        <v>3.8124999999999964E-2</v>
      </c>
      <c r="P40" s="2"/>
      <c r="S40" s="39" t="s">
        <v>32</v>
      </c>
      <c r="T40" s="44">
        <f>U38/T38-1</f>
        <v>3.6881707166646072E-2</v>
      </c>
      <c r="U40" s="2"/>
      <c r="W40" s="2"/>
      <c r="X40" s="21"/>
    </row>
    <row r="41" spans="1:24" s="17" customFormat="1" x14ac:dyDescent="0.3">
      <c r="A41" s="2" t="s">
        <v>25</v>
      </c>
      <c r="B41" s="2"/>
      <c r="K41" s="21"/>
      <c r="L41" s="2"/>
      <c r="M41" s="2" t="s">
        <v>279</v>
      </c>
      <c r="N41" s="39" t="s">
        <v>33</v>
      </c>
      <c r="O41" s="44">
        <f>P38/O38-1</f>
        <v>1.2161348585189691E-2</v>
      </c>
      <c r="P41" s="2"/>
      <c r="S41" s="39" t="s">
        <v>33</v>
      </c>
      <c r="T41" s="44">
        <f>U37/T37-1</f>
        <v>1.3375000000000137E-2</v>
      </c>
      <c r="U41" s="2"/>
      <c r="W41" s="2"/>
      <c r="X41" s="21"/>
    </row>
    <row r="42" spans="1:24" s="17" customFormat="1" x14ac:dyDescent="0.3">
      <c r="A42" s="2"/>
      <c r="B42" s="2"/>
      <c r="K42" s="21"/>
      <c r="L42" s="2"/>
      <c r="M42" s="2"/>
      <c r="N42" s="39" t="s">
        <v>34</v>
      </c>
      <c r="O42" s="25">
        <v>5.0000000000000001E-3</v>
      </c>
      <c r="P42" s="2"/>
      <c r="S42" s="39" t="s">
        <v>34</v>
      </c>
      <c r="T42" s="25">
        <v>5.0000000000000001E-3</v>
      </c>
      <c r="U42" s="2"/>
      <c r="W42" s="2"/>
      <c r="X42" s="21"/>
    </row>
    <row r="43" spans="1:24" s="17" customFormat="1" x14ac:dyDescent="0.3">
      <c r="A43" s="2"/>
      <c r="B43" s="2"/>
      <c r="K43" s="21"/>
      <c r="L43" s="2"/>
      <c r="M43" s="2" t="s">
        <v>280</v>
      </c>
      <c r="N43" s="45" t="s">
        <v>35</v>
      </c>
      <c r="O43" s="46">
        <f>(1+O40)*(1+O41)*(1+O42)-1</f>
        <v>5.6003749999999908E-2</v>
      </c>
      <c r="P43" s="2"/>
      <c r="S43" s="45" t="s">
        <v>35</v>
      </c>
      <c r="T43" s="46">
        <f>(1+T40)*(1+T41)*(1+T42)-1</f>
        <v>5.6003749999999908E-2</v>
      </c>
      <c r="U43" s="2"/>
      <c r="W43" s="2"/>
      <c r="X43" s="21"/>
    </row>
    <row r="44" spans="1:24" s="17" customFormat="1" x14ac:dyDescent="0.3">
      <c r="A44" s="2"/>
      <c r="B44" s="2"/>
      <c r="K44" s="21"/>
      <c r="L44" s="2"/>
      <c r="M44" s="2"/>
      <c r="R44" s="2"/>
      <c r="S44" s="2"/>
      <c r="T44" s="2"/>
      <c r="U44" s="2"/>
      <c r="V44" s="2"/>
      <c r="W44" s="2"/>
      <c r="X44" s="21"/>
    </row>
    <row r="45" spans="1:24" s="17" customFormat="1" x14ac:dyDescent="0.3">
      <c r="A45" s="2" t="s">
        <v>26</v>
      </c>
      <c r="B45" s="2"/>
      <c r="K45" s="21"/>
      <c r="L45" s="2"/>
      <c r="M45" s="2"/>
      <c r="N45" s="131"/>
      <c r="O45" s="144"/>
      <c r="P45" s="145"/>
      <c r="Q45" s="2"/>
      <c r="R45" s="2"/>
      <c r="S45" s="2"/>
      <c r="T45" s="2"/>
      <c r="U45" s="2"/>
      <c r="V45" s="2"/>
      <c r="W45" s="2"/>
      <c r="X45" s="21"/>
    </row>
    <row r="46" spans="1:24" s="17" customFormat="1" x14ac:dyDescent="0.3">
      <c r="B46" s="2"/>
      <c r="K46" s="21"/>
      <c r="L46" s="2"/>
      <c r="M46" s="2"/>
      <c r="N46" s="131"/>
      <c r="O46" s="144"/>
      <c r="P46" s="145"/>
      <c r="Q46" s="2"/>
      <c r="R46" s="2"/>
      <c r="S46" s="2"/>
      <c r="T46" s="2"/>
      <c r="U46" s="2"/>
      <c r="V46" s="2"/>
      <c r="W46" s="2"/>
      <c r="X46" s="21"/>
    </row>
    <row r="47" spans="1:24" s="17" customFormat="1" x14ac:dyDescent="0.3">
      <c r="B47" s="2"/>
      <c r="K47" s="21"/>
      <c r="L47" s="2"/>
      <c r="M47" s="2"/>
      <c r="O47" s="144"/>
      <c r="P47" s="145"/>
      <c r="Q47" s="2"/>
      <c r="R47" s="2"/>
      <c r="S47" s="2"/>
      <c r="T47" s="2"/>
      <c r="U47" s="2"/>
      <c r="V47" s="2"/>
      <c r="W47" s="2"/>
      <c r="X47" s="21"/>
    </row>
    <row r="48" spans="1:24" s="17" customFormat="1" x14ac:dyDescent="0.3">
      <c r="B48" s="2"/>
      <c r="K48" s="21"/>
      <c r="L48" s="2"/>
      <c r="M48" s="2"/>
      <c r="O48" s="144"/>
      <c r="P48" s="145"/>
      <c r="Q48" s="2"/>
      <c r="R48" s="2"/>
      <c r="S48" s="2"/>
      <c r="T48" s="2"/>
      <c r="U48" s="2"/>
      <c r="V48" s="2"/>
      <c r="W48" s="2"/>
      <c r="X48" s="21"/>
    </row>
    <row r="49" spans="1:24" s="17" customFormat="1" x14ac:dyDescent="0.3">
      <c r="A49" s="5" t="s">
        <v>31</v>
      </c>
      <c r="B49" s="1"/>
      <c r="C49" s="1"/>
      <c r="D49" s="1"/>
      <c r="E49" s="1"/>
      <c r="F49" s="1"/>
      <c r="G49" s="1"/>
      <c r="H49" s="1"/>
      <c r="I49" s="1"/>
      <c r="J49" s="1"/>
      <c r="K49" s="21"/>
      <c r="L49" s="2"/>
      <c r="M49" s="2"/>
      <c r="N49" s="131"/>
      <c r="O49" s="144"/>
      <c r="P49" s="145"/>
      <c r="Q49" s="2"/>
      <c r="R49" s="2"/>
      <c r="S49" s="2"/>
      <c r="T49" s="2"/>
      <c r="U49" s="2"/>
      <c r="V49" s="2"/>
      <c r="W49" s="2"/>
      <c r="X49" s="21"/>
    </row>
    <row r="50" spans="1:24" s="17" customFormat="1" x14ac:dyDescent="0.3">
      <c r="A50" s="5"/>
      <c r="B50" s="1"/>
      <c r="C50" s="1"/>
      <c r="D50" s="1"/>
      <c r="E50" s="1"/>
      <c r="F50" s="1"/>
      <c r="G50" s="1"/>
      <c r="H50" s="1"/>
      <c r="I50" s="1"/>
      <c r="J50" s="1"/>
      <c r="K50" s="21"/>
      <c r="L50" s="2"/>
      <c r="M50" s="2"/>
      <c r="N50" s="131"/>
      <c r="O50" s="2"/>
      <c r="P50" s="2"/>
      <c r="Q50" s="2"/>
      <c r="R50" s="2"/>
      <c r="S50" s="2"/>
      <c r="T50" s="2"/>
      <c r="U50" s="2"/>
      <c r="V50" s="2"/>
      <c r="W50" s="2"/>
      <c r="X50" s="21"/>
    </row>
    <row r="51" spans="1:24" s="17" customFormat="1" ht="46.8" x14ac:dyDescent="0.3">
      <c r="A51" s="1"/>
      <c r="B51" s="53" t="s">
        <v>48</v>
      </c>
      <c r="C51" s="37" t="s">
        <v>46</v>
      </c>
      <c r="D51" s="37" t="s">
        <v>47</v>
      </c>
      <c r="E51" s="1"/>
      <c r="F51" s="1"/>
      <c r="G51" s="1"/>
      <c r="H51" s="1"/>
      <c r="I51" s="1"/>
      <c r="J51" s="1"/>
      <c r="K51" s="21"/>
      <c r="L51" s="2"/>
      <c r="M51" s="2"/>
      <c r="N51" s="2"/>
      <c r="O51" s="2"/>
      <c r="P51" s="41"/>
      <c r="Q51" s="41"/>
      <c r="R51" s="41"/>
      <c r="S51" s="41"/>
      <c r="T51" s="2"/>
      <c r="U51" s="2"/>
      <c r="V51" s="2"/>
      <c r="W51" s="2"/>
      <c r="X51" s="21"/>
    </row>
    <row r="52" spans="1:24" s="17" customFormat="1" x14ac:dyDescent="0.3">
      <c r="A52" s="1"/>
      <c r="B52" s="50" t="s">
        <v>49</v>
      </c>
      <c r="C52" s="26">
        <v>80</v>
      </c>
      <c r="D52" s="27">
        <v>0.37</v>
      </c>
      <c r="E52" s="1"/>
      <c r="F52" s="1"/>
      <c r="G52" s="1"/>
      <c r="H52" s="1"/>
      <c r="I52" s="1"/>
      <c r="J52" s="1"/>
      <c r="K52" s="21"/>
      <c r="L52" s="2"/>
      <c r="M52" s="2"/>
      <c r="N52" s="2"/>
      <c r="O52" s="2"/>
      <c r="P52" s="42"/>
      <c r="Q52" s="42"/>
      <c r="R52" s="43"/>
      <c r="S52" s="43"/>
      <c r="T52" s="2"/>
      <c r="U52" s="2"/>
      <c r="V52" s="2"/>
      <c r="W52" s="2"/>
      <c r="X52" s="21"/>
    </row>
    <row r="53" spans="1:24" s="17" customFormat="1" x14ac:dyDescent="0.3">
      <c r="A53" s="1"/>
      <c r="B53" s="51" t="s">
        <v>50</v>
      </c>
      <c r="C53" s="26">
        <v>130</v>
      </c>
      <c r="D53" s="29">
        <v>0.12</v>
      </c>
      <c r="E53" s="1"/>
      <c r="F53" s="1"/>
      <c r="G53" s="1"/>
      <c r="H53" s="1"/>
      <c r="I53" s="1"/>
      <c r="J53" s="1"/>
      <c r="K53" s="21"/>
      <c r="L53" s="2"/>
      <c r="M53" s="2"/>
      <c r="N53" s="2"/>
      <c r="O53" s="2"/>
      <c r="P53" s="42"/>
      <c r="Q53" s="42"/>
      <c r="R53" s="43"/>
      <c r="S53" s="43"/>
      <c r="T53" s="2"/>
      <c r="U53" s="2"/>
      <c r="V53" s="2"/>
      <c r="W53" s="2"/>
      <c r="X53" s="21"/>
    </row>
    <row r="54" spans="1:24" s="17" customFormat="1" x14ac:dyDescent="0.3">
      <c r="A54" s="1"/>
      <c r="B54" s="51" t="s">
        <v>51</v>
      </c>
      <c r="C54" s="26">
        <v>1400</v>
      </c>
      <c r="D54" s="29">
        <v>0.03</v>
      </c>
      <c r="E54" s="1"/>
      <c r="F54" s="1"/>
      <c r="G54" s="1"/>
      <c r="H54" s="1"/>
      <c r="I54" s="1"/>
      <c r="J54" s="1"/>
      <c r="K54" s="21"/>
      <c r="L54" s="2"/>
      <c r="M54" s="2"/>
      <c r="N54" s="2"/>
      <c r="O54" s="2"/>
      <c r="P54" s="42"/>
      <c r="Q54" s="42"/>
      <c r="R54" s="43"/>
      <c r="S54" s="43"/>
      <c r="T54" s="2"/>
      <c r="U54" s="2"/>
      <c r="V54" s="2"/>
      <c r="W54" s="2"/>
      <c r="X54" s="21"/>
    </row>
    <row r="55" spans="1:24" s="17" customFormat="1" x14ac:dyDescent="0.3">
      <c r="A55" s="1"/>
      <c r="B55" s="51" t="s">
        <v>52</v>
      </c>
      <c r="C55" s="26">
        <v>215</v>
      </c>
      <c r="D55" s="29">
        <v>0.03</v>
      </c>
      <c r="E55" s="1"/>
      <c r="F55" s="1"/>
      <c r="G55" s="1"/>
      <c r="H55" s="1"/>
      <c r="I55" s="1"/>
      <c r="J55" s="1"/>
      <c r="K55" s="21"/>
      <c r="L55" s="2"/>
      <c r="M55" s="2"/>
      <c r="N55" s="2"/>
      <c r="O55" s="2"/>
      <c r="P55" s="42"/>
      <c r="Q55" s="42"/>
      <c r="R55" s="43"/>
      <c r="S55" s="43"/>
      <c r="T55" s="2"/>
      <c r="U55" s="2"/>
      <c r="V55" s="2"/>
      <c r="W55" s="2"/>
      <c r="X55" s="21"/>
    </row>
    <row r="56" spans="1:24" s="17" customFormat="1" x14ac:dyDescent="0.3">
      <c r="A56" s="1"/>
      <c r="B56" s="51" t="s">
        <v>53</v>
      </c>
      <c r="C56" s="26">
        <v>530</v>
      </c>
      <c r="D56" s="29">
        <v>0.05</v>
      </c>
      <c r="E56" s="1"/>
      <c r="F56" s="1"/>
      <c r="G56" s="1"/>
      <c r="H56" s="1"/>
      <c r="I56" s="1"/>
      <c r="J56" s="1"/>
      <c r="K56" s="21"/>
      <c r="L56" s="2"/>
      <c r="M56" s="2"/>
      <c r="N56" s="2"/>
      <c r="O56" s="2"/>
      <c r="P56" s="42"/>
      <c r="Q56" s="42"/>
      <c r="R56" s="43"/>
      <c r="S56" s="43"/>
      <c r="T56" s="2"/>
      <c r="U56" s="2"/>
      <c r="V56" s="2"/>
      <c r="W56" s="2"/>
      <c r="X56" s="21"/>
    </row>
    <row r="57" spans="1:24" s="17" customFormat="1" x14ac:dyDescent="0.3">
      <c r="A57" s="1"/>
      <c r="B57" s="52" t="s">
        <v>54</v>
      </c>
      <c r="C57" s="31">
        <v>2250</v>
      </c>
      <c r="D57" s="32">
        <v>0.4</v>
      </c>
      <c r="E57" s="1"/>
      <c r="F57" s="1"/>
      <c r="G57" s="1"/>
      <c r="H57" s="1"/>
      <c r="I57" s="1"/>
      <c r="J57" s="1"/>
      <c r="K57" s="21"/>
      <c r="L57" s="2"/>
      <c r="M57" s="2"/>
      <c r="N57" s="2"/>
      <c r="O57" s="2"/>
      <c r="P57" s="42"/>
      <c r="Q57" s="42"/>
      <c r="R57" s="43"/>
      <c r="S57" s="43"/>
      <c r="T57" s="2"/>
      <c r="U57" s="2"/>
      <c r="V57" s="2"/>
      <c r="W57" s="2"/>
      <c r="X57" s="21"/>
    </row>
    <row r="58" spans="1:24" s="17" customFormat="1" x14ac:dyDescent="0.3">
      <c r="A58" s="1"/>
      <c r="B58" s="55" t="s">
        <v>16</v>
      </c>
      <c r="C58" s="35">
        <f>SUMPRODUCT(C52:C57,D52:D57)</f>
        <v>1020.15</v>
      </c>
      <c r="D58" s="36">
        <f>SUM(D52:D57)</f>
        <v>1</v>
      </c>
      <c r="E58" s="1"/>
      <c r="F58" s="1"/>
      <c r="G58" s="1"/>
      <c r="H58" s="1"/>
      <c r="I58" s="1"/>
      <c r="J58" s="1"/>
      <c r="K58" s="21"/>
      <c r="L58" s="2"/>
      <c r="M58" s="2"/>
      <c r="N58" s="22"/>
      <c r="O58" s="2"/>
      <c r="R58" s="24"/>
      <c r="S58" s="49"/>
      <c r="T58" s="2"/>
      <c r="U58" s="2"/>
      <c r="V58" s="2"/>
      <c r="W58" s="2"/>
      <c r="X58" s="21"/>
    </row>
    <row r="59" spans="1:24" s="17" customFormat="1" x14ac:dyDescent="0.3">
      <c r="A59" s="1"/>
      <c r="B59" s="1"/>
      <c r="C59" s="1"/>
      <c r="D59" s="1"/>
      <c r="E59" s="1"/>
      <c r="F59" s="1"/>
      <c r="G59" s="1"/>
      <c r="H59" s="1"/>
      <c r="I59" s="1"/>
      <c r="J59" s="1"/>
      <c r="K59" s="21"/>
      <c r="L59" s="2"/>
      <c r="M59" s="2"/>
      <c r="N59" s="2"/>
      <c r="O59" s="2"/>
      <c r="P59" s="23"/>
      <c r="Q59" s="23"/>
      <c r="R59" s="2"/>
      <c r="S59" s="2"/>
      <c r="T59" s="2"/>
      <c r="U59" s="2"/>
      <c r="V59" s="2"/>
      <c r="W59" s="2"/>
      <c r="X59" s="21"/>
    </row>
    <row r="60" spans="1:24" s="17" customFormat="1" x14ac:dyDescent="0.3">
      <c r="A60" s="1"/>
      <c r="B60" s="6" t="s">
        <v>34</v>
      </c>
      <c r="C60" s="34">
        <v>5.0000000000000001E-3</v>
      </c>
      <c r="D60" s="1"/>
      <c r="E60" s="1"/>
      <c r="F60" s="1"/>
      <c r="G60" s="1"/>
      <c r="H60" s="1"/>
      <c r="I60" s="1"/>
      <c r="J60" s="1"/>
      <c r="K60" s="21"/>
      <c r="L60" s="2"/>
      <c r="M60" s="2"/>
      <c r="V60" s="2"/>
      <c r="W60" s="2"/>
      <c r="X60" s="21"/>
    </row>
    <row r="61" spans="1:24" s="17" customFormat="1" x14ac:dyDescent="0.3">
      <c r="A61" s="1"/>
      <c r="B61" s="1"/>
      <c r="C61" s="1"/>
      <c r="D61" s="1"/>
      <c r="E61" s="1"/>
      <c r="F61" s="1"/>
      <c r="G61" s="1"/>
      <c r="H61" s="1"/>
      <c r="I61" s="1"/>
      <c r="J61" s="1"/>
      <c r="K61" s="21"/>
      <c r="L61" s="2"/>
      <c r="M61" s="2"/>
      <c r="V61" s="2"/>
      <c r="W61" s="2"/>
      <c r="X61" s="21"/>
    </row>
    <row r="62" spans="1:24" s="17" customFormat="1" x14ac:dyDescent="0.3">
      <c r="A62" s="13" t="s">
        <v>15</v>
      </c>
      <c r="B62" s="1" t="s">
        <v>30</v>
      </c>
      <c r="C62" s="1" t="s">
        <v>268</v>
      </c>
      <c r="D62" s="1"/>
      <c r="E62" s="1"/>
      <c r="F62" s="1"/>
      <c r="G62" s="1"/>
      <c r="H62" s="1"/>
      <c r="I62" s="1"/>
      <c r="J62" s="1"/>
      <c r="K62" s="21"/>
      <c r="L62" s="2"/>
      <c r="M62" s="20" t="s">
        <v>15</v>
      </c>
      <c r="N62" s="2"/>
      <c r="O62" s="2"/>
      <c r="P62" s="23"/>
      <c r="R62" s="40" t="s">
        <v>41</v>
      </c>
      <c r="S62" s="2"/>
      <c r="T62" s="2"/>
      <c r="U62" s="2"/>
      <c r="V62" s="2"/>
      <c r="W62" s="2"/>
      <c r="X62" s="21"/>
    </row>
    <row r="63" spans="1:24" x14ac:dyDescent="0.3">
      <c r="A63" s="11"/>
      <c r="B63" s="13" t="s">
        <v>22</v>
      </c>
      <c r="C63" s="1" t="s">
        <v>62</v>
      </c>
      <c r="D63" s="1"/>
      <c r="E63" s="1"/>
      <c r="F63" s="1"/>
      <c r="G63" s="1"/>
      <c r="H63" s="1"/>
      <c r="I63" s="1"/>
      <c r="J63" s="1"/>
      <c r="K63" s="21"/>
      <c r="X63" s="21"/>
    </row>
    <row r="64" spans="1:24" x14ac:dyDescent="0.3">
      <c r="A64" s="11"/>
      <c r="B64" s="13" t="s">
        <v>25</v>
      </c>
      <c r="C64" s="1" t="s">
        <v>63</v>
      </c>
      <c r="D64" s="1"/>
      <c r="E64" s="1"/>
      <c r="F64" s="1"/>
      <c r="G64" s="1"/>
      <c r="H64" s="1"/>
      <c r="I64" s="1"/>
      <c r="J64" s="1"/>
      <c r="K64" s="21"/>
      <c r="O64" s="48" t="s">
        <v>23</v>
      </c>
      <c r="P64" s="48" t="s">
        <v>24</v>
      </c>
      <c r="R64" s="48"/>
      <c r="S64" s="48"/>
      <c r="T64" s="48" t="s">
        <v>23</v>
      </c>
      <c r="U64" s="48" t="s">
        <v>24</v>
      </c>
      <c r="X64" s="21"/>
    </row>
    <row r="65" spans="1:24" x14ac:dyDescent="0.3">
      <c r="A65" s="11"/>
      <c r="B65" s="13" t="s">
        <v>26</v>
      </c>
      <c r="C65" s="1" t="s">
        <v>64</v>
      </c>
      <c r="D65" s="1"/>
      <c r="E65" s="1"/>
      <c r="F65" s="1"/>
      <c r="G65" s="1"/>
      <c r="H65" s="1"/>
      <c r="I65" s="1"/>
      <c r="J65" s="1"/>
      <c r="K65" s="21"/>
      <c r="N65" s="39" t="s">
        <v>37</v>
      </c>
      <c r="O65" s="42">
        <f>SUMPRODUCT(C21:C26,E21:E26)</f>
        <v>400</v>
      </c>
      <c r="P65" s="42">
        <f>SUMPRODUCT(E21:E26,C52:C57)</f>
        <v>382.25</v>
      </c>
      <c r="R65" s="17"/>
      <c r="S65" s="39" t="s">
        <v>39</v>
      </c>
      <c r="T65" s="42">
        <f>C27</f>
        <v>400</v>
      </c>
      <c r="U65" s="42">
        <f>SUMPRODUCT(C21:C26,D52:D57)</f>
        <v>1120.5999999999999</v>
      </c>
      <c r="X65" s="21"/>
    </row>
    <row r="66" spans="1:24" x14ac:dyDescent="0.3">
      <c r="A66" s="11"/>
      <c r="B66" s="1" t="s">
        <v>36</v>
      </c>
      <c r="C66" s="1"/>
      <c r="D66" s="1"/>
      <c r="E66" s="1"/>
      <c r="F66" s="1"/>
      <c r="G66" s="1"/>
      <c r="H66" s="1"/>
      <c r="I66" s="1"/>
      <c r="J66" s="1"/>
      <c r="K66" s="21"/>
      <c r="N66" s="39" t="s">
        <v>38</v>
      </c>
      <c r="O66" s="42">
        <f>SUMPRODUCT(C52:C57,E21:E26)</f>
        <v>382.25</v>
      </c>
      <c r="P66" s="42">
        <f>SUMPRODUCT(C52:C57,D52:D57)</f>
        <v>1020.15</v>
      </c>
      <c r="R66" s="17"/>
      <c r="S66" s="39" t="s">
        <v>40</v>
      </c>
      <c r="T66" s="42">
        <f>U65</f>
        <v>1120.5999999999999</v>
      </c>
      <c r="U66" s="42">
        <f>C58</f>
        <v>1020.15</v>
      </c>
      <c r="X66" s="21"/>
    </row>
    <row r="67" spans="1:24" x14ac:dyDescent="0.3">
      <c r="A67" s="11"/>
      <c r="B67" s="1"/>
      <c r="C67" s="1"/>
      <c r="D67" s="1"/>
      <c r="E67" s="1"/>
      <c r="F67" s="1"/>
      <c r="G67" s="1"/>
      <c r="H67" s="1"/>
      <c r="I67" s="1"/>
      <c r="J67" s="1"/>
      <c r="K67" s="21"/>
      <c r="N67" s="39"/>
      <c r="O67" s="42"/>
      <c r="P67" s="42"/>
      <c r="X67" s="21"/>
    </row>
    <row r="68" spans="1:24" x14ac:dyDescent="0.3">
      <c r="A68" s="10" t="s">
        <v>0</v>
      </c>
      <c r="C68" s="17"/>
      <c r="D68" s="17"/>
      <c r="E68" s="17"/>
      <c r="F68" s="17"/>
      <c r="G68" s="17"/>
      <c r="H68" s="17"/>
      <c r="I68" s="17"/>
      <c r="J68" s="17"/>
      <c r="K68" s="21"/>
      <c r="N68" s="39"/>
      <c r="O68" s="42"/>
      <c r="P68" s="42"/>
      <c r="X68" s="21"/>
    </row>
    <row r="69" spans="1:24" x14ac:dyDescent="0.3">
      <c r="A69" s="2" t="s">
        <v>22</v>
      </c>
      <c r="C69" s="17"/>
      <c r="D69" s="17"/>
      <c r="E69" s="17"/>
      <c r="F69" s="17"/>
      <c r="G69" s="17"/>
      <c r="H69" s="17"/>
      <c r="I69" s="17"/>
      <c r="J69" s="17"/>
      <c r="K69" s="21"/>
      <c r="N69" s="39"/>
      <c r="O69" s="42"/>
      <c r="P69" s="42"/>
      <c r="X69" s="21"/>
    </row>
    <row r="70" spans="1:24" x14ac:dyDescent="0.3">
      <c r="C70" s="17"/>
      <c r="D70" s="17"/>
      <c r="E70" s="17"/>
      <c r="F70" s="17"/>
      <c r="G70" s="17"/>
      <c r="H70" s="17"/>
      <c r="I70" s="17"/>
      <c r="J70" s="17"/>
      <c r="K70" s="21"/>
      <c r="X70" s="21"/>
    </row>
    <row r="71" spans="1:24" x14ac:dyDescent="0.3">
      <c r="C71" s="17"/>
      <c r="D71" s="17"/>
      <c r="E71" s="17"/>
      <c r="F71" s="17"/>
      <c r="G71" s="17"/>
      <c r="H71" s="17"/>
      <c r="I71" s="17"/>
      <c r="J71" s="17"/>
      <c r="K71" s="21"/>
      <c r="M71" s="2" t="s">
        <v>278</v>
      </c>
      <c r="N71" s="2" t="s">
        <v>32</v>
      </c>
      <c r="P71" s="44">
        <f>P65/O65-1</f>
        <v>-4.4375000000000053E-2</v>
      </c>
      <c r="S71" s="2" t="s">
        <v>32</v>
      </c>
      <c r="U71" s="44">
        <f>U66/T66-1</f>
        <v>-8.9639478850615739E-2</v>
      </c>
      <c r="X71" s="21"/>
    </row>
    <row r="72" spans="1:24" x14ac:dyDescent="0.3">
      <c r="A72" s="2" t="s">
        <v>25</v>
      </c>
      <c r="C72" s="17"/>
      <c r="D72" s="17"/>
      <c r="E72" s="17"/>
      <c r="F72" s="17"/>
      <c r="G72" s="17"/>
      <c r="H72" s="17"/>
      <c r="I72" s="17"/>
      <c r="J72" s="17"/>
      <c r="K72" s="21"/>
      <c r="M72" s="2" t="s">
        <v>279</v>
      </c>
      <c r="N72" s="2" t="s">
        <v>33</v>
      </c>
      <c r="P72" s="44">
        <f>P66/O66-1</f>
        <v>1.6688031393067364</v>
      </c>
      <c r="S72" s="2" t="s">
        <v>33</v>
      </c>
      <c r="U72" s="44">
        <f>U65/T65-1</f>
        <v>1.8014999999999999</v>
      </c>
      <c r="X72" s="21"/>
    </row>
    <row r="73" spans="1:24" x14ac:dyDescent="0.3">
      <c r="C73" s="17"/>
      <c r="D73" s="17"/>
      <c r="E73" s="17"/>
      <c r="F73" s="17"/>
      <c r="G73" s="17"/>
      <c r="H73" s="17"/>
      <c r="I73" s="17"/>
      <c r="J73" s="17"/>
      <c r="K73" s="21"/>
      <c r="N73" s="2" t="s">
        <v>34</v>
      </c>
      <c r="P73" s="25">
        <v>5.0000000000000001E-3</v>
      </c>
      <c r="S73" s="2" t="s">
        <v>34</v>
      </c>
      <c r="U73" s="25">
        <v>5.0000000000000001E-3</v>
      </c>
      <c r="X73" s="21"/>
    </row>
    <row r="74" spans="1:24" x14ac:dyDescent="0.3">
      <c r="C74" s="17"/>
      <c r="D74" s="17"/>
      <c r="E74" s="17"/>
      <c r="F74" s="17"/>
      <c r="G74" s="17"/>
      <c r="H74" s="17"/>
      <c r="I74" s="17"/>
      <c r="J74" s="17"/>
      <c r="K74" s="21"/>
      <c r="M74" s="2" t="s">
        <v>280</v>
      </c>
      <c r="N74" s="22" t="s">
        <v>35</v>
      </c>
      <c r="O74" s="22"/>
      <c r="P74" s="46">
        <f>(1+P71)*(1+P72)*(1+P73)-1</f>
        <v>1.5631268749999996</v>
      </c>
      <c r="S74" s="22" t="s">
        <v>35</v>
      </c>
      <c r="U74" s="46">
        <f>(1+U71)*(1+U72)*(1+U73)-1</f>
        <v>1.5631268749999996</v>
      </c>
      <c r="X74" s="21"/>
    </row>
    <row r="75" spans="1:24" x14ac:dyDescent="0.3">
      <c r="C75" s="17"/>
      <c r="D75" s="17"/>
      <c r="E75" s="17"/>
      <c r="F75" s="17"/>
      <c r="G75" s="17"/>
      <c r="H75" s="17"/>
      <c r="I75" s="17"/>
      <c r="J75" s="17"/>
      <c r="K75" s="21"/>
      <c r="X75" s="21"/>
    </row>
    <row r="76" spans="1:24" x14ac:dyDescent="0.3">
      <c r="A76" s="2" t="s">
        <v>26</v>
      </c>
      <c r="C76" s="17"/>
      <c r="D76" s="17"/>
      <c r="E76" s="17"/>
      <c r="F76" s="17"/>
      <c r="G76" s="17"/>
      <c r="H76" s="17"/>
      <c r="I76" s="17"/>
      <c r="J76" s="17"/>
      <c r="K76" s="21"/>
      <c r="N76" s="131"/>
      <c r="O76" s="144"/>
      <c r="P76" s="145"/>
      <c r="X76" s="21"/>
    </row>
    <row r="77" spans="1:24" x14ac:dyDescent="0.3">
      <c r="A77" s="17"/>
      <c r="C77" s="17"/>
      <c r="D77" s="17"/>
      <c r="E77" s="17"/>
      <c r="F77" s="17"/>
      <c r="G77" s="17"/>
      <c r="H77" s="17"/>
      <c r="I77" s="17"/>
      <c r="J77" s="17"/>
      <c r="K77" s="21"/>
      <c r="N77" s="17"/>
      <c r="O77" s="144"/>
      <c r="P77" s="145"/>
      <c r="X77" s="21"/>
    </row>
    <row r="78" spans="1:24" x14ac:dyDescent="0.3">
      <c r="A78" s="17"/>
      <c r="C78" s="17"/>
      <c r="D78" s="17"/>
      <c r="E78" s="17"/>
      <c r="F78" s="17"/>
      <c r="G78" s="17"/>
      <c r="H78" s="17"/>
      <c r="I78" s="17"/>
      <c r="J78" s="17"/>
      <c r="K78" s="21"/>
      <c r="N78" s="17"/>
      <c r="O78" s="144"/>
      <c r="P78" s="145"/>
      <c r="X78" s="21"/>
    </row>
    <row r="79" spans="1:24" x14ac:dyDescent="0.3">
      <c r="A79" s="17"/>
      <c r="C79" s="17"/>
      <c r="D79" s="17"/>
      <c r="E79" s="17"/>
      <c r="F79" s="17"/>
      <c r="G79" s="17"/>
      <c r="H79" s="17"/>
      <c r="I79" s="17"/>
      <c r="J79" s="17"/>
      <c r="K79" s="21"/>
      <c r="N79" s="17"/>
      <c r="O79" s="144"/>
      <c r="P79" s="145"/>
      <c r="X79" s="21"/>
    </row>
    <row r="80" spans="1:24" x14ac:dyDescent="0.3">
      <c r="A80" s="1" t="s">
        <v>55</v>
      </c>
      <c r="B80" s="1"/>
      <c r="C80" s="1"/>
      <c r="D80" s="1"/>
      <c r="E80" s="1"/>
      <c r="F80" s="1"/>
      <c r="G80" s="1"/>
      <c r="H80" s="1"/>
      <c r="I80" s="1"/>
      <c r="J80" s="1"/>
      <c r="K80" s="21"/>
      <c r="N80" s="131"/>
      <c r="X80" s="21"/>
    </row>
    <row r="81" spans="1:24" x14ac:dyDescent="0.3">
      <c r="A81" s="1"/>
      <c r="B81" s="1"/>
      <c r="C81" s="1"/>
      <c r="D81" s="1"/>
      <c r="E81" s="1"/>
      <c r="F81" s="1"/>
      <c r="G81" s="1"/>
      <c r="H81" s="1"/>
      <c r="I81" s="1"/>
      <c r="J81" s="1"/>
      <c r="K81" s="21"/>
      <c r="X81" s="21"/>
    </row>
    <row r="82" spans="1:24" x14ac:dyDescent="0.3">
      <c r="A82" s="13" t="s">
        <v>20</v>
      </c>
      <c r="B82" s="1" t="s">
        <v>56</v>
      </c>
      <c r="C82" s="1" t="s">
        <v>57</v>
      </c>
      <c r="D82" s="1"/>
      <c r="E82" s="1"/>
      <c r="F82" s="1"/>
      <c r="G82" s="1"/>
      <c r="H82" s="1"/>
      <c r="I82" s="1"/>
      <c r="J82" s="1"/>
      <c r="K82" s="21"/>
      <c r="X82" s="21"/>
    </row>
    <row r="83" spans="1:24" x14ac:dyDescent="0.3">
      <c r="A83" s="11"/>
      <c r="B83" s="1"/>
      <c r="C83" s="1"/>
      <c r="D83" s="1"/>
      <c r="E83" s="1"/>
      <c r="F83" s="1"/>
      <c r="G83" s="1"/>
      <c r="H83" s="1"/>
      <c r="I83" s="1"/>
      <c r="J83" s="1"/>
      <c r="K83" s="21"/>
      <c r="M83" s="2" t="s">
        <v>20</v>
      </c>
      <c r="N83" s="65" t="s">
        <v>304</v>
      </c>
      <c r="X83" s="21"/>
    </row>
    <row r="84" spans="1:24" x14ac:dyDescent="0.3">
      <c r="A84" s="10" t="s">
        <v>0</v>
      </c>
      <c r="C84" s="17"/>
      <c r="D84" s="17"/>
      <c r="E84" s="17"/>
      <c r="F84" s="17"/>
      <c r="G84" s="17"/>
      <c r="H84" s="17"/>
      <c r="I84" s="17"/>
      <c r="J84" s="17"/>
      <c r="K84" s="21"/>
      <c r="N84" s="139"/>
      <c r="X84" s="21"/>
    </row>
    <row r="85" spans="1:24" x14ac:dyDescent="0.3">
      <c r="A85" s="17"/>
      <c r="C85" s="17"/>
      <c r="D85" s="17"/>
      <c r="E85" s="17"/>
      <c r="F85" s="17"/>
      <c r="G85" s="17"/>
      <c r="H85" s="17"/>
      <c r="I85" s="17"/>
      <c r="J85" s="17"/>
      <c r="K85" s="21"/>
      <c r="N85" s="139"/>
      <c r="X85" s="21"/>
    </row>
    <row r="86" spans="1:24" x14ac:dyDescent="0.3">
      <c r="A86" s="17"/>
      <c r="C86" s="17"/>
      <c r="D86" s="17"/>
      <c r="E86" s="17"/>
      <c r="F86" s="17"/>
      <c r="G86" s="17"/>
      <c r="H86" s="17"/>
      <c r="I86" s="17"/>
      <c r="J86" s="17"/>
      <c r="K86" s="21"/>
      <c r="N86" s="139"/>
      <c r="X86" s="21"/>
    </row>
    <row r="87" spans="1:24" x14ac:dyDescent="0.3">
      <c r="A87" s="17"/>
      <c r="C87" s="17"/>
      <c r="D87" s="17"/>
      <c r="E87" s="17"/>
      <c r="F87" s="17"/>
      <c r="G87" s="17"/>
      <c r="H87" s="17"/>
      <c r="I87" s="17"/>
      <c r="J87" s="17"/>
      <c r="K87" s="21"/>
      <c r="N87" s="139"/>
      <c r="X87" s="21"/>
    </row>
    <row r="88" spans="1:24" x14ac:dyDescent="0.3">
      <c r="A88" s="17"/>
      <c r="C88" s="17"/>
      <c r="D88" s="17"/>
      <c r="E88" s="17"/>
      <c r="F88" s="17"/>
      <c r="G88" s="17"/>
      <c r="H88" s="17"/>
      <c r="I88" s="17"/>
      <c r="J88" s="17"/>
      <c r="K88" s="21"/>
      <c r="N88" s="139"/>
      <c r="X88" s="21"/>
    </row>
    <row r="89" spans="1:24" x14ac:dyDescent="0.3">
      <c r="A89" s="17"/>
      <c r="C89" s="17"/>
      <c r="D89" s="17"/>
      <c r="E89" s="17"/>
      <c r="F89" s="17"/>
      <c r="G89" s="17"/>
      <c r="H89" s="17"/>
      <c r="I89" s="17"/>
      <c r="J89" s="17"/>
      <c r="K89" s="21"/>
      <c r="N89" s="139"/>
      <c r="X89" s="21"/>
    </row>
    <row r="90" spans="1:24" x14ac:dyDescent="0.3">
      <c r="A90" s="17"/>
      <c r="C90" s="17"/>
      <c r="D90" s="17"/>
      <c r="E90" s="17"/>
      <c r="F90" s="17"/>
      <c r="G90" s="17"/>
      <c r="H90" s="17"/>
      <c r="I90" s="17"/>
      <c r="J90" s="17"/>
      <c r="K90" s="21"/>
      <c r="N90" s="139"/>
      <c r="X90" s="21"/>
    </row>
    <row r="91" spans="1:24" x14ac:dyDescent="0.3">
      <c r="A91" s="17"/>
      <c r="C91" s="17"/>
      <c r="D91" s="17"/>
      <c r="E91" s="17"/>
      <c r="F91" s="17"/>
      <c r="G91" s="17"/>
      <c r="H91" s="17"/>
      <c r="I91" s="17"/>
      <c r="J91" s="17"/>
      <c r="K91" s="21"/>
      <c r="N91" s="139"/>
      <c r="X91" s="21"/>
    </row>
    <row r="92" spans="1:24" x14ac:dyDescent="0.3">
      <c r="A92" s="17"/>
      <c r="C92" s="17"/>
      <c r="D92" s="17"/>
      <c r="E92" s="17"/>
      <c r="F92" s="17"/>
      <c r="G92" s="17"/>
      <c r="H92" s="17"/>
      <c r="I92" s="17"/>
      <c r="J92" s="17"/>
      <c r="K92" s="21"/>
      <c r="N92" s="139"/>
      <c r="X92" s="21"/>
    </row>
    <row r="93" spans="1:24" x14ac:dyDescent="0.3">
      <c r="A93" s="17"/>
      <c r="C93" s="17"/>
      <c r="D93" s="17"/>
      <c r="E93" s="17"/>
      <c r="F93" s="17"/>
      <c r="G93" s="17"/>
      <c r="H93" s="17"/>
      <c r="I93" s="17"/>
      <c r="J93" s="17"/>
      <c r="K93" s="21"/>
      <c r="N93" s="139"/>
      <c r="X93" s="21"/>
    </row>
    <row r="94" spans="1:24" x14ac:dyDescent="0.3">
      <c r="A94" s="17"/>
      <c r="C94" s="17"/>
      <c r="D94" s="17"/>
      <c r="E94" s="17"/>
      <c r="F94" s="17"/>
      <c r="G94" s="17"/>
      <c r="H94" s="17"/>
      <c r="I94" s="17"/>
      <c r="J94" s="17"/>
      <c r="K94" s="21"/>
      <c r="N94" s="139"/>
      <c r="X94" s="21"/>
    </row>
    <row r="95" spans="1:24" x14ac:dyDescent="0.3">
      <c r="A95" s="17"/>
      <c r="C95" s="17"/>
      <c r="D95" s="17"/>
      <c r="E95" s="17"/>
      <c r="F95" s="17"/>
      <c r="G95" s="17"/>
      <c r="H95" s="17"/>
      <c r="I95" s="17"/>
      <c r="J95" s="17"/>
      <c r="K95" s="21"/>
      <c r="N95" s="131"/>
      <c r="X95" s="21"/>
    </row>
    <row r="96" spans="1:24" x14ac:dyDescent="0.3">
      <c r="A96" s="13" t="s">
        <v>58</v>
      </c>
      <c r="B96" s="1" t="s">
        <v>30</v>
      </c>
      <c r="C96" s="1"/>
      <c r="D96" s="1"/>
      <c r="E96" s="1"/>
      <c r="F96" s="1"/>
      <c r="G96" s="1"/>
      <c r="H96" s="1"/>
      <c r="I96" s="1"/>
      <c r="J96" s="1"/>
      <c r="K96" s="21"/>
      <c r="N96" s="131"/>
      <c r="O96" s="131"/>
      <c r="P96" s="131"/>
      <c r="X96" s="21"/>
    </row>
    <row r="97" spans="1:24" x14ac:dyDescent="0.3">
      <c r="A97" s="13"/>
      <c r="B97" s="13" t="s">
        <v>22</v>
      </c>
      <c r="C97" s="1" t="s">
        <v>60</v>
      </c>
      <c r="D97" s="1"/>
      <c r="E97" s="1"/>
      <c r="F97" s="1"/>
      <c r="G97" s="1"/>
      <c r="H97" s="1"/>
      <c r="I97" s="1"/>
      <c r="J97" s="1"/>
      <c r="K97" s="21"/>
      <c r="O97" s="131"/>
      <c r="P97" s="131"/>
      <c r="X97" s="21"/>
    </row>
    <row r="98" spans="1:24" x14ac:dyDescent="0.3">
      <c r="A98" s="3"/>
      <c r="B98" s="13" t="s">
        <v>25</v>
      </c>
      <c r="C98" s="1" t="s">
        <v>59</v>
      </c>
      <c r="D98" s="3"/>
      <c r="E98" s="3"/>
      <c r="F98" s="3"/>
      <c r="G98" s="3"/>
      <c r="H98" s="3"/>
      <c r="I98" s="3"/>
      <c r="J98" s="3"/>
      <c r="K98" s="21"/>
      <c r="O98" s="131"/>
      <c r="P98" s="131"/>
      <c r="X98" s="21"/>
    </row>
    <row r="99" spans="1:24" x14ac:dyDescent="0.3">
      <c r="A99" s="3"/>
      <c r="B99" s="1" t="s">
        <v>61</v>
      </c>
      <c r="C99" s="1"/>
      <c r="D99" s="3"/>
      <c r="E99" s="3"/>
      <c r="F99" s="3"/>
      <c r="G99" s="3"/>
      <c r="H99" s="3"/>
      <c r="I99" s="3"/>
      <c r="J99" s="3"/>
      <c r="K99" s="21"/>
      <c r="O99" s="131"/>
      <c r="P99" s="131"/>
      <c r="X99" s="21"/>
    </row>
    <row r="100" spans="1:24" x14ac:dyDescent="0.3">
      <c r="A100" s="3"/>
      <c r="B100" s="11"/>
      <c r="C100" s="1"/>
      <c r="D100" s="3"/>
      <c r="E100" s="3"/>
      <c r="F100" s="3"/>
      <c r="G100" s="3"/>
      <c r="H100" s="3"/>
      <c r="I100" s="3"/>
      <c r="J100" s="3"/>
      <c r="K100" s="21"/>
      <c r="N100" s="131"/>
      <c r="X100" s="21"/>
    </row>
    <row r="101" spans="1:24" x14ac:dyDescent="0.3">
      <c r="A101" s="10" t="s">
        <v>0</v>
      </c>
      <c r="C101" s="17"/>
      <c r="D101" s="17"/>
      <c r="E101" s="17"/>
      <c r="F101" s="17"/>
      <c r="G101" s="17"/>
      <c r="H101" s="17"/>
      <c r="I101" s="17"/>
      <c r="J101" s="17"/>
      <c r="K101" s="21"/>
      <c r="M101" s="2" t="s">
        <v>58</v>
      </c>
      <c r="N101" s="65" t="s">
        <v>304</v>
      </c>
      <c r="X101" s="21"/>
    </row>
    <row r="102" spans="1:24" x14ac:dyDescent="0.3">
      <c r="A102" s="2" t="s">
        <v>22</v>
      </c>
      <c r="C102" s="17"/>
      <c r="D102" s="17"/>
      <c r="E102" s="17"/>
      <c r="F102" s="17"/>
      <c r="G102" s="17"/>
      <c r="H102" s="17"/>
      <c r="I102" s="17"/>
      <c r="J102" s="17"/>
      <c r="K102" s="21"/>
      <c r="X102" s="21"/>
    </row>
    <row r="103" spans="1:24" x14ac:dyDescent="0.3">
      <c r="C103" s="17"/>
      <c r="D103" s="17"/>
      <c r="E103" s="17"/>
      <c r="F103" s="17"/>
      <c r="G103" s="17"/>
      <c r="H103" s="17"/>
      <c r="I103" s="17"/>
      <c r="J103" s="17"/>
      <c r="K103" s="21"/>
      <c r="X103" s="21"/>
    </row>
    <row r="104" spans="1:24" x14ac:dyDescent="0.3">
      <c r="C104" s="17"/>
      <c r="D104" s="17"/>
      <c r="E104" s="17"/>
      <c r="F104" s="17"/>
      <c r="G104" s="17"/>
      <c r="H104" s="17"/>
      <c r="I104" s="17"/>
      <c r="J104" s="17"/>
      <c r="K104" s="21"/>
      <c r="N104" s="131"/>
      <c r="X104" s="21"/>
    </row>
    <row r="105" spans="1:24" x14ac:dyDescent="0.3">
      <c r="A105" s="2" t="s">
        <v>25</v>
      </c>
      <c r="C105" s="17"/>
      <c r="D105" s="17"/>
      <c r="E105" s="17"/>
      <c r="F105" s="17"/>
      <c r="G105" s="17"/>
      <c r="H105" s="17"/>
      <c r="I105" s="17"/>
      <c r="J105" s="17"/>
      <c r="K105" s="21"/>
      <c r="N105" s="131"/>
      <c r="O105" s="131"/>
      <c r="P105" s="131"/>
      <c r="X105" s="21"/>
    </row>
    <row r="106" spans="1:24" x14ac:dyDescent="0.3">
      <c r="C106" s="17"/>
      <c r="D106" s="17"/>
      <c r="E106" s="17"/>
      <c r="F106" s="17"/>
      <c r="G106" s="17"/>
      <c r="H106" s="17"/>
      <c r="I106" s="17"/>
      <c r="J106" s="17"/>
      <c r="K106" s="21"/>
      <c r="O106" s="131"/>
      <c r="P106" s="131"/>
      <c r="X106" s="21"/>
    </row>
    <row r="107" spans="1:24" x14ac:dyDescent="0.3">
      <c r="C107" s="17"/>
      <c r="D107" s="17"/>
      <c r="E107" s="17"/>
      <c r="F107" s="17"/>
      <c r="G107" s="17"/>
      <c r="H107" s="17"/>
      <c r="I107" s="17"/>
      <c r="J107" s="17"/>
      <c r="K107" s="21"/>
      <c r="O107" s="131"/>
      <c r="P107" s="131"/>
      <c r="X107" s="21"/>
    </row>
    <row r="108" spans="1:24" x14ac:dyDescent="0.3">
      <c r="C108" s="17"/>
      <c r="D108" s="17"/>
      <c r="E108" s="17"/>
      <c r="F108" s="17"/>
      <c r="G108" s="17"/>
      <c r="H108" s="17"/>
      <c r="I108" s="17"/>
      <c r="J108" s="17"/>
      <c r="K108" s="21"/>
      <c r="O108" s="131"/>
      <c r="P108" s="131"/>
      <c r="X108" s="21"/>
    </row>
    <row r="109" spans="1:24" x14ac:dyDescent="0.3">
      <c r="C109" s="17"/>
      <c r="D109" s="17"/>
      <c r="E109" s="17"/>
      <c r="F109" s="17"/>
      <c r="G109" s="17"/>
      <c r="H109" s="17"/>
      <c r="I109" s="17"/>
      <c r="J109" s="17"/>
      <c r="K109" s="21"/>
      <c r="N109" s="139"/>
      <c r="O109" s="131"/>
      <c r="P109" s="131"/>
      <c r="X109" s="21"/>
    </row>
    <row r="110" spans="1:24" x14ac:dyDescent="0.3">
      <c r="A110" s="17"/>
      <c r="C110" s="17"/>
      <c r="D110" s="17"/>
      <c r="E110" s="17"/>
      <c r="F110" s="17"/>
      <c r="G110" s="17"/>
      <c r="H110" s="17"/>
      <c r="I110" s="17"/>
      <c r="J110" s="17"/>
      <c r="K110" s="21"/>
      <c r="N110" s="131"/>
      <c r="O110" s="131"/>
      <c r="P110" s="131"/>
      <c r="X110" s="21"/>
    </row>
    <row r="111" spans="1:24" x14ac:dyDescent="0.3">
      <c r="A111" s="17"/>
      <c r="C111" s="17"/>
      <c r="D111" s="17"/>
      <c r="E111" s="17"/>
      <c r="F111" s="17"/>
      <c r="G111" s="17"/>
      <c r="H111" s="17"/>
      <c r="I111" s="17"/>
      <c r="J111" s="17"/>
      <c r="K111" s="21"/>
      <c r="N111" s="139"/>
      <c r="X111" s="21"/>
    </row>
    <row r="112" spans="1:24" x14ac:dyDescent="0.3">
      <c r="A112" s="17"/>
      <c r="C112" s="17"/>
      <c r="D112" s="17"/>
      <c r="E112" s="17"/>
      <c r="F112" s="17"/>
      <c r="G112" s="17"/>
      <c r="H112" s="17"/>
      <c r="I112" s="17"/>
      <c r="J112" s="17"/>
      <c r="K112" s="21"/>
      <c r="N112" s="139"/>
      <c r="X112" s="21"/>
    </row>
    <row r="113" spans="1:24" x14ac:dyDescent="0.3">
      <c r="A113" s="3" t="s">
        <v>2</v>
      </c>
      <c r="B113" s="3"/>
      <c r="C113" s="3"/>
      <c r="D113" s="3"/>
      <c r="E113" s="3"/>
      <c r="F113" s="3"/>
      <c r="G113" s="3"/>
      <c r="H113" s="3"/>
      <c r="I113" s="3"/>
      <c r="J113" s="3"/>
      <c r="K113" s="3"/>
      <c r="L113" s="3"/>
      <c r="M113" s="3"/>
      <c r="N113" s="3"/>
      <c r="O113" s="3"/>
      <c r="P113" s="3"/>
      <c r="Q113" s="3"/>
      <c r="R113" s="3"/>
      <c r="S113" s="3"/>
      <c r="T113" s="3"/>
      <c r="U113" s="3"/>
      <c r="V113" s="3"/>
      <c r="W113" s="3"/>
      <c r="X113"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0558-E9C6-8940-8F08-0E6FB3C75216}">
  <dimension ref="A1:Y124"/>
  <sheetViews>
    <sheetView zoomScale="90" zoomScaleNormal="90" workbookViewId="0"/>
  </sheetViews>
  <sheetFormatPr defaultColWidth="9.109375" defaultRowHeight="15.6" x14ac:dyDescent="0.3"/>
  <cols>
    <col min="1" max="1" width="15.33203125" style="2" customWidth="1"/>
    <col min="2" max="2" width="19" style="2" customWidth="1"/>
    <col min="3" max="3" width="15.6640625" style="2" customWidth="1"/>
    <col min="4" max="4" width="20.6640625" style="2" customWidth="1"/>
    <col min="5" max="5" width="17.109375" style="2" customWidth="1"/>
    <col min="6" max="7" width="19.44140625" style="2" customWidth="1"/>
    <col min="8" max="8" width="19.33203125" style="2" customWidth="1"/>
    <col min="9" max="9" width="13.6640625" style="2" customWidth="1"/>
    <col min="10" max="10" width="22.109375" style="2" customWidth="1"/>
    <col min="11" max="11" width="18.33203125" style="2" customWidth="1"/>
    <col min="12" max="12" width="3.33203125" style="2" customWidth="1"/>
    <col min="13" max="13" width="9.109375" style="2"/>
    <col min="14" max="14" width="22.6640625" style="2" customWidth="1"/>
    <col min="15" max="15" width="47" style="2" customWidth="1"/>
    <col min="16" max="16" width="38.77734375" style="2" customWidth="1"/>
    <col min="17" max="17" width="42.33203125" style="2" customWidth="1"/>
    <col min="18" max="18" width="30.44140625" style="2" customWidth="1"/>
    <col min="19" max="19" width="21.6640625" style="2" customWidth="1"/>
    <col min="20" max="20" width="14.6640625" style="2" customWidth="1"/>
    <col min="21" max="21" width="14.109375" style="2" customWidth="1"/>
    <col min="22" max="22" width="11.44140625" style="2" customWidth="1"/>
    <col min="23" max="23" width="12" style="2" bestFit="1" customWidth="1"/>
    <col min="24" max="24" width="9.109375" style="2"/>
    <col min="25" max="25" width="3.33203125" style="2" customWidth="1"/>
    <col min="26" max="28" width="9.109375" style="2"/>
    <col min="29" max="29" width="16" style="2" customWidth="1"/>
    <col min="30" max="30" width="8.44140625" style="2" customWidth="1"/>
    <col min="31" max="31" width="43.109375" style="2" customWidth="1"/>
    <col min="32" max="16384" width="9.109375" style="2"/>
  </cols>
  <sheetData>
    <row r="1" spans="1:25" x14ac:dyDescent="0.3">
      <c r="A1" s="4" t="s">
        <v>305</v>
      </c>
      <c r="B1" s="1"/>
      <c r="C1" s="1"/>
      <c r="D1" s="1"/>
      <c r="E1" s="1"/>
      <c r="F1" s="1"/>
      <c r="G1" s="1"/>
      <c r="H1" s="1"/>
      <c r="I1" s="1"/>
      <c r="J1" s="1"/>
      <c r="K1" s="1"/>
      <c r="L1" s="21"/>
      <c r="M1" s="2" t="s">
        <v>345</v>
      </c>
      <c r="Y1" s="21"/>
    </row>
    <row r="2" spans="1:25" x14ac:dyDescent="0.3">
      <c r="A2" s="1" t="s">
        <v>257</v>
      </c>
      <c r="B2" s="1"/>
      <c r="C2" s="1"/>
      <c r="D2" s="1"/>
      <c r="E2" s="1"/>
      <c r="F2" s="1"/>
      <c r="G2" s="1"/>
      <c r="H2" s="1"/>
      <c r="I2" s="1"/>
      <c r="J2" s="1"/>
      <c r="K2" s="1"/>
      <c r="L2" s="21"/>
      <c r="Y2" s="21"/>
    </row>
    <row r="3" spans="1:25" x14ac:dyDescent="0.3">
      <c r="L3" s="21"/>
      <c r="Y3" s="21"/>
    </row>
    <row r="4" spans="1:25" x14ac:dyDescent="0.3">
      <c r="A4" s="13" t="s">
        <v>29</v>
      </c>
      <c r="B4" s="1" t="s">
        <v>56</v>
      </c>
      <c r="C4" s="1" t="s">
        <v>306</v>
      </c>
      <c r="D4" s="1"/>
      <c r="E4" s="1"/>
      <c r="F4" s="1"/>
      <c r="G4" s="1"/>
      <c r="H4" s="1"/>
      <c r="I4" s="1"/>
      <c r="J4" s="1"/>
      <c r="K4" s="1"/>
      <c r="L4" s="21"/>
      <c r="Y4" s="21"/>
    </row>
    <row r="5" spans="1:25" x14ac:dyDescent="0.3">
      <c r="A5" s="13"/>
      <c r="B5" s="1"/>
      <c r="C5" s="1"/>
      <c r="D5" s="1"/>
      <c r="E5" s="1"/>
      <c r="F5" s="1"/>
      <c r="G5" s="1"/>
      <c r="H5" s="1"/>
      <c r="I5" s="1"/>
      <c r="J5" s="1"/>
      <c r="K5" s="1"/>
      <c r="L5" s="21"/>
      <c r="M5" s="2" t="s">
        <v>29</v>
      </c>
      <c r="N5" s="65" t="s">
        <v>304</v>
      </c>
      <c r="Y5" s="21"/>
    </row>
    <row r="6" spans="1:25" x14ac:dyDescent="0.3">
      <c r="A6" s="10" t="s">
        <v>0</v>
      </c>
      <c r="L6" s="21"/>
      <c r="Y6" s="21"/>
    </row>
    <row r="7" spans="1:25" x14ac:dyDescent="0.3">
      <c r="L7" s="21"/>
      <c r="N7" s="232"/>
      <c r="Y7" s="21"/>
    </row>
    <row r="8" spans="1:25" x14ac:dyDescent="0.3">
      <c r="L8" s="21"/>
      <c r="Y8" s="21"/>
    </row>
    <row r="9" spans="1:25" x14ac:dyDescent="0.3">
      <c r="L9" s="21"/>
      <c r="Y9" s="21"/>
    </row>
    <row r="10" spans="1:25" x14ac:dyDescent="0.3">
      <c r="L10" s="21"/>
      <c r="Y10" s="21"/>
    </row>
    <row r="11" spans="1:25" x14ac:dyDescent="0.3">
      <c r="L11" s="21"/>
      <c r="Y11" s="21"/>
    </row>
    <row r="12" spans="1:25" x14ac:dyDescent="0.3">
      <c r="A12" s="1" t="s">
        <v>31</v>
      </c>
      <c r="B12" s="1"/>
      <c r="C12" s="1"/>
      <c r="D12" s="1"/>
      <c r="E12" s="1"/>
      <c r="F12" s="1"/>
      <c r="G12" s="1"/>
      <c r="H12" s="1"/>
      <c r="I12" s="1"/>
      <c r="J12" s="1"/>
      <c r="K12" s="1"/>
      <c r="L12" s="21"/>
      <c r="M12" s="1"/>
      <c r="N12" s="230" t="s">
        <v>307</v>
      </c>
      <c r="O12" s="1"/>
      <c r="P12" s="1"/>
      <c r="Q12" s="1"/>
      <c r="R12" s="1"/>
      <c r="S12" s="1"/>
      <c r="T12" s="233"/>
      <c r="Y12" s="21"/>
    </row>
    <row r="13" spans="1:25" x14ac:dyDescent="0.3">
      <c r="A13" s="1"/>
      <c r="B13" s="1"/>
      <c r="C13" s="1"/>
      <c r="D13" s="1"/>
      <c r="E13" s="1"/>
      <c r="F13" s="1"/>
      <c r="G13" s="1"/>
      <c r="H13" s="1"/>
      <c r="I13" s="1"/>
      <c r="J13" s="1"/>
      <c r="K13" s="1"/>
      <c r="L13" s="21"/>
      <c r="M13" s="1"/>
      <c r="N13" s="5"/>
      <c r="O13" s="1"/>
      <c r="P13" s="1"/>
      <c r="Q13" s="1"/>
      <c r="R13" s="1"/>
      <c r="S13" s="1"/>
      <c r="T13" s="233"/>
      <c r="Y13" s="21"/>
    </row>
    <row r="14" spans="1:25" x14ac:dyDescent="0.3">
      <c r="A14" s="1" t="s">
        <v>308</v>
      </c>
      <c r="B14" s="1"/>
      <c r="C14" s="1"/>
      <c r="D14" s="1"/>
      <c r="E14" s="1"/>
      <c r="F14" s="1"/>
      <c r="G14" s="1"/>
      <c r="H14" s="1"/>
      <c r="I14" s="1"/>
      <c r="J14" s="1"/>
      <c r="K14" s="1"/>
      <c r="L14" s="21"/>
      <c r="M14" s="1"/>
      <c r="N14" s="190"/>
      <c r="O14" s="457" t="s">
        <v>309</v>
      </c>
      <c r="P14" s="459" t="s">
        <v>310</v>
      </c>
      <c r="Q14" s="1"/>
      <c r="R14" s="1"/>
      <c r="S14" s="1"/>
      <c r="T14" s="233"/>
      <c r="Y14" s="21"/>
    </row>
    <row r="15" spans="1:25" x14ac:dyDescent="0.3">
      <c r="A15" s="1"/>
      <c r="B15" s="1"/>
      <c r="C15" s="1"/>
      <c r="D15" s="1"/>
      <c r="E15" s="1"/>
      <c r="F15" s="1"/>
      <c r="G15" s="1"/>
      <c r="H15" s="1"/>
      <c r="I15" s="1"/>
      <c r="J15" s="1"/>
      <c r="K15" s="1"/>
      <c r="L15" s="21"/>
      <c r="M15" s="1"/>
      <c r="N15" s="191" t="s">
        <v>312</v>
      </c>
      <c r="O15" s="458"/>
      <c r="P15" s="458"/>
      <c r="Q15" s="1"/>
      <c r="R15" s="1"/>
      <c r="S15" s="1"/>
      <c r="T15" s="233"/>
      <c r="Y15" s="21"/>
    </row>
    <row r="16" spans="1:25" x14ac:dyDescent="0.3">
      <c r="A16" s="1"/>
      <c r="B16" s="190"/>
      <c r="C16" s="457" t="s">
        <v>309</v>
      </c>
      <c r="D16" s="459" t="s">
        <v>310</v>
      </c>
      <c r="E16" s="1"/>
      <c r="F16" s="1"/>
      <c r="G16" s="1"/>
      <c r="H16" s="1"/>
      <c r="I16" s="1"/>
      <c r="J16" s="1"/>
      <c r="K16" s="1"/>
      <c r="L16" s="21"/>
      <c r="M16" s="1"/>
      <c r="N16" s="192" t="s">
        <v>311</v>
      </c>
      <c r="O16" s="193">
        <v>95000</v>
      </c>
      <c r="P16" s="194">
        <v>1250</v>
      </c>
      <c r="Q16" s="1"/>
      <c r="R16" s="1"/>
      <c r="S16" s="1"/>
      <c r="T16" s="233"/>
      <c r="Y16" s="21"/>
    </row>
    <row r="17" spans="1:25" x14ac:dyDescent="0.3">
      <c r="A17" s="1"/>
      <c r="B17" s="191" t="s">
        <v>312</v>
      </c>
      <c r="C17" s="458"/>
      <c r="D17" s="458"/>
      <c r="E17" s="1"/>
      <c r="F17" s="1"/>
      <c r="G17" s="1"/>
      <c r="H17" s="1"/>
      <c r="I17" s="1"/>
      <c r="J17" s="1"/>
      <c r="K17" s="1"/>
      <c r="L17" s="21"/>
      <c r="M17" s="1"/>
      <c r="N17" s="192" t="s">
        <v>313</v>
      </c>
      <c r="O17" s="195">
        <v>28750</v>
      </c>
      <c r="P17" s="196">
        <v>13500</v>
      </c>
      <c r="Q17" s="1"/>
      <c r="R17" s="1"/>
      <c r="S17" s="1"/>
      <c r="T17" s="233"/>
      <c r="Y17" s="21"/>
    </row>
    <row r="18" spans="1:25" x14ac:dyDescent="0.3">
      <c r="A18" s="1"/>
      <c r="B18" s="192" t="s">
        <v>311</v>
      </c>
      <c r="C18" s="193">
        <v>95000</v>
      </c>
      <c r="D18" s="194">
        <v>1250</v>
      </c>
      <c r="E18" s="1"/>
      <c r="F18" s="1"/>
      <c r="G18" s="1"/>
      <c r="H18" s="1"/>
      <c r="I18" s="1"/>
      <c r="J18" s="1"/>
      <c r="K18" s="1"/>
      <c r="L18" s="21"/>
      <c r="M18" s="1"/>
      <c r="N18" s="197" t="s">
        <v>314</v>
      </c>
      <c r="O18" s="198">
        <f>SUM(O16:O17)/0.99-SUM(O16:O17)</f>
        <v>1250</v>
      </c>
      <c r="P18" s="199">
        <v>87500</v>
      </c>
      <c r="Q18" s="1"/>
      <c r="R18" s="1"/>
      <c r="S18" s="1"/>
      <c r="T18" s="233"/>
      <c r="Y18" s="21"/>
    </row>
    <row r="19" spans="1:25" x14ac:dyDescent="0.3">
      <c r="A19" s="1"/>
      <c r="B19" s="192" t="s">
        <v>313</v>
      </c>
      <c r="C19" s="195">
        <v>28750</v>
      </c>
      <c r="D19" s="196">
        <v>13500</v>
      </c>
      <c r="E19" s="1"/>
      <c r="F19" s="1"/>
      <c r="G19" s="1"/>
      <c r="H19" s="1"/>
      <c r="I19" s="1"/>
      <c r="J19" s="1"/>
      <c r="K19" s="1"/>
      <c r="L19" s="21"/>
      <c r="M19" s="1"/>
      <c r="N19" s="200" t="s">
        <v>14</v>
      </c>
      <c r="O19" s="201">
        <f>SUM(O16:O18)</f>
        <v>125000</v>
      </c>
      <c r="P19" s="202">
        <f>SUMPRODUCT(P16:P18,O16:O18)/O19</f>
        <v>4930</v>
      </c>
      <c r="Q19" s="1"/>
      <c r="R19" s="1"/>
      <c r="S19" s="1"/>
      <c r="T19" s="233"/>
      <c r="Y19" s="21"/>
    </row>
    <row r="20" spans="1:25" x14ac:dyDescent="0.3">
      <c r="A20" s="1"/>
      <c r="B20" s="197" t="s">
        <v>314</v>
      </c>
      <c r="C20" s="198">
        <f>SUM(C18:C19)/0.99-SUM(C18:C19)</f>
        <v>1250</v>
      </c>
      <c r="D20" s="199">
        <v>87500</v>
      </c>
      <c r="E20" s="1"/>
      <c r="F20" s="1"/>
      <c r="G20" s="1"/>
      <c r="H20" s="1"/>
      <c r="I20" s="1"/>
      <c r="J20" s="1"/>
      <c r="K20" s="1"/>
      <c r="L20" s="21"/>
      <c r="T20" s="235"/>
      <c r="Y20" s="21"/>
    </row>
    <row r="21" spans="1:25" x14ac:dyDescent="0.3">
      <c r="A21" s="1"/>
      <c r="B21" s="200" t="s">
        <v>14</v>
      </c>
      <c r="C21" s="201">
        <f>SUM(C18:C20)</f>
        <v>125000</v>
      </c>
      <c r="D21" s="202">
        <f>SUMPRODUCT(D18:D20,C18:C20)/C21</f>
        <v>4930</v>
      </c>
      <c r="E21" s="1"/>
      <c r="F21" s="1"/>
      <c r="G21" s="1"/>
      <c r="H21" s="1"/>
      <c r="I21" s="1"/>
      <c r="J21" s="1"/>
      <c r="K21" s="1"/>
      <c r="L21" s="21"/>
      <c r="T21" s="235"/>
      <c r="Y21" s="21"/>
    </row>
    <row r="22" spans="1:25" x14ac:dyDescent="0.3">
      <c r="A22" s="1"/>
      <c r="B22" s="5"/>
      <c r="C22" s="203"/>
      <c r="D22" s="204"/>
      <c r="E22" s="1"/>
      <c r="F22" s="1"/>
      <c r="G22" s="1"/>
      <c r="H22" s="1"/>
      <c r="I22" s="1"/>
      <c r="J22" s="1"/>
      <c r="K22" s="1"/>
      <c r="L22" s="21"/>
      <c r="T22" s="235"/>
      <c r="Y22" s="21"/>
    </row>
    <row r="23" spans="1:25" x14ac:dyDescent="0.3">
      <c r="A23" s="1" t="s">
        <v>315</v>
      </c>
      <c r="B23" s="5"/>
      <c r="C23" s="203"/>
      <c r="D23" s="204"/>
      <c r="E23" s="1"/>
      <c r="F23" s="1"/>
      <c r="G23" s="1"/>
      <c r="H23" s="1"/>
      <c r="I23" s="1"/>
      <c r="J23" s="1"/>
      <c r="K23" s="1"/>
      <c r="L23" s="21"/>
      <c r="T23" s="235"/>
      <c r="Y23" s="21"/>
    </row>
    <row r="24" spans="1:25" x14ac:dyDescent="0.3">
      <c r="A24" s="1"/>
      <c r="B24" s="5"/>
      <c r="C24" s="203"/>
      <c r="D24" s="204"/>
      <c r="E24" s="1"/>
      <c r="F24" s="1"/>
      <c r="G24" s="1"/>
      <c r="H24" s="1"/>
      <c r="I24" s="1"/>
      <c r="J24" s="1"/>
      <c r="K24" s="1"/>
      <c r="L24" s="21"/>
      <c r="T24" s="235"/>
      <c r="Y24" s="21"/>
    </row>
    <row r="25" spans="1:25" x14ac:dyDescent="0.3">
      <c r="A25" s="1" t="s">
        <v>31</v>
      </c>
      <c r="B25" s="1"/>
      <c r="C25" s="1"/>
      <c r="D25" s="1"/>
      <c r="E25" s="1"/>
      <c r="F25" s="1"/>
      <c r="G25" s="1"/>
      <c r="H25" s="1"/>
      <c r="I25" s="205"/>
      <c r="J25" s="206"/>
      <c r="K25" s="1"/>
      <c r="L25" s="21"/>
      <c r="T25" s="235"/>
      <c r="Y25" s="21"/>
    </row>
    <row r="26" spans="1:25" x14ac:dyDescent="0.3">
      <c r="A26" s="1"/>
      <c r="B26" s="1"/>
      <c r="C26" s="1"/>
      <c r="D26" s="1"/>
      <c r="E26" s="1"/>
      <c r="F26" s="1"/>
      <c r="G26" s="1"/>
      <c r="H26" s="1"/>
      <c r="I26" s="205"/>
      <c r="J26" s="206"/>
      <c r="K26" s="1"/>
      <c r="L26" s="21"/>
      <c r="T26" s="235"/>
      <c r="Y26" s="21"/>
    </row>
    <row r="27" spans="1:25" x14ac:dyDescent="0.3">
      <c r="A27" s="207" t="s">
        <v>316</v>
      </c>
      <c r="B27" s="57"/>
      <c r="C27" s="208">
        <v>0.05</v>
      </c>
      <c r="D27" s="1"/>
      <c r="E27" s="1"/>
      <c r="F27" s="1"/>
      <c r="G27" s="209"/>
      <c r="H27" s="210"/>
      <c r="I27" s="210"/>
      <c r="J27" s="210"/>
      <c r="K27" s="1"/>
      <c r="L27" s="21"/>
      <c r="T27" s="235"/>
      <c r="Y27" s="21"/>
    </row>
    <row r="28" spans="1:25" x14ac:dyDescent="0.3">
      <c r="A28" s="211" t="s">
        <v>317</v>
      </c>
      <c r="B28" s="210"/>
      <c r="C28" s="212">
        <v>0.1</v>
      </c>
      <c r="D28" s="1"/>
      <c r="E28" s="1"/>
      <c r="F28" s="1"/>
      <c r="G28" s="1"/>
      <c r="H28" s="213"/>
      <c r="I28" s="213"/>
      <c r="J28" s="213"/>
      <c r="K28" s="1"/>
      <c r="L28" s="21"/>
      <c r="T28" s="235"/>
      <c r="Y28" s="21"/>
    </row>
    <row r="29" spans="1:25" x14ac:dyDescent="0.3">
      <c r="A29" s="214" t="s">
        <v>318</v>
      </c>
      <c r="B29" s="215"/>
      <c r="C29" s="216">
        <v>0.03</v>
      </c>
      <c r="D29" s="1"/>
      <c r="E29" s="1"/>
      <c r="F29" s="1"/>
      <c r="G29" s="1"/>
      <c r="H29" s="213"/>
      <c r="I29" s="213"/>
      <c r="J29" s="213"/>
      <c r="K29" s="1"/>
      <c r="L29" s="21"/>
      <c r="T29" s="235"/>
      <c r="Y29" s="21"/>
    </row>
    <row r="30" spans="1:25" x14ac:dyDescent="0.3">
      <c r="A30" s="1"/>
      <c r="B30" s="217"/>
      <c r="C30" s="217"/>
      <c r="D30" s="218"/>
      <c r="E30" s="218"/>
      <c r="F30" s="1"/>
      <c r="G30" s="1"/>
      <c r="H30" s="213"/>
      <c r="I30" s="213"/>
      <c r="J30" s="213"/>
      <c r="K30" s="1"/>
      <c r="L30" s="21"/>
      <c r="T30" s="235"/>
      <c r="Y30" s="21"/>
    </row>
    <row r="31" spans="1:25" x14ac:dyDescent="0.3">
      <c r="A31" s="1" t="s">
        <v>319</v>
      </c>
      <c r="B31" s="217"/>
      <c r="C31" s="217"/>
      <c r="D31" s="218"/>
      <c r="E31" s="218"/>
      <c r="F31" s="1"/>
      <c r="G31" s="1"/>
      <c r="H31" s="213"/>
      <c r="I31" s="213"/>
      <c r="J31" s="213"/>
      <c r="K31" s="1"/>
      <c r="L31" s="21"/>
      <c r="T31" s="235"/>
      <c r="Y31" s="21"/>
    </row>
    <row r="32" spans="1:25" x14ac:dyDescent="0.3">
      <c r="A32" s="54" t="s">
        <v>320</v>
      </c>
      <c r="B32" s="1"/>
      <c r="C32" s="1"/>
      <c r="D32" s="1"/>
      <c r="E32" s="1"/>
      <c r="F32" s="1"/>
      <c r="G32" s="1"/>
      <c r="H32" s="1"/>
      <c r="I32" s="213"/>
      <c r="J32" s="213"/>
      <c r="K32" s="1"/>
      <c r="L32" s="21"/>
      <c r="T32" s="235"/>
      <c r="Y32" s="21"/>
    </row>
    <row r="33" spans="1:25" x14ac:dyDescent="0.3">
      <c r="A33" s="54" t="s">
        <v>321</v>
      </c>
      <c r="B33" s="1"/>
      <c r="C33" s="1"/>
      <c r="D33" s="1"/>
      <c r="E33" s="1"/>
      <c r="F33" s="1"/>
      <c r="G33" s="1"/>
      <c r="H33" s="1"/>
      <c r="I33" s="213"/>
      <c r="J33" s="213"/>
      <c r="K33" s="1"/>
      <c r="L33" s="21"/>
      <c r="T33" s="235"/>
      <c r="Y33" s="21"/>
    </row>
    <row r="34" spans="1:25" x14ac:dyDescent="0.3">
      <c r="A34" s="54" t="s">
        <v>322</v>
      </c>
      <c r="B34" s="1"/>
      <c r="C34" s="1"/>
      <c r="D34" s="1"/>
      <c r="E34" s="1"/>
      <c r="F34" s="1"/>
      <c r="G34" s="1"/>
      <c r="H34" s="1"/>
      <c r="I34" s="1"/>
      <c r="J34" s="1"/>
      <c r="K34" s="1"/>
      <c r="L34" s="21"/>
      <c r="T34" s="235"/>
      <c r="Y34" s="21"/>
    </row>
    <row r="35" spans="1:25" x14ac:dyDescent="0.3">
      <c r="A35" s="54" t="s">
        <v>323</v>
      </c>
      <c r="B35" s="217"/>
      <c r="C35" s="217"/>
      <c r="D35" s="218"/>
      <c r="E35" s="218"/>
      <c r="F35" s="1"/>
      <c r="G35" s="1"/>
      <c r="H35" s="1"/>
      <c r="I35" s="1"/>
      <c r="J35" s="1"/>
      <c r="K35" s="1"/>
      <c r="L35" s="21"/>
      <c r="T35" s="235"/>
      <c r="Y35" s="21"/>
    </row>
    <row r="36" spans="1:25" x14ac:dyDescent="0.3">
      <c r="A36" s="1"/>
      <c r="B36" s="217"/>
      <c r="C36" s="217"/>
      <c r="D36" s="218"/>
      <c r="E36" s="218"/>
      <c r="F36" s="1"/>
      <c r="G36" s="1"/>
      <c r="H36" s="1"/>
      <c r="I36" s="1"/>
      <c r="J36" s="1"/>
      <c r="K36" s="1"/>
      <c r="L36" s="21"/>
      <c r="T36" s="235"/>
      <c r="Y36" s="21"/>
    </row>
    <row r="37" spans="1:25" x14ac:dyDescent="0.3">
      <c r="A37" s="13" t="s">
        <v>21</v>
      </c>
      <c r="B37" s="1" t="s">
        <v>76</v>
      </c>
      <c r="C37" s="1" t="s">
        <v>324</v>
      </c>
      <c r="D37" s="1"/>
      <c r="E37" s="1"/>
      <c r="F37" s="1"/>
      <c r="G37" s="1"/>
      <c r="H37" s="1"/>
      <c r="I37" s="1"/>
      <c r="J37" s="1"/>
      <c r="K37" s="1"/>
      <c r="L37" s="21"/>
      <c r="M37" s="47" t="s">
        <v>21</v>
      </c>
      <c r="T37" s="235"/>
      <c r="Y37" s="21"/>
    </row>
    <row r="38" spans="1:25" x14ac:dyDescent="0.3">
      <c r="A38" s="11"/>
      <c r="B38" s="13" t="s">
        <v>22</v>
      </c>
      <c r="C38" s="1" t="s">
        <v>325</v>
      </c>
      <c r="D38" s="1"/>
      <c r="E38" s="1"/>
      <c r="F38" s="1"/>
      <c r="G38" s="1"/>
      <c r="H38" s="1"/>
      <c r="I38" s="1"/>
      <c r="J38" s="1"/>
      <c r="K38" s="1"/>
      <c r="L38" s="21"/>
      <c r="T38" s="235"/>
      <c r="Y38" s="21"/>
    </row>
    <row r="39" spans="1:25" x14ac:dyDescent="0.3">
      <c r="A39" s="11"/>
      <c r="B39" s="13" t="s">
        <v>25</v>
      </c>
      <c r="C39" s="1" t="s">
        <v>326</v>
      </c>
      <c r="D39" s="1"/>
      <c r="E39" s="1"/>
      <c r="F39" s="1"/>
      <c r="G39" s="1"/>
      <c r="H39" s="1"/>
      <c r="I39" s="1"/>
      <c r="J39" s="1"/>
      <c r="K39" s="1"/>
      <c r="L39" s="21"/>
      <c r="T39" s="235"/>
      <c r="Y39" s="21"/>
    </row>
    <row r="40" spans="1:25" x14ac:dyDescent="0.3">
      <c r="A40" s="11"/>
      <c r="B40" s="1" t="s">
        <v>12</v>
      </c>
      <c r="C40" s="1"/>
      <c r="D40" s="1"/>
      <c r="E40" s="1"/>
      <c r="F40" s="1"/>
      <c r="G40" s="1"/>
      <c r="H40" s="1"/>
      <c r="I40" s="1"/>
      <c r="J40" s="1"/>
      <c r="K40" s="1"/>
      <c r="L40" s="21"/>
      <c r="N40" s="236" t="s">
        <v>343</v>
      </c>
      <c r="T40" s="235"/>
      <c r="Y40" s="21"/>
    </row>
    <row r="41" spans="1:25" x14ac:dyDescent="0.3">
      <c r="A41" s="11"/>
      <c r="B41" s="1"/>
      <c r="C41" s="1"/>
      <c r="D41" s="1"/>
      <c r="E41" s="1"/>
      <c r="F41" s="1"/>
      <c r="G41" s="1"/>
      <c r="H41" s="1"/>
      <c r="I41" s="1"/>
      <c r="J41" s="1"/>
      <c r="K41" s="1"/>
      <c r="L41" s="21"/>
      <c r="Y41" s="21"/>
    </row>
    <row r="42" spans="1:25" x14ac:dyDescent="0.3">
      <c r="A42" s="10" t="s">
        <v>0</v>
      </c>
      <c r="L42" s="21"/>
      <c r="T42" s="235"/>
      <c r="Y42" s="21"/>
    </row>
    <row r="43" spans="1:25" x14ac:dyDescent="0.3">
      <c r="L43" s="21"/>
      <c r="O43" s="237" t="s">
        <v>327</v>
      </c>
      <c r="P43" s="238" t="s">
        <v>328</v>
      </c>
      <c r="Q43" s="239" t="s">
        <v>329</v>
      </c>
      <c r="R43" s="239" t="s">
        <v>330</v>
      </c>
      <c r="S43" s="238" t="s">
        <v>331</v>
      </c>
      <c r="T43" s="240" t="s">
        <v>14</v>
      </c>
      <c r="Y43" s="21"/>
    </row>
    <row r="44" spans="1:25" x14ac:dyDescent="0.3">
      <c r="L44" s="21"/>
      <c r="N44" s="2" t="s">
        <v>332</v>
      </c>
      <c r="O44" s="241">
        <f>D21*(1-$C$27)*(1+$C$28)</f>
        <v>5151.8500000000004</v>
      </c>
      <c r="P44" s="243">
        <f>D21*(1-$C$27)*(1+$C$28)</f>
        <v>5151.8500000000004</v>
      </c>
      <c r="Q44" s="242">
        <f>P19*(1+$C$28)</f>
        <v>5423</v>
      </c>
      <c r="R44" s="242">
        <f>P19*(1+$C$28)</f>
        <v>5423</v>
      </c>
      <c r="S44" s="243">
        <f>P19*(1+$C$28)</f>
        <v>5423</v>
      </c>
      <c r="T44" s="244">
        <f>SUMPRODUCT(O44:S44,O45:S45)/T45</f>
        <v>5216.9260000000004</v>
      </c>
      <c r="Y44" s="21"/>
    </row>
    <row r="45" spans="1:25" x14ac:dyDescent="0.3">
      <c r="L45" s="21"/>
      <c r="N45" s="2" t="s">
        <v>333</v>
      </c>
      <c r="O45" s="245">
        <f>O16*0.99</f>
        <v>94050</v>
      </c>
      <c r="P45" s="246">
        <f>O16-O45</f>
        <v>950</v>
      </c>
      <c r="Q45" s="247">
        <f>SUM(O17:O18)-SUM(R45:S45)</f>
        <v>1237.5</v>
      </c>
      <c r="R45" s="247">
        <f>0.99*O17</f>
        <v>28462.5</v>
      </c>
      <c r="S45" s="248">
        <f>0.01*SUM(O17:O18)</f>
        <v>300</v>
      </c>
      <c r="T45" s="249">
        <f>SUM(O45:S45)</f>
        <v>125000</v>
      </c>
      <c r="Y45" s="21"/>
    </row>
    <row r="46" spans="1:25" x14ac:dyDescent="0.3">
      <c r="L46" s="21"/>
      <c r="N46" s="2" t="s">
        <v>334</v>
      </c>
      <c r="O46" s="250">
        <f>(1-$C$27)*P16*(1+$C$29)^2</f>
        <v>1259.8187499999999</v>
      </c>
      <c r="P46" s="251">
        <f>(1-$C$27)*P18*(1+$C$29)^2</f>
        <v>88187.3125</v>
      </c>
      <c r="Q46" s="252">
        <f>P16*(1+$C$29)^2</f>
        <v>1326.125</v>
      </c>
      <c r="R46" s="252">
        <f>P17*(1+$C$29)^2</f>
        <v>14322.15</v>
      </c>
      <c r="S46" s="251">
        <f>P18*(1+$C$29)^2</f>
        <v>92828.75</v>
      </c>
      <c r="T46" s="253">
        <f>SUMPRODUCT(O46:S46,O45:S45)/T45</f>
        <v>5115.1823949999998</v>
      </c>
      <c r="Y46" s="21"/>
    </row>
    <row r="47" spans="1:25" x14ac:dyDescent="0.3">
      <c r="L47" s="21"/>
      <c r="T47" s="254">
        <f>T46-T44</f>
        <v>-101.74360500000057</v>
      </c>
      <c r="Y47" s="21"/>
    </row>
    <row r="48" spans="1:25" x14ac:dyDescent="0.3">
      <c r="L48" s="21"/>
      <c r="T48" s="235"/>
      <c r="Y48" s="21"/>
    </row>
    <row r="49" spans="1:25" x14ac:dyDescent="0.3">
      <c r="L49" s="21"/>
      <c r="T49" s="235"/>
      <c r="Y49" s="21"/>
    </row>
    <row r="50" spans="1:25" x14ac:dyDescent="0.3">
      <c r="L50" s="21"/>
      <c r="N50" s="255" t="s">
        <v>344</v>
      </c>
      <c r="Y50" s="21"/>
    </row>
    <row r="51" spans="1:25" x14ac:dyDescent="0.3">
      <c r="L51" s="21"/>
      <c r="P51" s="256">
        <f>P19*(1+$C$28)-T44</f>
        <v>206.07399999999961</v>
      </c>
      <c r="T51" s="235"/>
      <c r="Y51" s="21"/>
    </row>
    <row r="52" spans="1:25" x14ac:dyDescent="0.3">
      <c r="L52" s="21"/>
      <c r="Y52" s="21"/>
    </row>
    <row r="53" spans="1:25" x14ac:dyDescent="0.3">
      <c r="L53" s="21"/>
      <c r="Y53" s="21"/>
    </row>
    <row r="54" spans="1:25" x14ac:dyDescent="0.3">
      <c r="A54" s="13" t="s">
        <v>15</v>
      </c>
      <c r="B54" s="1" t="s">
        <v>56</v>
      </c>
      <c r="C54" s="1" t="s">
        <v>335</v>
      </c>
      <c r="D54" s="1"/>
      <c r="E54" s="1"/>
      <c r="F54" s="1"/>
      <c r="G54" s="1"/>
      <c r="H54" s="1"/>
      <c r="I54" s="1"/>
      <c r="J54" s="1"/>
      <c r="K54" s="1"/>
      <c r="L54" s="21"/>
      <c r="Y54" s="21"/>
    </row>
    <row r="55" spans="1:25" x14ac:dyDescent="0.3">
      <c r="A55" s="13"/>
      <c r="B55" s="1"/>
      <c r="C55" s="1"/>
      <c r="D55" s="1"/>
      <c r="E55" s="1"/>
      <c r="F55" s="1"/>
      <c r="G55" s="1"/>
      <c r="H55" s="1"/>
      <c r="I55" s="1"/>
      <c r="J55" s="1"/>
      <c r="K55" s="1"/>
      <c r="L55" s="21"/>
      <c r="Y55" s="21"/>
    </row>
    <row r="56" spans="1:25" x14ac:dyDescent="0.3">
      <c r="A56" s="10" t="s">
        <v>0</v>
      </c>
      <c r="L56" s="21"/>
      <c r="Y56" s="21"/>
    </row>
    <row r="57" spans="1:25" x14ac:dyDescent="0.3">
      <c r="L57" s="21"/>
      <c r="M57" s="263" t="s">
        <v>15</v>
      </c>
      <c r="N57" s="65" t="s">
        <v>304</v>
      </c>
      <c r="Y57" s="21"/>
    </row>
    <row r="58" spans="1:25" x14ac:dyDescent="0.3">
      <c r="L58" s="21"/>
      <c r="O58" s="257"/>
      <c r="Y58" s="21"/>
    </row>
    <row r="59" spans="1:25" x14ac:dyDescent="0.3">
      <c r="L59" s="21"/>
      <c r="Y59" s="21"/>
    </row>
    <row r="60" spans="1:25" x14ac:dyDescent="0.3">
      <c r="L60" s="21"/>
      <c r="Y60" s="21"/>
    </row>
    <row r="61" spans="1:25" x14ac:dyDescent="0.3">
      <c r="L61" s="21"/>
      <c r="Q61" s="257"/>
      <c r="Y61" s="21"/>
    </row>
    <row r="62" spans="1:25" x14ac:dyDescent="0.3">
      <c r="L62" s="21"/>
      <c r="Q62" s="257"/>
      <c r="Y62" s="21"/>
    </row>
    <row r="63" spans="1:25" x14ac:dyDescent="0.3">
      <c r="L63" s="21"/>
      <c r="Q63" s="257"/>
      <c r="Y63" s="21"/>
    </row>
    <row r="64" spans="1:25" x14ac:dyDescent="0.3">
      <c r="A64" s="13" t="s">
        <v>20</v>
      </c>
      <c r="B64" s="1" t="s">
        <v>30</v>
      </c>
      <c r="C64" s="219" t="s">
        <v>336</v>
      </c>
      <c r="D64" s="1"/>
      <c r="E64" s="1"/>
      <c r="F64" s="1"/>
      <c r="G64" s="1"/>
      <c r="H64" s="1"/>
      <c r="I64" s="1"/>
      <c r="J64" s="1"/>
      <c r="K64" s="1"/>
      <c r="L64" s="21"/>
      <c r="Q64" s="257"/>
      <c r="Y64" s="21"/>
    </row>
    <row r="65" spans="1:25" x14ac:dyDescent="0.3">
      <c r="A65" s="11"/>
      <c r="B65" s="219"/>
      <c r="C65" s="219" t="s">
        <v>337</v>
      </c>
      <c r="D65" s="1"/>
      <c r="E65" s="1"/>
      <c r="F65" s="1"/>
      <c r="G65" s="1"/>
      <c r="H65" s="1"/>
      <c r="I65" s="1"/>
      <c r="J65" s="1"/>
      <c r="K65" s="1"/>
      <c r="L65" s="21"/>
      <c r="Q65" s="257"/>
      <c r="Y65" s="21"/>
    </row>
    <row r="66" spans="1:25" x14ac:dyDescent="0.3">
      <c r="A66" s="11"/>
      <c r="B66" s="219"/>
      <c r="C66" s="219" t="s">
        <v>338</v>
      </c>
      <c r="D66" s="1"/>
      <c r="E66" s="1"/>
      <c r="F66" s="1"/>
      <c r="G66" s="1"/>
      <c r="H66" s="1"/>
      <c r="I66" s="1"/>
      <c r="J66" s="1"/>
      <c r="K66" s="1"/>
      <c r="L66" s="21"/>
      <c r="Q66" s="257"/>
      <c r="Y66" s="21"/>
    </row>
    <row r="67" spans="1:25" x14ac:dyDescent="0.3">
      <c r="A67" s="11"/>
      <c r="B67" s="219" t="s">
        <v>12</v>
      </c>
      <c r="C67" s="219"/>
      <c r="D67" s="1"/>
      <c r="E67" s="1"/>
      <c r="F67" s="1"/>
      <c r="G67" s="1"/>
      <c r="H67" s="1"/>
      <c r="I67" s="1"/>
      <c r="J67" s="1"/>
      <c r="K67" s="1"/>
      <c r="L67" s="21"/>
      <c r="Q67" s="257"/>
      <c r="Y67" s="21"/>
    </row>
    <row r="68" spans="1:25" x14ac:dyDescent="0.3">
      <c r="A68" s="1"/>
      <c r="B68" s="11"/>
      <c r="C68" s="13"/>
      <c r="D68" s="1"/>
      <c r="E68" s="1"/>
      <c r="F68" s="1"/>
      <c r="G68" s="1"/>
      <c r="H68" s="1"/>
      <c r="I68" s="1"/>
      <c r="J68" s="1"/>
      <c r="K68" s="1"/>
      <c r="L68" s="21"/>
      <c r="Q68" s="257"/>
      <c r="Y68" s="21"/>
    </row>
    <row r="69" spans="1:25" x14ac:dyDescent="0.3">
      <c r="A69" s="10" t="s">
        <v>0</v>
      </c>
      <c r="L69" s="21"/>
      <c r="M69" s="263"/>
      <c r="Q69" s="257"/>
      <c r="Y69" s="21"/>
    </row>
    <row r="70" spans="1:25" ht="46.8" x14ac:dyDescent="0.3">
      <c r="A70" s="10"/>
      <c r="B70" s="220" t="s">
        <v>339</v>
      </c>
      <c r="C70" s="221" t="s">
        <v>311</v>
      </c>
      <c r="D70" s="220" t="s">
        <v>313</v>
      </c>
      <c r="L70" s="21"/>
      <c r="Q70" s="257"/>
      <c r="Y70" s="21"/>
    </row>
    <row r="71" spans="1:25" x14ac:dyDescent="0.3">
      <c r="A71" s="10"/>
      <c r="B71" s="222">
        <v>0</v>
      </c>
      <c r="C71" s="223"/>
      <c r="D71" s="224"/>
      <c r="L71" s="21"/>
      <c r="Q71" s="257"/>
      <c r="Y71" s="21"/>
    </row>
    <row r="72" spans="1:25" x14ac:dyDescent="0.3">
      <c r="A72" s="10"/>
      <c r="B72" s="222">
        <v>0.05</v>
      </c>
      <c r="C72" s="225"/>
      <c r="D72" s="226"/>
      <c r="L72" s="21"/>
      <c r="Q72" s="257"/>
      <c r="Y72" s="21"/>
    </row>
    <row r="73" spans="1:25" x14ac:dyDescent="0.3">
      <c r="A73" s="10"/>
      <c r="B73" s="222">
        <v>0.1</v>
      </c>
      <c r="C73" s="225"/>
      <c r="D73" s="226"/>
      <c r="L73" s="21"/>
      <c r="Q73" s="257"/>
      <c r="Y73" s="21"/>
    </row>
    <row r="74" spans="1:25" x14ac:dyDescent="0.3">
      <c r="A74" s="10"/>
      <c r="B74" s="222">
        <v>0.15</v>
      </c>
      <c r="C74" s="225"/>
      <c r="D74" s="226"/>
      <c r="L74" s="21"/>
      <c r="Q74" s="257"/>
      <c r="Y74" s="21"/>
    </row>
    <row r="75" spans="1:25" x14ac:dyDescent="0.3">
      <c r="A75" s="10"/>
      <c r="B75" s="222">
        <v>0.2</v>
      </c>
      <c r="C75" s="225"/>
      <c r="D75" s="226"/>
      <c r="L75" s="21"/>
      <c r="Q75" s="257"/>
      <c r="Y75" s="21"/>
    </row>
    <row r="76" spans="1:25" x14ac:dyDescent="0.3">
      <c r="A76" s="10"/>
      <c r="B76" s="227">
        <v>0.25</v>
      </c>
      <c r="C76" s="228"/>
      <c r="D76" s="229"/>
      <c r="L76" s="21"/>
      <c r="Q76" s="257"/>
      <c r="Y76" s="21"/>
    </row>
    <row r="77" spans="1:25" x14ac:dyDescent="0.3">
      <c r="A77" s="10"/>
      <c r="L77" s="21"/>
      <c r="Q77" s="257"/>
      <c r="Y77" s="21"/>
    </row>
    <row r="78" spans="1:25" x14ac:dyDescent="0.3">
      <c r="A78" s="10"/>
      <c r="L78" s="21"/>
      <c r="Q78" s="257"/>
      <c r="Y78" s="21"/>
    </row>
    <row r="79" spans="1:25" x14ac:dyDescent="0.3">
      <c r="A79" s="10"/>
      <c r="L79" s="21"/>
      <c r="Q79" s="257"/>
      <c r="Y79" s="21"/>
    </row>
    <row r="80" spans="1:25" x14ac:dyDescent="0.3">
      <c r="A80" s="10"/>
      <c r="L80" s="21"/>
      <c r="Q80" s="257"/>
      <c r="Y80" s="21"/>
    </row>
    <row r="81" spans="1:25" x14ac:dyDescent="0.3">
      <c r="A81" s="10"/>
      <c r="L81" s="21"/>
      <c r="M81" s="263" t="s">
        <v>20</v>
      </c>
      <c r="N81" s="2" t="s">
        <v>347</v>
      </c>
      <c r="Y81" s="21"/>
    </row>
    <row r="82" spans="1:25" x14ac:dyDescent="0.3">
      <c r="A82" s="10"/>
      <c r="L82" s="21"/>
      <c r="O82" s="258" t="s">
        <v>339</v>
      </c>
      <c r="P82" s="259" t="s">
        <v>340</v>
      </c>
      <c r="Q82" s="260" t="s">
        <v>341</v>
      </c>
      <c r="Y82" s="21"/>
    </row>
    <row r="83" spans="1:25" x14ac:dyDescent="0.3">
      <c r="A83" s="10"/>
      <c r="L83" s="21"/>
      <c r="O83" s="261">
        <v>0</v>
      </c>
      <c r="P83" s="223">
        <v>0.1</v>
      </c>
      <c r="Q83" s="224">
        <v>0.05</v>
      </c>
      <c r="Y83" s="21"/>
    </row>
    <row r="84" spans="1:25" x14ac:dyDescent="0.3">
      <c r="A84" s="10"/>
      <c r="L84" s="21"/>
      <c r="O84" s="261">
        <v>0.05</v>
      </c>
      <c r="P84" s="225">
        <f>P83+3%</f>
        <v>0.13</v>
      </c>
      <c r="Q84" s="226">
        <f>Q83+1.5%</f>
        <v>6.5000000000000002E-2</v>
      </c>
      <c r="Y84" s="21"/>
    </row>
    <row r="85" spans="1:25" x14ac:dyDescent="0.3">
      <c r="A85" s="10"/>
      <c r="L85" s="21"/>
      <c r="O85" s="261">
        <v>0.1</v>
      </c>
      <c r="P85" s="225">
        <f t="shared" ref="P85" si="0">P84+3%</f>
        <v>0.16</v>
      </c>
      <c r="Q85" s="226">
        <f t="shared" ref="Q85" si="1">Q84+1.5%</f>
        <v>0.08</v>
      </c>
      <c r="Y85" s="21"/>
    </row>
    <row r="86" spans="1:25" x14ac:dyDescent="0.3">
      <c r="A86" s="10"/>
      <c r="L86" s="21"/>
      <c r="O86" s="261">
        <v>0.15</v>
      </c>
      <c r="P86" s="225">
        <f>P85+3%</f>
        <v>0.19</v>
      </c>
      <c r="Q86" s="226">
        <f>Q85+1.5%</f>
        <v>9.5000000000000001E-2</v>
      </c>
      <c r="Y86" s="21"/>
    </row>
    <row r="87" spans="1:25" x14ac:dyDescent="0.3">
      <c r="A87" s="10"/>
      <c r="L87" s="21"/>
      <c r="O87" s="261">
        <v>0.2</v>
      </c>
      <c r="P87" s="225">
        <f>P86+3%</f>
        <v>0.22</v>
      </c>
      <c r="Q87" s="226">
        <f>Q86+1.5%</f>
        <v>0.11</v>
      </c>
      <c r="Y87" s="21"/>
    </row>
    <row r="88" spans="1:25" x14ac:dyDescent="0.3">
      <c r="A88" s="10"/>
      <c r="L88" s="21"/>
      <c r="O88" s="262">
        <v>0.25</v>
      </c>
      <c r="P88" s="228">
        <f>P87+3%</f>
        <v>0.25</v>
      </c>
      <c r="Q88" s="229">
        <f>Q87+1.5%</f>
        <v>0.125</v>
      </c>
      <c r="Y88" s="21"/>
    </row>
    <row r="89" spans="1:25" x14ac:dyDescent="0.3">
      <c r="A89" s="10"/>
      <c r="L89" s="21"/>
      <c r="Y89" s="21"/>
    </row>
    <row r="90" spans="1:25" x14ac:dyDescent="0.3">
      <c r="A90" s="10"/>
      <c r="L90" s="21"/>
      <c r="Y90" s="21"/>
    </row>
    <row r="91" spans="1:25" x14ac:dyDescent="0.3">
      <c r="A91" s="10"/>
      <c r="L91" s="21"/>
      <c r="Y91" s="21"/>
    </row>
    <row r="92" spans="1:25" x14ac:dyDescent="0.3">
      <c r="A92" s="10"/>
      <c r="L92" s="21"/>
      <c r="Y92" s="21"/>
    </row>
    <row r="93" spans="1:25" x14ac:dyDescent="0.3">
      <c r="A93" s="10"/>
      <c r="L93" s="21"/>
      <c r="Y93" s="21"/>
    </row>
    <row r="94" spans="1:25" x14ac:dyDescent="0.3">
      <c r="A94" s="10"/>
      <c r="L94" s="21"/>
      <c r="Y94" s="21"/>
    </row>
    <row r="95" spans="1:25" x14ac:dyDescent="0.3">
      <c r="A95" s="10"/>
      <c r="L95" s="21"/>
      <c r="Y95" s="21"/>
    </row>
    <row r="96" spans="1:25" x14ac:dyDescent="0.3">
      <c r="A96" s="10"/>
      <c r="L96" s="21"/>
      <c r="Y96" s="21"/>
    </row>
    <row r="97" spans="1:25" x14ac:dyDescent="0.3">
      <c r="A97" s="10"/>
      <c r="L97" s="21"/>
      <c r="Y97" s="21"/>
    </row>
    <row r="98" spans="1:25" x14ac:dyDescent="0.3">
      <c r="A98" s="10"/>
      <c r="L98" s="21"/>
      <c r="Y98" s="21"/>
    </row>
    <row r="99" spans="1:25" x14ac:dyDescent="0.3">
      <c r="A99" s="10"/>
      <c r="L99" s="21"/>
      <c r="Y99" s="21"/>
    </row>
    <row r="100" spans="1:25" x14ac:dyDescent="0.3">
      <c r="A100" s="10"/>
      <c r="L100" s="21"/>
      <c r="Y100" s="21"/>
    </row>
    <row r="101" spans="1:25" x14ac:dyDescent="0.3">
      <c r="A101" s="10"/>
      <c r="L101" s="21"/>
      <c r="Y101" s="21"/>
    </row>
    <row r="102" spans="1:25" x14ac:dyDescent="0.3">
      <c r="A102" s="10"/>
      <c r="L102" s="21"/>
      <c r="Y102" s="21"/>
    </row>
    <row r="103" spans="1:25" x14ac:dyDescent="0.3">
      <c r="A103" s="10"/>
      <c r="L103" s="21"/>
      <c r="Y103" s="21"/>
    </row>
    <row r="104" spans="1:25" x14ac:dyDescent="0.3">
      <c r="A104" s="10"/>
      <c r="L104" s="21"/>
      <c r="Y104" s="21"/>
    </row>
    <row r="105" spans="1:25" x14ac:dyDescent="0.3">
      <c r="A105" s="10"/>
      <c r="L105" s="21"/>
      <c r="Y105" s="21"/>
    </row>
    <row r="106" spans="1:25" x14ac:dyDescent="0.3">
      <c r="A106" s="10"/>
      <c r="L106" s="21"/>
      <c r="Y106" s="21"/>
    </row>
    <row r="107" spans="1:25" x14ac:dyDescent="0.3">
      <c r="A107" s="13" t="s">
        <v>58</v>
      </c>
      <c r="B107" s="1" t="s">
        <v>56</v>
      </c>
      <c r="C107" s="1" t="s">
        <v>342</v>
      </c>
      <c r="D107" s="1"/>
      <c r="E107" s="1"/>
      <c r="F107" s="1"/>
      <c r="G107" s="1"/>
      <c r="H107" s="1"/>
      <c r="I107" s="1"/>
      <c r="J107" s="1"/>
      <c r="K107" s="1"/>
      <c r="L107" s="21"/>
      <c r="Y107" s="21"/>
    </row>
    <row r="108" spans="1:25" x14ac:dyDescent="0.3">
      <c r="A108" s="13"/>
      <c r="B108" s="1"/>
      <c r="C108" s="1"/>
      <c r="D108" s="1"/>
      <c r="E108" s="1"/>
      <c r="F108" s="1"/>
      <c r="G108" s="1"/>
      <c r="H108" s="1"/>
      <c r="I108" s="1"/>
      <c r="J108" s="1"/>
      <c r="K108" s="1"/>
      <c r="L108" s="21"/>
      <c r="Y108" s="21"/>
    </row>
    <row r="109" spans="1:25" x14ac:dyDescent="0.3">
      <c r="A109" s="10" t="s">
        <v>0</v>
      </c>
      <c r="L109" s="21"/>
      <c r="M109" s="263" t="s">
        <v>346</v>
      </c>
      <c r="N109" s="65" t="s">
        <v>304</v>
      </c>
      <c r="Y109" s="21"/>
    </row>
    <row r="110" spans="1:25" x14ac:dyDescent="0.3">
      <c r="L110" s="21"/>
      <c r="Y110" s="21"/>
    </row>
    <row r="111" spans="1:25" s="3" customFormat="1" x14ac:dyDescent="0.3">
      <c r="A111" s="2"/>
      <c r="B111" s="2"/>
      <c r="C111" s="2"/>
      <c r="D111" s="2"/>
      <c r="E111" s="2"/>
      <c r="F111" s="2"/>
      <c r="G111" s="2"/>
      <c r="H111" s="2"/>
      <c r="I111" s="2"/>
      <c r="J111" s="2"/>
      <c r="K111" s="2"/>
      <c r="L111" s="21"/>
      <c r="M111" s="2"/>
      <c r="N111" s="2"/>
      <c r="O111" s="2"/>
      <c r="P111" s="2"/>
      <c r="Q111" s="2"/>
      <c r="R111" s="2"/>
      <c r="S111" s="2"/>
      <c r="T111" s="2"/>
      <c r="U111" s="2"/>
      <c r="V111" s="2"/>
      <c r="W111" s="2"/>
      <c r="X111" s="2"/>
      <c r="Y111" s="21"/>
    </row>
    <row r="112" spans="1:25" x14ac:dyDescent="0.3">
      <c r="L112" s="21"/>
      <c r="Y112" s="21"/>
    </row>
    <row r="113" spans="1:25" x14ac:dyDescent="0.3">
      <c r="L113" s="21"/>
      <c r="Y113" s="21"/>
    </row>
    <row r="114" spans="1:25" x14ac:dyDescent="0.3">
      <c r="L114" s="21"/>
      <c r="Y114" s="21"/>
    </row>
    <row r="115" spans="1:25" x14ac:dyDescent="0.3">
      <c r="L115" s="21"/>
      <c r="Y115" s="21"/>
    </row>
    <row r="116" spans="1:25" x14ac:dyDescent="0.3">
      <c r="L116" s="21"/>
      <c r="Y116" s="21"/>
    </row>
    <row r="117" spans="1:25" x14ac:dyDescent="0.3">
      <c r="L117" s="21"/>
      <c r="Y117" s="21"/>
    </row>
    <row r="118" spans="1:25" x14ac:dyDescent="0.3">
      <c r="L118" s="21"/>
      <c r="Y118" s="21"/>
    </row>
    <row r="119" spans="1:25" x14ac:dyDescent="0.3">
      <c r="L119" s="21"/>
      <c r="Y119" s="21"/>
    </row>
    <row r="120" spans="1:25" x14ac:dyDescent="0.3">
      <c r="L120" s="21"/>
      <c r="Y120" s="21"/>
    </row>
    <row r="121" spans="1:25" x14ac:dyDescent="0.3">
      <c r="A121" s="3" t="s">
        <v>2</v>
      </c>
      <c r="B121" s="3"/>
      <c r="C121" s="3"/>
      <c r="D121" s="3"/>
      <c r="E121" s="3"/>
      <c r="F121" s="3"/>
      <c r="G121" s="3"/>
      <c r="H121" s="3"/>
      <c r="I121" s="3"/>
      <c r="J121" s="3"/>
      <c r="K121" s="3"/>
      <c r="L121" s="21"/>
      <c r="Y121" s="21"/>
    </row>
    <row r="122" spans="1:25" x14ac:dyDescent="0.3">
      <c r="Y122" s="21"/>
    </row>
    <row r="123" spans="1:25" x14ac:dyDescent="0.3">
      <c r="Y123" s="21"/>
    </row>
    <row r="124" spans="1:25" x14ac:dyDescent="0.3">
      <c r="Y124" s="21"/>
    </row>
  </sheetData>
  <mergeCells count="4">
    <mergeCell ref="O14:O15"/>
    <mergeCell ref="P14:P15"/>
    <mergeCell ref="C16:C17"/>
    <mergeCell ref="D16:D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49BD-96DE-45BE-964D-B2E8F0AC31DF}">
  <dimension ref="A1:X131"/>
  <sheetViews>
    <sheetView zoomScale="90" zoomScaleNormal="90" workbookViewId="0"/>
  </sheetViews>
  <sheetFormatPr defaultColWidth="9.109375" defaultRowHeight="15.6" x14ac:dyDescent="0.3"/>
  <cols>
    <col min="1" max="1" width="10.6640625" style="2" customWidth="1"/>
    <col min="2" max="2" width="16" style="2" customWidth="1"/>
    <col min="3" max="3" width="18.6640625" style="2" customWidth="1"/>
    <col min="4" max="4" width="12" style="2" customWidth="1"/>
    <col min="5" max="8" width="11.33203125" style="2" customWidth="1"/>
    <col min="9" max="10" width="25.6640625" style="2" customWidth="1"/>
    <col min="11" max="11" width="3.33203125" style="2" customWidth="1"/>
    <col min="12" max="12" width="4.109375" style="2" customWidth="1"/>
    <col min="13" max="13" width="26" style="2" customWidth="1"/>
    <col min="14" max="14" width="21.77734375" style="2" customWidth="1"/>
    <col min="15" max="15" width="19.6640625" style="2" customWidth="1"/>
    <col min="16" max="16" width="12.44140625" style="2" customWidth="1"/>
    <col min="17" max="17" width="25" style="2" customWidth="1"/>
    <col min="18" max="18" width="12.44140625" style="2" customWidth="1"/>
    <col min="19" max="19" width="26.6640625" style="2" bestFit="1" customWidth="1"/>
    <col min="20" max="20" width="21.77734375" style="2" customWidth="1"/>
    <col min="21" max="21" width="12.44140625" style="2" customWidth="1"/>
    <col min="22" max="23" width="9.109375" style="2"/>
    <col min="24" max="24" width="3.33203125" style="2" customWidth="1"/>
    <col min="25" max="16384" width="9.109375" style="2"/>
  </cols>
  <sheetData>
    <row r="1" spans="1:24" x14ac:dyDescent="0.3">
      <c r="A1" s="4" t="s">
        <v>255</v>
      </c>
      <c r="B1" s="1"/>
      <c r="C1" s="1"/>
      <c r="D1" s="1"/>
      <c r="E1" s="1"/>
      <c r="F1" s="1"/>
      <c r="G1" s="1"/>
      <c r="H1" s="1"/>
      <c r="I1" s="1"/>
      <c r="J1" s="1"/>
      <c r="K1" s="21"/>
      <c r="L1" s="12" t="s">
        <v>345</v>
      </c>
      <c r="X1" s="21"/>
    </row>
    <row r="2" spans="1:24" x14ac:dyDescent="0.3">
      <c r="A2" s="1" t="s">
        <v>257</v>
      </c>
      <c r="B2" s="1"/>
      <c r="C2" s="1"/>
      <c r="D2" s="1"/>
      <c r="E2" s="1"/>
      <c r="F2" s="1"/>
      <c r="G2" s="1"/>
      <c r="H2" s="1"/>
      <c r="I2" s="1"/>
      <c r="J2" s="1"/>
      <c r="K2" s="21"/>
      <c r="X2" s="21"/>
    </row>
    <row r="3" spans="1:24" x14ac:dyDescent="0.3">
      <c r="K3" s="21"/>
      <c r="X3" s="21"/>
    </row>
    <row r="4" spans="1:24" x14ac:dyDescent="0.3">
      <c r="K4" s="21"/>
      <c r="X4" s="21"/>
    </row>
    <row r="5" spans="1:24" x14ac:dyDescent="0.3">
      <c r="A5" s="13" t="s">
        <v>29</v>
      </c>
      <c r="B5" s="1" t="s">
        <v>30</v>
      </c>
      <c r="C5" s="1"/>
      <c r="D5" s="1"/>
      <c r="E5" s="1"/>
      <c r="F5" s="1"/>
      <c r="G5" s="1"/>
      <c r="H5" s="1"/>
      <c r="I5" s="1"/>
      <c r="J5" s="1"/>
      <c r="K5" s="21"/>
      <c r="X5" s="21"/>
    </row>
    <row r="6" spans="1:24" x14ac:dyDescent="0.3">
      <c r="A6" s="13"/>
      <c r="B6" s="13" t="s">
        <v>22</v>
      </c>
      <c r="C6" s="1" t="s">
        <v>109</v>
      </c>
      <c r="D6" s="1"/>
      <c r="E6" s="1"/>
      <c r="F6" s="1"/>
      <c r="G6" s="1"/>
      <c r="H6" s="1"/>
      <c r="I6" s="1"/>
      <c r="J6" s="1"/>
      <c r="K6" s="21"/>
      <c r="X6" s="21"/>
    </row>
    <row r="7" spans="1:24" x14ac:dyDescent="0.3">
      <c r="A7" s="13"/>
      <c r="B7" s="13" t="s">
        <v>25</v>
      </c>
      <c r="C7" s="1" t="s">
        <v>247</v>
      </c>
      <c r="D7" s="1"/>
      <c r="E7" s="1"/>
      <c r="F7" s="1"/>
      <c r="G7" s="1"/>
      <c r="H7" s="1"/>
      <c r="I7" s="1"/>
      <c r="J7" s="1"/>
      <c r="K7" s="21"/>
      <c r="Q7"/>
      <c r="X7" s="21"/>
    </row>
    <row r="8" spans="1:24" x14ac:dyDescent="0.3">
      <c r="A8" s="13"/>
      <c r="B8" s="13"/>
      <c r="C8" s="1"/>
      <c r="D8" s="1"/>
      <c r="E8" s="1"/>
      <c r="F8" s="1"/>
      <c r="G8" s="1"/>
      <c r="H8" s="1"/>
      <c r="I8" s="1"/>
      <c r="J8" s="1"/>
      <c r="K8" s="21"/>
      <c r="Q8"/>
      <c r="X8" s="21"/>
    </row>
    <row r="9" spans="1:24" x14ac:dyDescent="0.3">
      <c r="A9" s="10" t="s">
        <v>0</v>
      </c>
      <c r="K9" s="21"/>
      <c r="M9" s="2" t="s">
        <v>29</v>
      </c>
      <c r="X9" s="21"/>
    </row>
    <row r="10" spans="1:24" x14ac:dyDescent="0.3">
      <c r="A10" s="2" t="s">
        <v>22</v>
      </c>
      <c r="K10" s="21"/>
      <c r="M10" s="65" t="s">
        <v>304</v>
      </c>
      <c r="X10" s="21"/>
    </row>
    <row r="11" spans="1:24" x14ac:dyDescent="0.3">
      <c r="K11" s="21"/>
      <c r="X11" s="21"/>
    </row>
    <row r="12" spans="1:24" x14ac:dyDescent="0.3">
      <c r="K12" s="21"/>
      <c r="X12" s="21"/>
    </row>
    <row r="13" spans="1:24" x14ac:dyDescent="0.3">
      <c r="K13" s="21"/>
      <c r="X13" s="21"/>
    </row>
    <row r="14" spans="1:24" x14ac:dyDescent="0.3">
      <c r="K14" s="21"/>
      <c r="X14" s="21"/>
    </row>
    <row r="15" spans="1:24" x14ac:dyDescent="0.3">
      <c r="A15" s="2" t="s">
        <v>25</v>
      </c>
      <c r="K15" s="21"/>
      <c r="X15" s="21"/>
    </row>
    <row r="16" spans="1:24" x14ac:dyDescent="0.3">
      <c r="K16" s="21"/>
      <c r="X16" s="21"/>
    </row>
    <row r="17" spans="1:24" x14ac:dyDescent="0.3">
      <c r="K17" s="21"/>
      <c r="X17" s="21"/>
    </row>
    <row r="18" spans="1:24" x14ac:dyDescent="0.3">
      <c r="K18" s="21"/>
      <c r="X18" s="21"/>
    </row>
    <row r="19" spans="1:24" ht="16.2" customHeight="1" x14ac:dyDescent="0.3">
      <c r="K19" s="21"/>
      <c r="X19" s="21"/>
    </row>
    <row r="20" spans="1:24" x14ac:dyDescent="0.3">
      <c r="K20" s="21"/>
      <c r="X20" s="21"/>
    </row>
    <row r="21" spans="1:24" x14ac:dyDescent="0.3">
      <c r="A21" s="13" t="s">
        <v>21</v>
      </c>
      <c r="B21" s="1" t="s">
        <v>30</v>
      </c>
      <c r="C21" s="1" t="s">
        <v>248</v>
      </c>
      <c r="D21" s="1"/>
      <c r="E21" s="1"/>
      <c r="F21" s="1"/>
      <c r="G21" s="1"/>
      <c r="H21" s="1"/>
      <c r="I21" s="1"/>
      <c r="J21" s="1"/>
      <c r="K21" s="21"/>
      <c r="X21" s="21"/>
    </row>
    <row r="22" spans="1:24" x14ac:dyDescent="0.3">
      <c r="A22" s="13"/>
      <c r="B22" s="13"/>
      <c r="C22" s="1"/>
      <c r="D22" s="1"/>
      <c r="E22" s="1"/>
      <c r="F22" s="1"/>
      <c r="G22" s="1"/>
      <c r="H22" s="1"/>
      <c r="I22" s="1"/>
      <c r="J22" s="1"/>
      <c r="K22" s="21"/>
      <c r="X22" s="21"/>
    </row>
    <row r="23" spans="1:24" x14ac:dyDescent="0.3">
      <c r="A23" s="10" t="s">
        <v>0</v>
      </c>
      <c r="K23" s="21"/>
      <c r="X23" s="21"/>
    </row>
    <row r="24" spans="1:24" x14ac:dyDescent="0.3">
      <c r="A24" s="10"/>
      <c r="K24" s="21"/>
      <c r="M24" s="20" t="s">
        <v>21</v>
      </c>
      <c r="X24" s="21"/>
    </row>
    <row r="25" spans="1:24" x14ac:dyDescent="0.3">
      <c r="A25" s="10"/>
      <c r="K25" s="21"/>
      <c r="M25" s="65" t="s">
        <v>304</v>
      </c>
      <c r="X25" s="21"/>
    </row>
    <row r="26" spans="1:24" x14ac:dyDescent="0.3">
      <c r="A26" s="10"/>
      <c r="K26" s="21"/>
      <c r="X26" s="21"/>
    </row>
    <row r="27" spans="1:24" x14ac:dyDescent="0.3">
      <c r="A27" s="10"/>
      <c r="K27" s="21"/>
      <c r="X27" s="21"/>
    </row>
    <row r="28" spans="1:24" x14ac:dyDescent="0.3">
      <c r="A28" s="10"/>
      <c r="K28" s="21"/>
      <c r="X28" s="21"/>
    </row>
    <row r="29" spans="1:24" x14ac:dyDescent="0.3">
      <c r="A29" s="10"/>
      <c r="K29" s="21"/>
      <c r="X29" s="21"/>
    </row>
    <row r="30" spans="1:24" x14ac:dyDescent="0.3">
      <c r="A30" s="10"/>
      <c r="K30" s="21"/>
      <c r="X30" s="21"/>
    </row>
    <row r="31" spans="1:24" x14ac:dyDescent="0.3">
      <c r="A31" s="10"/>
      <c r="K31" s="21"/>
      <c r="X31" s="21"/>
    </row>
    <row r="32" spans="1:24" x14ac:dyDescent="0.3">
      <c r="A32" s="10"/>
      <c r="K32" s="21"/>
      <c r="X32" s="21"/>
    </row>
    <row r="33" spans="1:24" x14ac:dyDescent="0.3">
      <c r="A33" s="10"/>
      <c r="K33" s="21"/>
      <c r="X33" s="21"/>
    </row>
    <row r="34" spans="1:24" x14ac:dyDescent="0.3">
      <c r="A34" s="10"/>
      <c r="K34" s="21"/>
      <c r="X34" s="21"/>
    </row>
    <row r="35" spans="1:24" x14ac:dyDescent="0.3">
      <c r="A35" s="1" t="s">
        <v>253</v>
      </c>
      <c r="B35" s="1"/>
      <c r="C35" s="1"/>
      <c r="D35" s="1"/>
      <c r="E35" s="1"/>
      <c r="F35" s="1"/>
      <c r="G35" s="1"/>
      <c r="H35" s="1"/>
      <c r="I35" s="1"/>
      <c r="J35" s="1"/>
      <c r="K35" s="21"/>
      <c r="X35" s="21"/>
    </row>
    <row r="36" spans="1:24" x14ac:dyDescent="0.3">
      <c r="A36" s="1"/>
      <c r="B36" s="1"/>
      <c r="C36" s="1"/>
      <c r="D36" s="1"/>
      <c r="E36" s="1"/>
      <c r="F36" s="1"/>
      <c r="G36" s="1"/>
      <c r="H36" s="1"/>
      <c r="I36" s="1"/>
      <c r="J36" s="1"/>
      <c r="K36" s="21"/>
      <c r="M36" s="20" t="s">
        <v>15</v>
      </c>
      <c r="X36" s="21"/>
    </row>
    <row r="37" spans="1:24" x14ac:dyDescent="0.3">
      <c r="A37" s="1" t="s">
        <v>31</v>
      </c>
      <c r="B37" s="1"/>
      <c r="C37" s="1"/>
      <c r="D37" s="1"/>
      <c r="E37" s="1"/>
      <c r="F37" s="1"/>
      <c r="G37" s="1"/>
      <c r="H37" s="1"/>
      <c r="I37" s="1"/>
      <c r="J37" s="1"/>
      <c r="K37" s="21"/>
      <c r="M37" s="2" t="s">
        <v>252</v>
      </c>
      <c r="X37" s="21"/>
    </row>
    <row r="38" spans="1:24" x14ac:dyDescent="0.3">
      <c r="A38" s="1" t="s">
        <v>251</v>
      </c>
      <c r="B38" s="1"/>
      <c r="C38" s="1"/>
      <c r="D38" s="1"/>
      <c r="E38" s="1"/>
      <c r="F38" s="1"/>
      <c r="G38" s="1"/>
      <c r="H38" s="1"/>
      <c r="I38" s="1"/>
      <c r="J38" s="1"/>
      <c r="K38" s="21"/>
      <c r="M38" s="69"/>
      <c r="X38" s="21"/>
    </row>
    <row r="39" spans="1:24" x14ac:dyDescent="0.3">
      <c r="A39" s="1"/>
      <c r="B39" s="18" t="s">
        <v>227</v>
      </c>
      <c r="C39" s="66"/>
      <c r="D39" s="16"/>
      <c r="E39" s="1"/>
      <c r="F39" s="1"/>
      <c r="G39" s="1"/>
      <c r="H39" s="1"/>
      <c r="I39" s="1"/>
      <c r="J39" s="1"/>
      <c r="K39" s="21"/>
      <c r="M39" s="69"/>
      <c r="X39" s="21"/>
    </row>
    <row r="40" spans="1:24" ht="31.2" x14ac:dyDescent="0.3">
      <c r="A40" s="1"/>
      <c r="B40" s="37" t="s">
        <v>111</v>
      </c>
      <c r="C40" s="37" t="s">
        <v>112</v>
      </c>
      <c r="D40" s="37" t="s">
        <v>113</v>
      </c>
      <c r="E40" s="1"/>
      <c r="F40" s="1"/>
      <c r="G40" s="1"/>
      <c r="H40" s="1"/>
      <c r="I40" s="1"/>
      <c r="J40" s="1"/>
      <c r="K40" s="21"/>
      <c r="M40" s="69"/>
      <c r="N40" s="65"/>
      <c r="O40" s="65"/>
      <c r="P40" s="65"/>
      <c r="Q40" s="70" t="s">
        <v>281</v>
      </c>
      <c r="R40" s="71"/>
      <c r="S40" s="72"/>
      <c r="T40" s="65"/>
      <c r="X40" s="21"/>
    </row>
    <row r="41" spans="1:24" x14ac:dyDescent="0.3">
      <c r="A41" s="1"/>
      <c r="B41" s="6" t="s">
        <v>114</v>
      </c>
      <c r="C41" s="264">
        <v>400</v>
      </c>
      <c r="D41" s="130">
        <v>5000</v>
      </c>
      <c r="E41" s="1"/>
      <c r="F41" s="1"/>
      <c r="G41" s="1"/>
      <c r="H41" s="1"/>
      <c r="I41" s="1"/>
      <c r="J41" s="1"/>
      <c r="K41" s="21"/>
      <c r="M41" s="73"/>
      <c r="N41" s="70" t="s">
        <v>110</v>
      </c>
      <c r="O41" s="74"/>
      <c r="P41" s="75"/>
      <c r="Q41" s="76" t="s">
        <v>118</v>
      </c>
      <c r="R41" s="76" t="s">
        <v>119</v>
      </c>
      <c r="S41" s="76" t="s">
        <v>120</v>
      </c>
      <c r="T41" s="76" t="s">
        <v>133</v>
      </c>
      <c r="X41" s="21"/>
    </row>
    <row r="42" spans="1:24" x14ac:dyDescent="0.3">
      <c r="A42" s="1"/>
      <c r="B42" s="6" t="s">
        <v>115</v>
      </c>
      <c r="C42" s="264">
        <v>1900</v>
      </c>
      <c r="D42" s="130">
        <v>400</v>
      </c>
      <c r="E42" s="1"/>
      <c r="F42" s="1"/>
      <c r="G42" s="1"/>
      <c r="H42" s="1"/>
      <c r="I42" s="1"/>
      <c r="J42" s="1"/>
      <c r="K42" s="21"/>
      <c r="M42" s="77" t="s">
        <v>111</v>
      </c>
      <c r="N42" s="78" t="s">
        <v>112</v>
      </c>
      <c r="O42" s="78" t="s">
        <v>113</v>
      </c>
      <c r="P42" s="78" t="s">
        <v>27</v>
      </c>
      <c r="Q42" s="78" t="s">
        <v>27</v>
      </c>
      <c r="R42" s="78" t="s">
        <v>27</v>
      </c>
      <c r="S42" s="78" t="s">
        <v>27</v>
      </c>
      <c r="T42" s="78" t="s">
        <v>27</v>
      </c>
      <c r="X42" s="21"/>
    </row>
    <row r="43" spans="1:24" x14ac:dyDescent="0.3">
      <c r="A43" s="1"/>
      <c r="B43" s="6" t="s">
        <v>17</v>
      </c>
      <c r="C43" s="264">
        <v>500</v>
      </c>
      <c r="D43" s="130">
        <v>300</v>
      </c>
      <c r="E43" s="1"/>
      <c r="F43" s="1"/>
      <c r="G43" s="1"/>
      <c r="H43" s="1"/>
      <c r="I43" s="1"/>
      <c r="J43" s="1"/>
      <c r="K43" s="21"/>
      <c r="M43" s="79" t="s">
        <v>114</v>
      </c>
      <c r="N43" s="80">
        <f>C41</f>
        <v>400</v>
      </c>
      <c r="O43" s="81">
        <f>D41</f>
        <v>5000</v>
      </c>
      <c r="P43" s="81">
        <f t="shared" ref="P43:P48" si="0">N43*O43/12000</f>
        <v>166.66666666666666</v>
      </c>
      <c r="Q43" s="82">
        <v>0</v>
      </c>
      <c r="R43" s="82">
        <v>0.02</v>
      </c>
      <c r="S43" s="82">
        <v>-1.4999999999999999E-2</v>
      </c>
      <c r="T43" s="83">
        <f t="shared" ref="T43:T48" si="1">+P43*(1+Q43)*(1+R43)*(1+S43)</f>
        <v>167.45</v>
      </c>
      <c r="X43" s="21"/>
    </row>
    <row r="44" spans="1:24" x14ac:dyDescent="0.3">
      <c r="A44" s="1"/>
      <c r="B44" s="6" t="s">
        <v>116</v>
      </c>
      <c r="C44" s="264">
        <v>12000</v>
      </c>
      <c r="D44" s="130">
        <v>60</v>
      </c>
      <c r="E44" s="1"/>
      <c r="F44" s="1"/>
      <c r="G44" s="1"/>
      <c r="H44" s="1"/>
      <c r="I44" s="1"/>
      <c r="J44" s="1"/>
      <c r="K44" s="21"/>
      <c r="M44" s="79" t="s">
        <v>115</v>
      </c>
      <c r="N44" s="80">
        <f t="shared" ref="N44:O48" si="2">C42</f>
        <v>1900</v>
      </c>
      <c r="O44" s="81">
        <f t="shared" si="2"/>
        <v>400</v>
      </c>
      <c r="P44" s="81">
        <f t="shared" si="0"/>
        <v>63.333333333333336</v>
      </c>
      <c r="Q44" s="82">
        <v>0</v>
      </c>
      <c r="R44" s="82">
        <v>0.02</v>
      </c>
      <c r="S44" s="82">
        <f>+S43</f>
        <v>-1.4999999999999999E-2</v>
      </c>
      <c r="T44" s="83">
        <f t="shared" si="1"/>
        <v>63.631000000000007</v>
      </c>
      <c r="X44" s="21"/>
    </row>
    <row r="45" spans="1:24" x14ac:dyDescent="0.3">
      <c r="A45" s="1"/>
      <c r="B45" s="6" t="s">
        <v>18</v>
      </c>
      <c r="C45" s="264">
        <v>2000</v>
      </c>
      <c r="D45" s="130">
        <v>80</v>
      </c>
      <c r="E45" s="1"/>
      <c r="F45" s="1"/>
      <c r="G45" s="1"/>
      <c r="H45" s="1"/>
      <c r="I45" s="1"/>
      <c r="J45" s="1"/>
      <c r="K45" s="21"/>
      <c r="M45" s="79" t="s">
        <v>17</v>
      </c>
      <c r="N45" s="80">
        <f t="shared" si="2"/>
        <v>500</v>
      </c>
      <c r="O45" s="81">
        <f t="shared" si="2"/>
        <v>300</v>
      </c>
      <c r="P45" s="81">
        <f t="shared" si="0"/>
        <v>12.5</v>
      </c>
      <c r="Q45" s="82">
        <v>0</v>
      </c>
      <c r="R45" s="82">
        <v>0.02</v>
      </c>
      <c r="S45" s="82">
        <f>+S44</f>
        <v>-1.4999999999999999E-2</v>
      </c>
      <c r="T45" s="83">
        <f>+P45*(1+Q45)*(1+R45)*(1+S45)</f>
        <v>12.55875</v>
      </c>
      <c r="X45" s="21"/>
    </row>
    <row r="46" spans="1:24" x14ac:dyDescent="0.3">
      <c r="A46" s="1"/>
      <c r="B46" s="6" t="s">
        <v>117</v>
      </c>
      <c r="C46" s="264">
        <v>900</v>
      </c>
      <c r="D46" s="130">
        <v>150</v>
      </c>
      <c r="E46" s="1"/>
      <c r="F46" s="1"/>
      <c r="G46" s="1"/>
      <c r="H46" s="1"/>
      <c r="I46" s="1"/>
      <c r="J46" s="1"/>
      <c r="K46" s="21"/>
      <c r="M46" s="79" t="s">
        <v>116</v>
      </c>
      <c r="N46" s="80">
        <f t="shared" si="2"/>
        <v>12000</v>
      </c>
      <c r="O46" s="81">
        <f t="shared" si="2"/>
        <v>60</v>
      </c>
      <c r="P46" s="81">
        <f t="shared" si="0"/>
        <v>60</v>
      </c>
      <c r="Q46" s="82">
        <v>0</v>
      </c>
      <c r="R46" s="82">
        <v>0.02</v>
      </c>
      <c r="S46" s="82">
        <f>+S45</f>
        <v>-1.4999999999999999E-2</v>
      </c>
      <c r="T46" s="83">
        <f t="shared" si="1"/>
        <v>60.282000000000004</v>
      </c>
      <c r="X46" s="21"/>
    </row>
    <row r="47" spans="1:24" x14ac:dyDescent="0.3">
      <c r="A47" s="1"/>
      <c r="B47" s="1"/>
      <c r="C47" s="1"/>
      <c r="D47" s="1"/>
      <c r="E47" s="1"/>
      <c r="F47" s="1"/>
      <c r="G47" s="1"/>
      <c r="H47" s="1"/>
      <c r="I47" s="1"/>
      <c r="J47" s="1"/>
      <c r="K47" s="21"/>
      <c r="M47" s="79" t="s">
        <v>18</v>
      </c>
      <c r="N47" s="80">
        <f t="shared" si="2"/>
        <v>2000</v>
      </c>
      <c r="O47" s="81">
        <f t="shared" si="2"/>
        <v>80</v>
      </c>
      <c r="P47" s="81">
        <f t="shared" si="0"/>
        <v>13.333333333333334</v>
      </c>
      <c r="Q47" s="82">
        <v>0</v>
      </c>
      <c r="R47" s="82">
        <v>0.02</v>
      </c>
      <c r="S47" s="82">
        <f>+S46</f>
        <v>-1.4999999999999999E-2</v>
      </c>
      <c r="T47" s="83">
        <f t="shared" si="1"/>
        <v>13.396000000000001</v>
      </c>
      <c r="X47" s="21"/>
    </row>
    <row r="48" spans="1:24" x14ac:dyDescent="0.3">
      <c r="A48" s="1"/>
      <c r="B48" s="18" t="s">
        <v>122</v>
      </c>
      <c r="C48" s="66"/>
      <c r="D48" s="66"/>
      <c r="E48" s="16"/>
      <c r="F48" s="1"/>
      <c r="G48" s="1"/>
      <c r="H48" s="1"/>
      <c r="I48" s="1"/>
      <c r="J48" s="1"/>
      <c r="K48" s="21"/>
      <c r="M48" s="79" t="s">
        <v>117</v>
      </c>
      <c r="N48" s="80">
        <f t="shared" si="2"/>
        <v>900</v>
      </c>
      <c r="O48" s="81">
        <f t="shared" si="2"/>
        <v>150</v>
      </c>
      <c r="P48" s="81">
        <f t="shared" si="0"/>
        <v>11.25</v>
      </c>
      <c r="Q48" s="82">
        <v>0.01</v>
      </c>
      <c r="R48" s="82">
        <v>0.02</v>
      </c>
      <c r="S48" s="82">
        <f>+S47</f>
        <v>-1.4999999999999999E-2</v>
      </c>
      <c r="T48" s="83">
        <f t="shared" si="1"/>
        <v>11.41590375</v>
      </c>
      <c r="X48" s="21"/>
    </row>
    <row r="49" spans="1:24" ht="62.4" x14ac:dyDescent="0.3">
      <c r="A49" s="1"/>
      <c r="B49" s="37" t="s">
        <v>111</v>
      </c>
      <c r="C49" s="37" t="s">
        <v>118</v>
      </c>
      <c r="D49" s="37" t="s">
        <v>119</v>
      </c>
      <c r="E49" s="37" t="s">
        <v>120</v>
      </c>
      <c r="F49" s="1"/>
      <c r="G49" s="1"/>
      <c r="H49" s="1"/>
      <c r="I49" s="1"/>
      <c r="J49" s="1"/>
      <c r="K49" s="21"/>
      <c r="M49" s="77" t="s">
        <v>134</v>
      </c>
      <c r="N49" s="84"/>
      <c r="O49" s="85"/>
      <c r="P49" s="86">
        <f>SUM(P43:P48)</f>
        <v>327.08333333333331</v>
      </c>
      <c r="Q49" s="87"/>
      <c r="R49" s="87"/>
      <c r="S49" s="88"/>
      <c r="T49" s="89">
        <f>SUM(T43:T48)</f>
        <v>328.73365374999997</v>
      </c>
      <c r="U49" s="2" t="s">
        <v>348</v>
      </c>
      <c r="X49" s="21"/>
    </row>
    <row r="50" spans="1:24" x14ac:dyDescent="0.3">
      <c r="A50" s="1"/>
      <c r="B50" s="6" t="s">
        <v>114</v>
      </c>
      <c r="C50" s="62">
        <v>0</v>
      </c>
      <c r="D50" s="62">
        <v>0.02</v>
      </c>
      <c r="E50" s="62">
        <v>-1.4999999999999999E-2</v>
      </c>
      <c r="F50" s="1"/>
      <c r="G50" s="1"/>
      <c r="H50" s="1"/>
      <c r="I50" s="1"/>
      <c r="J50" s="1"/>
      <c r="K50" s="21"/>
      <c r="M50" s="90"/>
      <c r="N50" s="90"/>
      <c r="O50" s="90"/>
      <c r="P50" s="90"/>
      <c r="Q50" s="90"/>
      <c r="R50" s="90"/>
      <c r="S50" s="90"/>
      <c r="T50" s="73"/>
      <c r="X50" s="21"/>
    </row>
    <row r="51" spans="1:24" x14ac:dyDescent="0.3">
      <c r="A51" s="1"/>
      <c r="B51" s="6" t="s">
        <v>115</v>
      </c>
      <c r="C51" s="62">
        <v>0</v>
      </c>
      <c r="D51" s="62">
        <v>0.02</v>
      </c>
      <c r="E51" s="62">
        <v>-1.4999999999999999E-2</v>
      </c>
      <c r="F51" s="1"/>
      <c r="G51" s="1"/>
      <c r="H51" s="1"/>
      <c r="I51" s="1"/>
      <c r="J51" s="1"/>
      <c r="K51" s="21"/>
      <c r="M51" s="90"/>
      <c r="N51" s="90"/>
      <c r="O51" s="90"/>
      <c r="P51" s="90"/>
      <c r="Q51" s="90"/>
      <c r="R51" s="90"/>
      <c r="S51" s="90"/>
      <c r="T51" s="73"/>
      <c r="X51" s="21"/>
    </row>
    <row r="52" spans="1:24" x14ac:dyDescent="0.3">
      <c r="A52" s="1"/>
      <c r="B52" s="6" t="s">
        <v>17</v>
      </c>
      <c r="C52" s="62">
        <v>0</v>
      </c>
      <c r="D52" s="62">
        <v>0.02</v>
      </c>
      <c r="E52" s="62">
        <v>-1.4999999999999999E-2</v>
      </c>
      <c r="F52" s="1"/>
      <c r="G52" s="1"/>
      <c r="H52" s="1"/>
      <c r="I52" s="1"/>
      <c r="J52" s="1"/>
      <c r="K52" s="21"/>
      <c r="M52" s="65"/>
      <c r="N52" s="65"/>
      <c r="O52" s="65"/>
      <c r="P52" s="65"/>
      <c r="Q52" s="65"/>
      <c r="R52" s="65"/>
      <c r="S52" s="65"/>
      <c r="T52" s="65"/>
      <c r="X52" s="21"/>
    </row>
    <row r="53" spans="1:24" x14ac:dyDescent="0.3">
      <c r="A53" s="1"/>
      <c r="B53" s="6" t="s">
        <v>116</v>
      </c>
      <c r="C53" s="62">
        <v>0</v>
      </c>
      <c r="D53" s="62">
        <v>0.02</v>
      </c>
      <c r="E53" s="62">
        <v>-1.4999999999999999E-2</v>
      </c>
      <c r="F53" s="1"/>
      <c r="G53" s="1"/>
      <c r="H53" s="1"/>
      <c r="I53" s="1"/>
      <c r="J53" s="1"/>
      <c r="K53" s="21"/>
      <c r="N53" s="65"/>
      <c r="O53" s="76" t="s">
        <v>133</v>
      </c>
      <c r="P53" s="70" t="s">
        <v>135</v>
      </c>
      <c r="Q53" s="74"/>
      <c r="R53" s="75"/>
      <c r="S53" s="76" t="s">
        <v>136</v>
      </c>
      <c r="T53" s="75" t="s">
        <v>137</v>
      </c>
      <c r="X53" s="21"/>
    </row>
    <row r="54" spans="1:24" x14ac:dyDescent="0.3">
      <c r="A54" s="1"/>
      <c r="B54" s="6" t="s">
        <v>18</v>
      </c>
      <c r="C54" s="62">
        <v>0</v>
      </c>
      <c r="D54" s="62">
        <v>0.02</v>
      </c>
      <c r="E54" s="62">
        <v>-1.4999999999999999E-2</v>
      </c>
      <c r="F54" s="1"/>
      <c r="G54" s="1"/>
      <c r="H54" s="1"/>
      <c r="I54" s="1"/>
      <c r="J54" s="1"/>
      <c r="K54" s="21"/>
      <c r="N54" s="77" t="s">
        <v>111</v>
      </c>
      <c r="O54" s="78" t="s">
        <v>27</v>
      </c>
      <c r="P54" s="78" t="s">
        <v>112</v>
      </c>
      <c r="Q54" s="78" t="s">
        <v>113</v>
      </c>
      <c r="R54" s="78" t="s">
        <v>27</v>
      </c>
      <c r="S54" s="78" t="s">
        <v>27</v>
      </c>
      <c r="T54" s="78" t="s">
        <v>27</v>
      </c>
      <c r="X54" s="21"/>
    </row>
    <row r="55" spans="1:24" x14ac:dyDescent="0.3">
      <c r="A55" s="5"/>
      <c r="B55" s="6" t="s">
        <v>117</v>
      </c>
      <c r="C55" s="62">
        <v>0.01</v>
      </c>
      <c r="D55" s="62">
        <v>0.02</v>
      </c>
      <c r="E55" s="62">
        <v>-1.4999999999999999E-2</v>
      </c>
      <c r="F55" s="1"/>
      <c r="G55" s="1"/>
      <c r="H55" s="1"/>
      <c r="I55" s="1"/>
      <c r="J55" s="1"/>
      <c r="K55" s="21"/>
      <c r="N55" s="79" t="s">
        <v>114</v>
      </c>
      <c r="O55" s="81">
        <f>T43</f>
        <v>167.45</v>
      </c>
      <c r="P55" s="82">
        <f>C59</f>
        <v>0.01</v>
      </c>
      <c r="Q55" s="82">
        <f>D59</f>
        <v>0.01</v>
      </c>
      <c r="R55" s="82">
        <f>+(1+P55)*(1+Q55)-1</f>
        <v>2.0100000000000007E-2</v>
      </c>
      <c r="S55" s="82">
        <v>0</v>
      </c>
      <c r="T55" s="135">
        <f>O55*(1+R55)^2.5*(1+S55)</f>
        <v>175.99163288924498</v>
      </c>
      <c r="X55" s="21"/>
    </row>
    <row r="56" spans="1:24" x14ac:dyDescent="0.3">
      <c r="A56" s="5"/>
      <c r="B56" s="1"/>
      <c r="C56" s="63"/>
      <c r="D56" s="63"/>
      <c r="E56" s="63"/>
      <c r="F56" s="1"/>
      <c r="G56" s="1"/>
      <c r="H56" s="1"/>
      <c r="I56" s="1"/>
      <c r="J56" s="1"/>
      <c r="K56" s="21"/>
      <c r="N56" s="79" t="s">
        <v>115</v>
      </c>
      <c r="O56" s="81">
        <f t="shared" ref="O56:O61" si="3">T44</f>
        <v>63.631000000000007</v>
      </c>
      <c r="P56" s="82">
        <f t="shared" ref="P56:Q60" si="4">C60</f>
        <v>0.01</v>
      </c>
      <c r="Q56" s="82">
        <f t="shared" si="4"/>
        <v>0.02</v>
      </c>
      <c r="R56" s="82">
        <f t="shared" ref="R56:R60" si="5">+(1+P56)*(1+Q56)-1</f>
        <v>3.0200000000000005E-2</v>
      </c>
      <c r="S56" s="82">
        <v>0</v>
      </c>
      <c r="T56" s="135">
        <f t="shared" ref="T56:T60" si="6">O56*(1+R56)^2.5*(1+S56)</f>
        <v>68.544499929309978</v>
      </c>
      <c r="X56" s="21"/>
    </row>
    <row r="57" spans="1:24" x14ac:dyDescent="0.3">
      <c r="A57" s="5"/>
      <c r="B57" s="18" t="s">
        <v>121</v>
      </c>
      <c r="C57" s="66"/>
      <c r="D57" s="16"/>
      <c r="E57" s="63"/>
      <c r="F57" s="1"/>
      <c r="G57" s="1"/>
      <c r="H57" s="1"/>
      <c r="I57" s="1"/>
      <c r="J57" s="1"/>
      <c r="K57" s="21"/>
      <c r="N57" s="79" t="s">
        <v>17</v>
      </c>
      <c r="O57" s="81">
        <f t="shared" si="3"/>
        <v>12.55875</v>
      </c>
      <c r="P57" s="82">
        <f t="shared" si="4"/>
        <v>0.02</v>
      </c>
      <c r="Q57" s="82">
        <f t="shared" si="4"/>
        <v>0.01</v>
      </c>
      <c r="R57" s="82">
        <f t="shared" si="5"/>
        <v>3.0200000000000005E-2</v>
      </c>
      <c r="S57" s="82">
        <v>0</v>
      </c>
      <c r="T57" s="135">
        <f t="shared" si="6"/>
        <v>13.528519722890126</v>
      </c>
      <c r="X57" s="21"/>
    </row>
    <row r="58" spans="1:24" ht="31.2" x14ac:dyDescent="0.3">
      <c r="A58" s="5"/>
      <c r="B58" s="37" t="s">
        <v>111</v>
      </c>
      <c r="C58" s="64" t="s">
        <v>112</v>
      </c>
      <c r="D58" s="64" t="s">
        <v>113</v>
      </c>
      <c r="E58" s="63"/>
      <c r="F58" s="1"/>
      <c r="G58" s="1"/>
      <c r="H58" s="1"/>
      <c r="I58" s="1"/>
      <c r="J58" s="1"/>
      <c r="K58" s="21"/>
      <c r="N58" s="79" t="s">
        <v>116</v>
      </c>
      <c r="O58" s="81">
        <f t="shared" si="3"/>
        <v>60.282000000000004</v>
      </c>
      <c r="P58" s="82">
        <f t="shared" si="4"/>
        <v>5.0000000000000001E-3</v>
      </c>
      <c r="Q58" s="82">
        <f t="shared" si="4"/>
        <v>5.0000000000000001E-3</v>
      </c>
      <c r="R58" s="82">
        <f t="shared" si="5"/>
        <v>1.0024999999999729E-2</v>
      </c>
      <c r="S58" s="82">
        <v>0</v>
      </c>
      <c r="T58" s="135">
        <f t="shared" si="6"/>
        <v>61.804196041069595</v>
      </c>
      <c r="X58" s="21"/>
    </row>
    <row r="59" spans="1:24" x14ac:dyDescent="0.3">
      <c r="A59" s="5"/>
      <c r="B59" s="6" t="s">
        <v>114</v>
      </c>
      <c r="C59" s="62">
        <v>0.01</v>
      </c>
      <c r="D59" s="62">
        <v>0.01</v>
      </c>
      <c r="E59" s="63"/>
      <c r="F59" s="1"/>
      <c r="G59" s="1"/>
      <c r="H59" s="1"/>
      <c r="I59" s="1"/>
      <c r="J59" s="1"/>
      <c r="K59" s="21"/>
      <c r="N59" s="79" t="s">
        <v>18</v>
      </c>
      <c r="O59" s="81">
        <f t="shared" si="3"/>
        <v>13.396000000000001</v>
      </c>
      <c r="P59" s="82">
        <f t="shared" si="4"/>
        <v>5.0000000000000001E-3</v>
      </c>
      <c r="Q59" s="82">
        <f t="shared" si="4"/>
        <v>0.05</v>
      </c>
      <c r="R59" s="82">
        <f t="shared" si="5"/>
        <v>5.5250000000000021E-2</v>
      </c>
      <c r="S59" s="82">
        <v>-0.5</v>
      </c>
      <c r="T59" s="135">
        <f t="shared" si="6"/>
        <v>7.661848234865313</v>
      </c>
      <c r="X59" s="21"/>
    </row>
    <row r="60" spans="1:24" x14ac:dyDescent="0.3">
      <c r="A60" s="5"/>
      <c r="B60" s="6" t="s">
        <v>115</v>
      </c>
      <c r="C60" s="62">
        <v>0.01</v>
      </c>
      <c r="D60" s="62">
        <v>0.02</v>
      </c>
      <c r="E60" s="63"/>
      <c r="F60" s="1"/>
      <c r="G60" s="1"/>
      <c r="H60" s="1"/>
      <c r="I60" s="1"/>
      <c r="J60" s="1"/>
      <c r="K60" s="21"/>
      <c r="N60" s="79" t="s">
        <v>117</v>
      </c>
      <c r="O60" s="81">
        <f t="shared" si="3"/>
        <v>11.41590375</v>
      </c>
      <c r="P60" s="82">
        <f t="shared" si="4"/>
        <v>0.03</v>
      </c>
      <c r="Q60" s="82">
        <f t="shared" si="4"/>
        <v>0.01</v>
      </c>
      <c r="R60" s="82">
        <f t="shared" si="5"/>
        <v>4.0300000000000002E-2</v>
      </c>
      <c r="S60" s="82">
        <v>0</v>
      </c>
      <c r="T60" s="135">
        <f t="shared" si="6"/>
        <v>12.601051737782869</v>
      </c>
      <c r="X60" s="21"/>
    </row>
    <row r="61" spans="1:24" x14ac:dyDescent="0.3">
      <c r="A61" s="5"/>
      <c r="B61" s="6" t="s">
        <v>17</v>
      </c>
      <c r="C61" s="62">
        <v>0.02</v>
      </c>
      <c r="D61" s="62">
        <v>0.01</v>
      </c>
      <c r="E61" s="63"/>
      <c r="F61" s="1"/>
      <c r="G61" s="1"/>
      <c r="H61" s="1"/>
      <c r="I61" s="1"/>
      <c r="J61" s="1"/>
      <c r="K61" s="21"/>
      <c r="N61" s="77" t="s">
        <v>134</v>
      </c>
      <c r="O61" s="143">
        <f t="shared" si="3"/>
        <v>328.73365374999997</v>
      </c>
      <c r="P61" s="91"/>
      <c r="Q61" s="87"/>
      <c r="R61" s="88"/>
      <c r="S61" s="88"/>
      <c r="T61" s="136">
        <f>SUM(T55:T60)</f>
        <v>340.13174855516286</v>
      </c>
      <c r="U61" s="2" t="s">
        <v>349</v>
      </c>
      <c r="X61" s="21"/>
    </row>
    <row r="62" spans="1:24" x14ac:dyDescent="0.3">
      <c r="A62" s="5"/>
      <c r="B62" s="6" t="s">
        <v>116</v>
      </c>
      <c r="C62" s="62">
        <v>5.0000000000000001E-3</v>
      </c>
      <c r="D62" s="62">
        <v>5.0000000000000001E-3</v>
      </c>
      <c r="E62" s="63"/>
      <c r="F62" s="1"/>
      <c r="G62" s="1"/>
      <c r="H62" s="1"/>
      <c r="I62" s="1"/>
      <c r="J62" s="1"/>
      <c r="K62" s="21"/>
      <c r="N62" s="90"/>
      <c r="O62" s="90"/>
      <c r="P62" s="90"/>
      <c r="Q62" s="90"/>
      <c r="R62" s="73"/>
      <c r="X62" s="21"/>
    </row>
    <row r="63" spans="1:24" x14ac:dyDescent="0.3">
      <c r="A63" s="5"/>
      <c r="B63" s="6" t="s">
        <v>18</v>
      </c>
      <c r="C63" s="62">
        <v>5.0000000000000001E-3</v>
      </c>
      <c r="D63" s="62">
        <v>0.05</v>
      </c>
      <c r="E63" s="63"/>
      <c r="F63" s="1"/>
      <c r="G63" s="1"/>
      <c r="H63" s="1"/>
      <c r="I63" s="1"/>
      <c r="J63" s="1"/>
      <c r="K63" s="21"/>
      <c r="N63" s="65"/>
      <c r="Q63" s="73"/>
      <c r="R63" s="73"/>
      <c r="S63" s="92" t="s">
        <v>138</v>
      </c>
      <c r="T63" s="92" t="s">
        <v>27</v>
      </c>
      <c r="X63" s="21"/>
    </row>
    <row r="64" spans="1:24" x14ac:dyDescent="0.3">
      <c r="A64" s="5"/>
      <c r="B64" s="6" t="s">
        <v>117</v>
      </c>
      <c r="C64" s="62">
        <v>0.03</v>
      </c>
      <c r="D64" s="62">
        <v>0.01</v>
      </c>
      <c r="E64" s="63"/>
      <c r="F64" s="1"/>
      <c r="G64" s="1"/>
      <c r="H64" s="1"/>
      <c r="I64" s="1"/>
      <c r="J64" s="1"/>
      <c r="K64" s="21"/>
      <c r="N64" s="65"/>
      <c r="Q64" s="93" t="s">
        <v>123</v>
      </c>
      <c r="R64" s="94"/>
      <c r="S64" s="95">
        <v>0.08</v>
      </c>
      <c r="T64" s="132">
        <f>(T61/(1-S67)-T61)*S64/S67</f>
        <v>30.066894899903915</v>
      </c>
      <c r="X64" s="21"/>
    </row>
    <row r="65" spans="1:24" x14ac:dyDescent="0.3">
      <c r="A65" s="5"/>
      <c r="B65" s="1"/>
      <c r="C65" s="63"/>
      <c r="D65" s="63"/>
      <c r="E65" s="63"/>
      <c r="F65" s="1"/>
      <c r="G65" s="1"/>
      <c r="H65" s="1"/>
      <c r="I65" s="1"/>
      <c r="J65" s="1"/>
      <c r="K65" s="21"/>
      <c r="N65" s="65"/>
      <c r="Q65" s="96" t="s">
        <v>124</v>
      </c>
      <c r="R65" s="97"/>
      <c r="S65" s="98">
        <v>1.4999999999999999E-2</v>
      </c>
      <c r="T65" s="132">
        <f>(T61/(1-S67)-T61)*S65/S67</f>
        <v>5.6375427937319831</v>
      </c>
      <c r="X65" s="21"/>
    </row>
    <row r="66" spans="1:24" x14ac:dyDescent="0.3">
      <c r="A66" s="5"/>
      <c r="B66" s="1"/>
      <c r="C66" s="63"/>
      <c r="D66" s="63"/>
      <c r="E66" s="63"/>
      <c r="F66" s="1"/>
      <c r="G66" s="1"/>
      <c r="H66" s="1"/>
      <c r="I66" s="1"/>
      <c r="J66" s="1"/>
      <c r="K66" s="21"/>
      <c r="N66" s="65"/>
      <c r="Q66" s="96" t="s">
        <v>125</v>
      </c>
      <c r="R66" s="97"/>
      <c r="S66" s="98">
        <v>0</v>
      </c>
      <c r="T66" s="132">
        <f>(T61/(1-S67)-T61)*S66/S67</f>
        <v>0</v>
      </c>
      <c r="X66" s="21"/>
    </row>
    <row r="67" spans="1:24" x14ac:dyDescent="0.3">
      <c r="A67" s="5"/>
      <c r="B67" s="18" t="s">
        <v>126</v>
      </c>
      <c r="C67" s="16"/>
      <c r="D67" s="63"/>
      <c r="E67" s="63"/>
      <c r="F67" s="1"/>
      <c r="G67" s="1"/>
      <c r="H67" s="1"/>
      <c r="I67" s="1"/>
      <c r="J67" s="1"/>
      <c r="K67" s="21"/>
      <c r="N67" s="65"/>
      <c r="Q67" s="99" t="s">
        <v>139</v>
      </c>
      <c r="R67" s="100"/>
      <c r="S67" s="101">
        <v>9.5000000000000001E-2</v>
      </c>
      <c r="T67" s="133">
        <f>SUM(T64:T66)</f>
        <v>35.704437693635896</v>
      </c>
      <c r="X67" s="21"/>
    </row>
    <row r="68" spans="1:24" x14ac:dyDescent="0.3">
      <c r="A68" s="5"/>
      <c r="B68" s="67" t="s">
        <v>123</v>
      </c>
      <c r="C68" s="68">
        <v>0.08</v>
      </c>
      <c r="D68" s="63"/>
      <c r="E68" s="63"/>
      <c r="F68" s="1"/>
      <c r="G68" s="1"/>
      <c r="H68" s="1"/>
      <c r="I68" s="1"/>
      <c r="J68" s="1"/>
      <c r="K68" s="21"/>
      <c r="N68" s="65"/>
      <c r="Q68" s="73"/>
      <c r="R68" s="73"/>
      <c r="S68" s="73"/>
      <c r="T68" s="73"/>
      <c r="X68" s="21"/>
    </row>
    <row r="69" spans="1:24" x14ac:dyDescent="0.3">
      <c r="A69" s="5"/>
      <c r="B69" s="67" t="s">
        <v>124</v>
      </c>
      <c r="C69" s="68">
        <v>1.4999999999999999E-2</v>
      </c>
      <c r="D69" s="63"/>
      <c r="E69" s="63"/>
      <c r="F69" s="1"/>
      <c r="G69" s="1"/>
      <c r="H69" s="1"/>
      <c r="I69" s="1"/>
      <c r="J69" s="1"/>
      <c r="K69" s="21"/>
      <c r="Q69" s="99" t="s">
        <v>140</v>
      </c>
      <c r="R69" s="102"/>
      <c r="S69" s="100"/>
      <c r="T69" s="134">
        <f>T61+T67</f>
        <v>375.83618624879875</v>
      </c>
      <c r="U69" s="2" t="s">
        <v>350</v>
      </c>
      <c r="X69" s="21"/>
    </row>
    <row r="70" spans="1:24" x14ac:dyDescent="0.3">
      <c r="A70" s="5"/>
      <c r="B70" s="67" t="s">
        <v>125</v>
      </c>
      <c r="C70" s="68">
        <v>0</v>
      </c>
      <c r="D70" s="63"/>
      <c r="E70" s="63"/>
      <c r="F70" s="1"/>
      <c r="G70" s="1"/>
      <c r="H70" s="1"/>
      <c r="I70" s="1"/>
      <c r="J70" s="1"/>
      <c r="K70" s="21"/>
      <c r="X70" s="21"/>
    </row>
    <row r="71" spans="1:24" x14ac:dyDescent="0.3">
      <c r="A71" s="5"/>
      <c r="B71" s="1"/>
      <c r="C71" s="63"/>
      <c r="D71" s="63"/>
      <c r="E71" s="63"/>
      <c r="F71" s="1"/>
      <c r="G71" s="1"/>
      <c r="H71" s="1"/>
      <c r="I71" s="1"/>
      <c r="J71" s="1"/>
      <c r="K71" s="21"/>
      <c r="X71" s="21"/>
    </row>
    <row r="72" spans="1:24" x14ac:dyDescent="0.3">
      <c r="A72" s="5" t="s">
        <v>254</v>
      </c>
      <c r="B72" s="1"/>
      <c r="C72" s="63"/>
      <c r="D72" s="63"/>
      <c r="E72" s="63"/>
      <c r="F72" s="1"/>
      <c r="G72" s="1"/>
      <c r="H72" s="1"/>
      <c r="I72" s="1"/>
      <c r="J72" s="1"/>
      <c r="K72" s="21"/>
      <c r="X72" s="21"/>
    </row>
    <row r="73" spans="1:24" x14ac:dyDescent="0.3">
      <c r="A73" s="5" t="s">
        <v>228</v>
      </c>
      <c r="B73" s="1"/>
      <c r="C73" s="63"/>
      <c r="D73" s="63"/>
      <c r="E73" s="63"/>
      <c r="F73" s="1"/>
      <c r="G73" s="1"/>
      <c r="H73" s="1"/>
      <c r="I73" s="1"/>
      <c r="J73" s="1"/>
      <c r="K73" s="21"/>
      <c r="X73" s="21"/>
    </row>
    <row r="74" spans="1:24" x14ac:dyDescent="0.3">
      <c r="A74" s="5"/>
      <c r="B74" s="1"/>
      <c r="C74" s="63"/>
      <c r="D74" s="63"/>
      <c r="E74" s="63"/>
      <c r="F74" s="1"/>
      <c r="G74" s="1"/>
      <c r="H74" s="1"/>
      <c r="I74" s="1"/>
      <c r="J74" s="1"/>
      <c r="K74" s="21"/>
      <c r="X74" s="21"/>
    </row>
    <row r="75" spans="1:24" x14ac:dyDescent="0.3">
      <c r="A75" s="13" t="s">
        <v>15</v>
      </c>
      <c r="B75" s="1" t="s">
        <v>30</v>
      </c>
      <c r="C75" s="1" t="s">
        <v>262</v>
      </c>
      <c r="D75" s="1"/>
      <c r="E75" s="1"/>
      <c r="F75" s="1"/>
      <c r="G75" s="1"/>
      <c r="H75" s="1"/>
      <c r="I75" s="1"/>
      <c r="J75" s="1"/>
      <c r="K75" s="21"/>
      <c r="X75" s="21"/>
    </row>
    <row r="76" spans="1:24" x14ac:dyDescent="0.3">
      <c r="A76" s="11"/>
      <c r="B76" s="13" t="s">
        <v>22</v>
      </c>
      <c r="C76" s="1" t="s">
        <v>127</v>
      </c>
      <c r="D76" s="1"/>
      <c r="E76" s="1"/>
      <c r="F76" s="1"/>
      <c r="G76" s="1"/>
      <c r="H76" s="1"/>
      <c r="I76" s="1"/>
      <c r="J76" s="1"/>
      <c r="K76" s="21"/>
      <c r="X76" s="21"/>
    </row>
    <row r="77" spans="1:24" x14ac:dyDescent="0.3">
      <c r="A77" s="11"/>
      <c r="B77" s="13" t="s">
        <v>25</v>
      </c>
      <c r="C77" s="1" t="s">
        <v>128</v>
      </c>
      <c r="D77" s="1"/>
      <c r="E77" s="1"/>
      <c r="F77" s="1"/>
      <c r="G77" s="1"/>
      <c r="H77" s="1"/>
      <c r="I77" s="1"/>
      <c r="J77" s="1"/>
      <c r="K77" s="21"/>
      <c r="X77" s="21"/>
    </row>
    <row r="78" spans="1:24" x14ac:dyDescent="0.3">
      <c r="A78" s="11"/>
      <c r="B78" s="13" t="s">
        <v>26</v>
      </c>
      <c r="C78" s="1" t="s">
        <v>129</v>
      </c>
      <c r="D78" s="1"/>
      <c r="E78" s="1"/>
      <c r="F78" s="1"/>
      <c r="G78" s="1"/>
      <c r="H78" s="1"/>
      <c r="I78" s="1"/>
      <c r="J78" s="1"/>
      <c r="K78" s="21"/>
      <c r="X78" s="21"/>
    </row>
    <row r="79" spans="1:24" x14ac:dyDescent="0.3">
      <c r="A79" s="11"/>
      <c r="B79" s="1" t="s">
        <v>12</v>
      </c>
      <c r="C79" s="1"/>
      <c r="D79" s="1"/>
      <c r="E79" s="1"/>
      <c r="F79" s="1"/>
      <c r="G79" s="1"/>
      <c r="H79" s="1"/>
      <c r="I79" s="1"/>
      <c r="J79" s="1"/>
      <c r="K79" s="21"/>
      <c r="X79" s="21"/>
    </row>
    <row r="80" spans="1:24" x14ac:dyDescent="0.3">
      <c r="A80" s="11"/>
      <c r="B80" s="1"/>
      <c r="C80" s="1"/>
      <c r="D80" s="1"/>
      <c r="E80" s="1"/>
      <c r="F80" s="1"/>
      <c r="G80" s="1"/>
      <c r="H80" s="1"/>
      <c r="I80" s="1"/>
      <c r="J80" s="1"/>
      <c r="K80" s="21"/>
      <c r="X80" s="21"/>
    </row>
    <row r="81" spans="1:24" x14ac:dyDescent="0.3">
      <c r="A81" s="10" t="s">
        <v>0</v>
      </c>
      <c r="K81" s="21"/>
      <c r="M81" s="20"/>
      <c r="X81" s="21"/>
    </row>
    <row r="82" spans="1:24" x14ac:dyDescent="0.3">
      <c r="A82" s="2" t="s">
        <v>22</v>
      </c>
      <c r="C82" s="17"/>
      <c r="D82" s="17"/>
      <c r="E82" s="17"/>
      <c r="F82" s="17"/>
      <c r="G82" s="17"/>
      <c r="H82" s="17"/>
      <c r="I82" s="17"/>
      <c r="J82" s="17"/>
      <c r="K82" s="21"/>
      <c r="X82" s="21"/>
    </row>
    <row r="83" spans="1:24" x14ac:dyDescent="0.3">
      <c r="C83" s="17"/>
      <c r="D83" s="17"/>
      <c r="E83" s="17"/>
      <c r="F83" s="17"/>
      <c r="G83" s="17"/>
      <c r="H83" s="17"/>
      <c r="I83" s="17"/>
      <c r="J83" s="17"/>
      <c r="K83" s="21"/>
      <c r="X83" s="21"/>
    </row>
    <row r="84" spans="1:24" x14ac:dyDescent="0.3">
      <c r="C84" s="17"/>
      <c r="D84" s="17"/>
      <c r="E84" s="17"/>
      <c r="F84" s="17"/>
      <c r="G84" s="17"/>
      <c r="H84" s="17"/>
      <c r="I84" s="17"/>
      <c r="J84" s="17"/>
      <c r="K84" s="21"/>
      <c r="X84" s="21"/>
    </row>
    <row r="85" spans="1:24" x14ac:dyDescent="0.3">
      <c r="C85" s="17"/>
      <c r="D85" s="17"/>
      <c r="E85" s="17"/>
      <c r="F85" s="17"/>
      <c r="G85" s="17"/>
      <c r="H85" s="17"/>
      <c r="I85" s="17"/>
      <c r="J85" s="17"/>
      <c r="K85" s="21"/>
      <c r="X85" s="21"/>
    </row>
    <row r="86" spans="1:24" x14ac:dyDescent="0.3">
      <c r="A86" s="2" t="s">
        <v>25</v>
      </c>
      <c r="C86" s="17"/>
      <c r="D86" s="17"/>
      <c r="E86" s="17"/>
      <c r="F86" s="17"/>
      <c r="G86" s="17"/>
      <c r="H86" s="17"/>
      <c r="I86" s="17"/>
      <c r="J86" s="17"/>
      <c r="K86" s="21"/>
      <c r="X86" s="21"/>
    </row>
    <row r="87" spans="1:24" x14ac:dyDescent="0.3">
      <c r="C87" s="17"/>
      <c r="D87" s="17"/>
      <c r="E87" s="17"/>
      <c r="F87" s="17"/>
      <c r="G87" s="17"/>
      <c r="H87" s="17"/>
      <c r="I87" s="17"/>
      <c r="J87" s="17"/>
      <c r="K87" s="21"/>
      <c r="X87" s="21"/>
    </row>
    <row r="88" spans="1:24" x14ac:dyDescent="0.3">
      <c r="C88" s="17"/>
      <c r="D88" s="17"/>
      <c r="E88" s="17"/>
      <c r="F88" s="17"/>
      <c r="G88" s="17"/>
      <c r="H88" s="17"/>
      <c r="I88" s="17"/>
      <c r="J88" s="17"/>
      <c r="K88" s="21"/>
      <c r="X88" s="21"/>
    </row>
    <row r="89" spans="1:24" x14ac:dyDescent="0.3">
      <c r="A89" s="40"/>
      <c r="C89" s="17"/>
      <c r="D89" s="17"/>
      <c r="E89" s="17"/>
      <c r="F89" s="17"/>
      <c r="G89" s="17"/>
      <c r="H89" s="17"/>
      <c r="I89" s="17"/>
      <c r="J89" s="17"/>
      <c r="K89" s="21"/>
      <c r="X89" s="21"/>
    </row>
    <row r="90" spans="1:24" x14ac:dyDescent="0.3">
      <c r="A90" s="2" t="s">
        <v>26</v>
      </c>
      <c r="C90" s="17"/>
      <c r="D90" s="17"/>
      <c r="E90" s="17"/>
      <c r="F90" s="17"/>
      <c r="G90" s="17"/>
      <c r="H90" s="17"/>
      <c r="I90" s="17"/>
      <c r="J90" s="17"/>
      <c r="K90" s="21"/>
      <c r="X90" s="21"/>
    </row>
    <row r="91" spans="1:24" x14ac:dyDescent="0.3">
      <c r="C91" s="17"/>
      <c r="D91" s="17"/>
      <c r="E91" s="17"/>
      <c r="F91" s="17"/>
      <c r="G91" s="17"/>
      <c r="H91" s="17"/>
      <c r="I91" s="17"/>
      <c r="J91" s="17"/>
      <c r="K91" s="21"/>
      <c r="X91" s="21"/>
    </row>
    <row r="92" spans="1:24" x14ac:dyDescent="0.3">
      <c r="A92" s="17"/>
      <c r="C92" s="17"/>
      <c r="D92" s="17"/>
      <c r="E92" s="17"/>
      <c r="F92" s="17"/>
      <c r="G92" s="17"/>
      <c r="H92" s="17"/>
      <c r="I92" s="17"/>
      <c r="J92" s="17"/>
      <c r="K92" s="21"/>
      <c r="X92" s="21"/>
    </row>
    <row r="93" spans="1:24" x14ac:dyDescent="0.3">
      <c r="A93" s="17"/>
      <c r="C93" s="17"/>
      <c r="D93" s="17"/>
      <c r="E93" s="17"/>
      <c r="F93" s="17"/>
      <c r="G93" s="17"/>
      <c r="H93" s="17"/>
      <c r="I93" s="17"/>
      <c r="J93" s="17"/>
      <c r="K93" s="21"/>
      <c r="X93" s="21"/>
    </row>
    <row r="94" spans="1:24" x14ac:dyDescent="0.3">
      <c r="A94" s="1" t="s">
        <v>263</v>
      </c>
      <c r="B94" s="1"/>
      <c r="C94" s="1"/>
      <c r="D94" s="1"/>
      <c r="E94" s="1"/>
      <c r="F94" s="1"/>
      <c r="G94" s="1"/>
      <c r="H94" s="1"/>
      <c r="I94" s="1"/>
      <c r="J94" s="1"/>
      <c r="K94" s="21"/>
      <c r="X94" s="21"/>
    </row>
    <row r="95" spans="1:24" x14ac:dyDescent="0.3">
      <c r="A95" s="13"/>
      <c r="B95" s="1"/>
      <c r="C95" s="1"/>
      <c r="D95" s="1"/>
      <c r="E95" s="1"/>
      <c r="F95" s="1"/>
      <c r="G95" s="1"/>
      <c r="H95" s="1"/>
      <c r="I95" s="1"/>
      <c r="J95" s="1"/>
      <c r="K95" s="21"/>
      <c r="X95" s="21"/>
    </row>
    <row r="96" spans="1:24" x14ac:dyDescent="0.3">
      <c r="A96" s="13" t="s">
        <v>20</v>
      </c>
      <c r="B96" s="1" t="s">
        <v>56</v>
      </c>
      <c r="C96" s="1" t="s">
        <v>130</v>
      </c>
      <c r="D96" s="1"/>
      <c r="E96" s="1"/>
      <c r="F96" s="1"/>
      <c r="G96" s="1"/>
      <c r="H96" s="1"/>
      <c r="I96" s="1"/>
      <c r="J96" s="1"/>
      <c r="K96" s="21"/>
      <c r="X96" s="21"/>
    </row>
    <row r="97" spans="1:24" x14ac:dyDescent="0.3">
      <c r="A97" s="11"/>
      <c r="B97" s="13" t="s">
        <v>22</v>
      </c>
      <c r="C97" s="1" t="s">
        <v>131</v>
      </c>
      <c r="D97" s="1"/>
      <c r="E97" s="1"/>
      <c r="F97" s="1"/>
      <c r="G97" s="1"/>
      <c r="H97" s="1"/>
      <c r="I97" s="1"/>
      <c r="J97" s="1"/>
      <c r="K97" s="21"/>
      <c r="X97" s="21"/>
    </row>
    <row r="98" spans="1:24" x14ac:dyDescent="0.3">
      <c r="A98" s="11"/>
      <c r="B98" s="13" t="s">
        <v>25</v>
      </c>
      <c r="C98" s="1" t="s">
        <v>132</v>
      </c>
      <c r="D98" s="1"/>
      <c r="E98" s="1"/>
      <c r="F98" s="1"/>
      <c r="G98" s="1"/>
      <c r="H98" s="1"/>
      <c r="I98" s="1"/>
      <c r="J98" s="1"/>
      <c r="K98" s="21"/>
      <c r="X98" s="21"/>
    </row>
    <row r="99" spans="1:24" x14ac:dyDescent="0.3">
      <c r="A99" s="11"/>
      <c r="B99" s="1" t="s">
        <v>61</v>
      </c>
      <c r="C99" s="1"/>
      <c r="D99" s="1"/>
      <c r="E99" s="1"/>
      <c r="F99" s="1"/>
      <c r="G99" s="1"/>
      <c r="H99" s="1"/>
      <c r="I99" s="1"/>
      <c r="J99" s="1"/>
      <c r="K99" s="21"/>
      <c r="X99" s="21"/>
    </row>
    <row r="100" spans="1:24" x14ac:dyDescent="0.3">
      <c r="A100" s="11"/>
      <c r="B100" s="1"/>
      <c r="C100" s="1"/>
      <c r="D100" s="1"/>
      <c r="E100" s="1"/>
      <c r="F100" s="1"/>
      <c r="G100" s="1"/>
      <c r="H100" s="1"/>
      <c r="I100" s="1"/>
      <c r="J100" s="1"/>
      <c r="K100" s="21"/>
      <c r="X100" s="21"/>
    </row>
    <row r="101" spans="1:24" x14ac:dyDescent="0.3">
      <c r="A101" s="10" t="s">
        <v>0</v>
      </c>
      <c r="K101" s="21"/>
      <c r="M101" s="2" t="s">
        <v>20</v>
      </c>
      <c r="X101" s="21"/>
    </row>
    <row r="102" spans="1:24" x14ac:dyDescent="0.3">
      <c r="A102" s="2" t="s">
        <v>22</v>
      </c>
      <c r="K102" s="21"/>
      <c r="M102" s="65" t="s">
        <v>304</v>
      </c>
      <c r="X102" s="21"/>
    </row>
    <row r="103" spans="1:24" x14ac:dyDescent="0.3">
      <c r="K103" s="21"/>
      <c r="X103" s="21"/>
    </row>
    <row r="104" spans="1:24" x14ac:dyDescent="0.3">
      <c r="K104" s="21"/>
      <c r="X104" s="21"/>
    </row>
    <row r="105" spans="1:24" x14ac:dyDescent="0.3">
      <c r="K105" s="21"/>
      <c r="X105" s="21"/>
    </row>
    <row r="106" spans="1:24" x14ac:dyDescent="0.3">
      <c r="K106" s="21"/>
      <c r="X106" s="21"/>
    </row>
    <row r="107" spans="1:24" x14ac:dyDescent="0.3">
      <c r="A107" s="2" t="s">
        <v>25</v>
      </c>
      <c r="K107" s="21"/>
      <c r="X107" s="21"/>
    </row>
    <row r="108" spans="1:24" x14ac:dyDescent="0.3">
      <c r="K108" s="21"/>
      <c r="X108" s="21"/>
    </row>
    <row r="109" spans="1:24" x14ac:dyDescent="0.3">
      <c r="K109" s="21"/>
      <c r="X109" s="21"/>
    </row>
    <row r="110" spans="1:24" x14ac:dyDescent="0.3">
      <c r="K110" s="21"/>
      <c r="X110" s="21"/>
    </row>
    <row r="111" spans="1:24" x14ac:dyDescent="0.3">
      <c r="K111" s="21"/>
      <c r="X111" s="21"/>
    </row>
    <row r="112" spans="1:24" x14ac:dyDescent="0.3">
      <c r="K112" s="21"/>
      <c r="X112" s="21"/>
    </row>
    <row r="113" spans="1:24" x14ac:dyDescent="0.3">
      <c r="A113" s="13" t="s">
        <v>246</v>
      </c>
      <c r="B113" s="1"/>
      <c r="C113" s="1"/>
      <c r="D113" s="1"/>
      <c r="E113" s="1"/>
      <c r="F113" s="1"/>
      <c r="G113" s="1"/>
      <c r="H113" s="1"/>
      <c r="I113" s="1"/>
      <c r="J113" s="1"/>
      <c r="K113" s="21"/>
      <c r="X113" s="21"/>
    </row>
    <row r="114" spans="1:24" x14ac:dyDescent="0.3">
      <c r="A114" s="13" t="s">
        <v>269</v>
      </c>
      <c r="B114" s="1"/>
      <c r="C114" s="1"/>
      <c r="D114" s="1"/>
      <c r="E114" s="1"/>
      <c r="F114" s="1"/>
      <c r="G114" s="1"/>
      <c r="H114" s="1"/>
      <c r="I114" s="1"/>
      <c r="J114" s="1"/>
      <c r="K114" s="21"/>
      <c r="M114" s="20"/>
      <c r="X114" s="21"/>
    </row>
    <row r="115" spans="1:24" x14ac:dyDescent="0.3">
      <c r="A115" s="13" t="s">
        <v>270</v>
      </c>
      <c r="B115" s="1"/>
      <c r="C115" s="1"/>
      <c r="D115" s="1"/>
      <c r="E115" s="1"/>
      <c r="F115" s="1"/>
      <c r="G115" s="1"/>
      <c r="H115" s="1"/>
      <c r="I115" s="1"/>
      <c r="J115" s="1"/>
      <c r="K115" s="21"/>
      <c r="M115" s="20"/>
      <c r="X115" s="21"/>
    </row>
    <row r="116" spans="1:24" x14ac:dyDescent="0.3">
      <c r="A116" s="13"/>
      <c r="B116" s="1"/>
      <c r="C116" s="1"/>
      <c r="D116" s="1"/>
      <c r="E116" s="1"/>
      <c r="F116" s="1"/>
      <c r="G116" s="1"/>
      <c r="H116" s="1"/>
      <c r="I116" s="1"/>
      <c r="J116" s="1"/>
      <c r="K116" s="21"/>
      <c r="M116" s="20"/>
      <c r="X116" s="21"/>
    </row>
    <row r="117" spans="1:24" x14ac:dyDescent="0.3">
      <c r="A117" s="13" t="s">
        <v>58</v>
      </c>
      <c r="B117" s="1" t="s">
        <v>56</v>
      </c>
      <c r="C117" s="1" t="s">
        <v>265</v>
      </c>
      <c r="D117" s="1"/>
      <c r="E117" s="1"/>
      <c r="F117" s="1"/>
      <c r="G117" s="1"/>
      <c r="H117" s="1"/>
      <c r="I117" s="1"/>
      <c r="J117" s="1"/>
      <c r="K117" s="21"/>
      <c r="M117" s="20"/>
      <c r="X117" s="21"/>
    </row>
    <row r="118" spans="1:24" x14ac:dyDescent="0.3">
      <c r="A118" s="13"/>
      <c r="B118" s="1"/>
      <c r="C118" s="1"/>
      <c r="D118" s="1"/>
      <c r="E118" s="1"/>
      <c r="F118" s="1"/>
      <c r="G118" s="1"/>
      <c r="H118" s="1"/>
      <c r="I118" s="1"/>
      <c r="J118" s="1"/>
      <c r="K118" s="21"/>
      <c r="X118" s="21"/>
    </row>
    <row r="119" spans="1:24" x14ac:dyDescent="0.3">
      <c r="A119" s="10" t="s">
        <v>0</v>
      </c>
      <c r="K119" s="21"/>
      <c r="M119" s="2" t="s">
        <v>58</v>
      </c>
      <c r="X119" s="21"/>
    </row>
    <row r="120" spans="1:24" x14ac:dyDescent="0.3">
      <c r="K120" s="21"/>
      <c r="M120" s="65" t="s">
        <v>304</v>
      </c>
      <c r="X120" s="21"/>
    </row>
    <row r="121" spans="1:24" x14ac:dyDescent="0.3">
      <c r="K121" s="21"/>
      <c r="X121" s="21"/>
    </row>
    <row r="122" spans="1:24" x14ac:dyDescent="0.3">
      <c r="K122" s="21"/>
      <c r="X122" s="21"/>
    </row>
    <row r="123" spans="1:24" x14ac:dyDescent="0.3">
      <c r="K123" s="21"/>
      <c r="X123" s="21"/>
    </row>
    <row r="124" spans="1:24" x14ac:dyDescent="0.3">
      <c r="K124" s="21"/>
      <c r="X124" s="21"/>
    </row>
    <row r="125" spans="1:24" x14ac:dyDescent="0.3">
      <c r="K125" s="21"/>
      <c r="X125" s="21"/>
    </row>
    <row r="126" spans="1:24" x14ac:dyDescent="0.3">
      <c r="K126" s="21"/>
      <c r="X126" s="21"/>
    </row>
    <row r="127" spans="1:24" x14ac:dyDescent="0.3">
      <c r="K127" s="21"/>
      <c r="X127" s="21"/>
    </row>
    <row r="128" spans="1:24" x14ac:dyDescent="0.3">
      <c r="K128" s="21"/>
      <c r="X128" s="21"/>
    </row>
    <row r="129" spans="1:24" x14ac:dyDescent="0.3">
      <c r="K129" s="21"/>
      <c r="X129" s="21"/>
    </row>
    <row r="130" spans="1:24" x14ac:dyDescent="0.3">
      <c r="K130" s="21"/>
      <c r="X130" s="21"/>
    </row>
    <row r="131" spans="1:24" s="3" customFormat="1" x14ac:dyDescent="0.3">
      <c r="A131" s="3" t="s">
        <v>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33F2-9BF8-4F8B-BCAF-AF23CC899B69}">
  <dimension ref="A1:AL128"/>
  <sheetViews>
    <sheetView zoomScale="90" zoomScaleNormal="90" workbookViewId="0"/>
  </sheetViews>
  <sheetFormatPr defaultColWidth="9.109375" defaultRowHeight="15.6" x14ac:dyDescent="0.3"/>
  <cols>
    <col min="1" max="1" width="15.44140625" style="2" customWidth="1"/>
    <col min="2" max="2" width="28" style="2" customWidth="1"/>
    <col min="3" max="3" width="11.44140625" style="2" customWidth="1"/>
    <col min="4" max="4" width="17.44140625" style="2" customWidth="1"/>
    <col min="5" max="5" width="17.109375" style="2" customWidth="1"/>
    <col min="6" max="7" width="19.44140625" style="2" customWidth="1"/>
    <col min="8" max="10" width="14.44140625" style="2" customWidth="1"/>
    <col min="11" max="11" width="13.44140625" style="2" customWidth="1"/>
    <col min="12" max="12" width="3.44140625" style="2" customWidth="1"/>
    <col min="13" max="13" width="10.6640625" style="2" bestFit="1" customWidth="1"/>
    <col min="14" max="14" width="23.44140625" style="2" customWidth="1"/>
    <col min="15" max="15" width="18" style="2" customWidth="1"/>
    <col min="16" max="16" width="42.77734375" style="2" customWidth="1"/>
    <col min="17" max="17" width="18" style="2" customWidth="1"/>
    <col min="18" max="18" width="30.109375" style="2" bestFit="1" customWidth="1"/>
    <col min="19" max="22" width="18" style="2" customWidth="1"/>
    <col min="23" max="23" width="9.44140625" style="2" bestFit="1" customWidth="1"/>
    <col min="24" max="24" width="11.44140625" style="2" bestFit="1" customWidth="1"/>
    <col min="25" max="26" width="9.109375" style="2"/>
    <col min="27" max="27" width="21" style="2" customWidth="1"/>
    <col min="28" max="28" width="36.44140625" style="2" customWidth="1"/>
    <col min="29" max="29" width="18.44140625" style="2" customWidth="1"/>
    <col min="30" max="16384" width="9.109375" style="2"/>
  </cols>
  <sheetData>
    <row r="1" spans="1:38" x14ac:dyDescent="0.3">
      <c r="A1" s="4" t="s">
        <v>256</v>
      </c>
      <c r="B1" s="1"/>
      <c r="C1" s="1"/>
      <c r="D1" s="1"/>
      <c r="E1" s="1"/>
      <c r="F1" s="1"/>
      <c r="G1" s="1"/>
      <c r="H1" s="1"/>
      <c r="I1" s="1"/>
      <c r="J1" s="1"/>
      <c r="K1" s="1"/>
      <c r="L1" s="21"/>
      <c r="M1" s="2" t="s">
        <v>345</v>
      </c>
    </row>
    <row r="2" spans="1:38" x14ac:dyDescent="0.3">
      <c r="A2" s="1" t="s">
        <v>257</v>
      </c>
      <c r="B2" s="1"/>
      <c r="C2" s="1"/>
      <c r="D2" s="1"/>
      <c r="E2" s="1"/>
      <c r="F2" s="1"/>
      <c r="G2" s="1"/>
      <c r="H2" s="1"/>
      <c r="I2" s="1"/>
      <c r="J2" s="1"/>
      <c r="K2" s="1"/>
      <c r="L2" s="21"/>
      <c r="N2" s="2" t="s">
        <v>282</v>
      </c>
      <c r="O2" s="2" t="s">
        <v>283</v>
      </c>
    </row>
    <row r="3" spans="1:38" x14ac:dyDescent="0.3">
      <c r="L3" s="21"/>
      <c r="W3"/>
      <c r="X3"/>
      <c r="Y3"/>
      <c r="Z3"/>
      <c r="AA3"/>
      <c r="AB3"/>
      <c r="AC3"/>
      <c r="AD3"/>
      <c r="AE3"/>
      <c r="AF3"/>
      <c r="AG3"/>
      <c r="AH3"/>
      <c r="AI3"/>
      <c r="AJ3"/>
      <c r="AK3"/>
      <c r="AL3"/>
    </row>
    <row r="4" spans="1:38" x14ac:dyDescent="0.3">
      <c r="A4" s="1" t="s">
        <v>141</v>
      </c>
      <c r="B4" s="1"/>
      <c r="C4" s="1"/>
      <c r="D4" s="1"/>
      <c r="E4" s="1"/>
      <c r="F4" s="1"/>
      <c r="G4" s="1"/>
      <c r="H4" s="1"/>
      <c r="I4" s="1"/>
      <c r="J4" s="1"/>
      <c r="K4" s="1"/>
      <c r="L4" s="21"/>
      <c r="N4" s="20" t="s">
        <v>284</v>
      </c>
      <c r="S4" s="131"/>
      <c r="W4"/>
      <c r="X4"/>
      <c r="Y4"/>
      <c r="Z4"/>
      <c r="AA4"/>
      <c r="AB4"/>
      <c r="AC4"/>
      <c r="AD4"/>
      <c r="AE4"/>
      <c r="AF4"/>
      <c r="AG4"/>
      <c r="AH4"/>
      <c r="AI4"/>
      <c r="AJ4"/>
      <c r="AK4"/>
      <c r="AL4"/>
    </row>
    <row r="5" spans="1:38" x14ac:dyDescent="0.3">
      <c r="A5" s="1" t="s">
        <v>142</v>
      </c>
      <c r="B5" s="1"/>
      <c r="C5" s="1"/>
      <c r="D5" s="1"/>
      <c r="E5" s="1"/>
      <c r="F5" s="1"/>
      <c r="G5" s="1"/>
      <c r="H5" s="1"/>
      <c r="I5" s="1"/>
      <c r="J5" s="1"/>
      <c r="K5" s="1"/>
      <c r="L5" s="21"/>
      <c r="N5" s="2" t="s">
        <v>176</v>
      </c>
      <c r="W5"/>
      <c r="X5"/>
      <c r="Y5"/>
      <c r="Z5"/>
      <c r="AA5"/>
      <c r="AB5"/>
      <c r="AC5"/>
      <c r="AD5"/>
      <c r="AE5"/>
      <c r="AF5"/>
      <c r="AG5"/>
      <c r="AH5"/>
      <c r="AI5"/>
      <c r="AJ5"/>
      <c r="AK5"/>
      <c r="AL5"/>
    </row>
    <row r="6" spans="1:38" x14ac:dyDescent="0.3">
      <c r="A6" s="13"/>
      <c r="B6" s="1"/>
      <c r="C6" s="1"/>
      <c r="D6" s="1"/>
      <c r="E6" s="1"/>
      <c r="F6" s="1"/>
      <c r="G6" s="1"/>
      <c r="H6" s="1"/>
      <c r="I6" s="1"/>
      <c r="J6" s="1"/>
      <c r="K6" s="1"/>
      <c r="L6" s="21"/>
      <c r="N6" s="2" t="s">
        <v>177</v>
      </c>
      <c r="O6" s="20" t="s">
        <v>352</v>
      </c>
      <c r="S6" s="131"/>
      <c r="W6"/>
      <c r="X6"/>
      <c r="Y6"/>
      <c r="Z6"/>
      <c r="AA6"/>
      <c r="AB6"/>
      <c r="AC6"/>
      <c r="AD6"/>
      <c r="AE6"/>
      <c r="AF6"/>
      <c r="AG6"/>
      <c r="AH6"/>
      <c r="AI6"/>
      <c r="AJ6"/>
      <c r="AK6"/>
      <c r="AL6"/>
    </row>
    <row r="7" spans="1:38" x14ac:dyDescent="0.3">
      <c r="A7" s="1" t="s">
        <v>31</v>
      </c>
      <c r="B7" s="1"/>
      <c r="C7" s="1"/>
      <c r="D7" s="1"/>
      <c r="E7" s="1"/>
      <c r="F7" s="1"/>
      <c r="G7" s="1"/>
      <c r="H7" s="1"/>
      <c r="I7" s="1"/>
      <c r="J7" s="1"/>
      <c r="K7" s="1"/>
      <c r="L7" s="21"/>
      <c r="O7" s="266" t="s">
        <v>351</v>
      </c>
      <c r="P7" s="267"/>
      <c r="Q7" s="267"/>
      <c r="S7" s="131"/>
      <c r="W7"/>
      <c r="X7"/>
      <c r="Y7"/>
      <c r="Z7"/>
      <c r="AA7"/>
      <c r="AB7"/>
      <c r="AC7"/>
      <c r="AD7"/>
      <c r="AE7"/>
      <c r="AF7"/>
      <c r="AG7"/>
      <c r="AH7"/>
      <c r="AI7"/>
      <c r="AJ7"/>
      <c r="AK7"/>
      <c r="AL7"/>
    </row>
    <row r="8" spans="1:38" x14ac:dyDescent="0.3">
      <c r="A8" s="13"/>
      <c r="B8" s="6" t="s">
        <v>229</v>
      </c>
      <c r="C8" s="138">
        <v>10000</v>
      </c>
      <c r="D8" s="6" t="s">
        <v>143</v>
      </c>
      <c r="E8" s="1"/>
      <c r="F8" s="1"/>
      <c r="G8" s="1"/>
      <c r="H8" s="1"/>
      <c r="I8" s="1"/>
      <c r="J8" s="1"/>
      <c r="K8" s="1"/>
      <c r="L8" s="21"/>
      <c r="S8" s="131"/>
      <c r="W8"/>
      <c r="X8"/>
      <c r="Y8"/>
      <c r="Z8"/>
      <c r="AA8"/>
      <c r="AB8"/>
      <c r="AC8"/>
      <c r="AD8"/>
      <c r="AE8"/>
      <c r="AF8"/>
      <c r="AG8"/>
      <c r="AH8"/>
      <c r="AI8"/>
      <c r="AJ8"/>
      <c r="AK8"/>
      <c r="AL8"/>
    </row>
    <row r="9" spans="1:38" x14ac:dyDescent="0.3">
      <c r="A9" s="13"/>
      <c r="B9" s="6" t="s">
        <v>230</v>
      </c>
      <c r="C9" s="138">
        <v>7000</v>
      </c>
      <c r="D9" s="6" t="s">
        <v>143</v>
      </c>
      <c r="E9" s="1"/>
      <c r="F9" s="1"/>
      <c r="G9" s="1"/>
      <c r="H9" s="1"/>
      <c r="I9" s="1"/>
      <c r="J9" s="1"/>
      <c r="K9" s="1"/>
      <c r="L9" s="21"/>
      <c r="N9" s="2" t="s">
        <v>178</v>
      </c>
      <c r="O9" s="20" t="s">
        <v>353</v>
      </c>
      <c r="S9" s="131"/>
      <c r="W9"/>
      <c r="X9"/>
      <c r="Y9"/>
      <c r="Z9"/>
      <c r="AA9"/>
      <c r="AB9"/>
      <c r="AC9"/>
      <c r="AD9"/>
      <c r="AE9"/>
      <c r="AF9"/>
      <c r="AG9"/>
      <c r="AH9"/>
      <c r="AI9"/>
      <c r="AJ9"/>
      <c r="AK9"/>
      <c r="AL9"/>
    </row>
    <row r="10" spans="1:38" x14ac:dyDescent="0.3">
      <c r="A10" s="13"/>
      <c r="B10" s="6" t="s">
        <v>231</v>
      </c>
      <c r="C10" s="138">
        <v>2000</v>
      </c>
      <c r="D10" s="6" t="s">
        <v>143</v>
      </c>
      <c r="E10" s="1"/>
      <c r="F10" s="1"/>
      <c r="G10" s="1"/>
      <c r="H10" s="1"/>
      <c r="I10" s="1"/>
      <c r="J10" s="1"/>
      <c r="K10" s="1"/>
      <c r="L10" s="21"/>
      <c r="O10" s="266" t="s">
        <v>354</v>
      </c>
      <c r="P10" s="267"/>
      <c r="S10" s="131"/>
      <c r="W10"/>
      <c r="X10"/>
      <c r="Y10"/>
      <c r="Z10"/>
      <c r="AA10"/>
      <c r="AB10"/>
      <c r="AC10"/>
      <c r="AD10"/>
      <c r="AE10"/>
      <c r="AF10"/>
      <c r="AG10"/>
      <c r="AH10"/>
      <c r="AI10"/>
      <c r="AJ10"/>
      <c r="AK10"/>
      <c r="AL10"/>
    </row>
    <row r="11" spans="1:38" x14ac:dyDescent="0.3">
      <c r="A11" s="13"/>
      <c r="B11" s="1"/>
      <c r="C11" s="103"/>
      <c r="D11" s="1"/>
      <c r="E11" s="1"/>
      <c r="F11" s="1"/>
      <c r="G11" s="1"/>
      <c r="H11" s="1"/>
      <c r="I11" s="1"/>
      <c r="J11" s="1"/>
      <c r="K11" s="1"/>
      <c r="L11" s="21"/>
      <c r="S11" s="131"/>
      <c r="W11"/>
      <c r="X11"/>
      <c r="Y11"/>
      <c r="Z11"/>
      <c r="AA11"/>
      <c r="AB11"/>
      <c r="AC11"/>
      <c r="AD11"/>
      <c r="AE11"/>
      <c r="AF11"/>
      <c r="AG11"/>
      <c r="AH11"/>
      <c r="AI11"/>
      <c r="AJ11"/>
      <c r="AK11"/>
      <c r="AL11"/>
    </row>
    <row r="12" spans="1:38" x14ac:dyDescent="0.3">
      <c r="A12" s="13" t="s">
        <v>21</v>
      </c>
      <c r="B12" s="1" t="s">
        <v>30</v>
      </c>
      <c r="C12" s="1" t="s">
        <v>266</v>
      </c>
      <c r="D12" s="1"/>
      <c r="E12" s="1"/>
      <c r="F12" s="1"/>
      <c r="G12" s="1"/>
      <c r="H12" s="1"/>
      <c r="I12" s="1"/>
      <c r="J12" s="1"/>
      <c r="K12" s="1"/>
      <c r="L12" s="21"/>
      <c r="N12" s="2" t="s">
        <v>179</v>
      </c>
      <c r="O12" s="20" t="s">
        <v>355</v>
      </c>
      <c r="S12" s="131"/>
      <c r="W12"/>
      <c r="X12"/>
      <c r="Y12"/>
      <c r="Z12"/>
      <c r="AA12"/>
      <c r="AB12"/>
      <c r="AC12"/>
      <c r="AD12"/>
      <c r="AE12"/>
      <c r="AF12"/>
      <c r="AG12"/>
      <c r="AH12"/>
      <c r="AI12"/>
      <c r="AJ12"/>
      <c r="AK12"/>
      <c r="AL12"/>
    </row>
    <row r="13" spans="1:38" x14ac:dyDescent="0.3">
      <c r="A13" s="11"/>
      <c r="B13" s="13" t="s">
        <v>22</v>
      </c>
      <c r="C13" s="1" t="s">
        <v>144</v>
      </c>
      <c r="D13" s="1"/>
      <c r="E13" s="1"/>
      <c r="F13" s="1"/>
      <c r="G13" s="1"/>
      <c r="H13" s="1"/>
      <c r="I13" s="1"/>
      <c r="J13" s="1"/>
      <c r="K13" s="1"/>
      <c r="L13" s="21"/>
      <c r="O13" s="266" t="s">
        <v>356</v>
      </c>
      <c r="P13" s="267"/>
      <c r="S13" s="131"/>
      <c r="W13"/>
      <c r="X13"/>
      <c r="Y13"/>
      <c r="Z13"/>
      <c r="AA13"/>
      <c r="AB13"/>
      <c r="AC13"/>
      <c r="AD13"/>
      <c r="AE13"/>
      <c r="AF13"/>
      <c r="AG13"/>
      <c r="AH13"/>
      <c r="AI13"/>
      <c r="AJ13"/>
      <c r="AK13"/>
      <c r="AL13"/>
    </row>
    <row r="14" spans="1:38" x14ac:dyDescent="0.3">
      <c r="A14" s="11"/>
      <c r="B14" s="13" t="s">
        <v>25</v>
      </c>
      <c r="C14" s="1" t="s">
        <v>145</v>
      </c>
      <c r="D14" s="1"/>
      <c r="E14" s="1"/>
      <c r="F14" s="1"/>
      <c r="G14" s="1"/>
      <c r="H14" s="1"/>
      <c r="I14" s="1"/>
      <c r="J14" s="1"/>
      <c r="K14" s="1"/>
      <c r="L14" s="21"/>
      <c r="W14"/>
      <c r="X14"/>
      <c r="Y14"/>
      <c r="Z14"/>
      <c r="AA14"/>
      <c r="AB14"/>
      <c r="AC14"/>
      <c r="AD14"/>
      <c r="AE14"/>
      <c r="AF14"/>
      <c r="AG14"/>
      <c r="AH14"/>
      <c r="AI14"/>
      <c r="AJ14"/>
      <c r="AK14"/>
      <c r="AL14"/>
    </row>
    <row r="15" spans="1:38" x14ac:dyDescent="0.3">
      <c r="A15" s="11"/>
      <c r="B15" s="13" t="s">
        <v>26</v>
      </c>
      <c r="C15" s="1" t="s">
        <v>146</v>
      </c>
      <c r="D15" s="1"/>
      <c r="E15" s="1"/>
      <c r="F15" s="1"/>
      <c r="G15" s="1"/>
      <c r="H15" s="1"/>
      <c r="I15" s="1"/>
      <c r="J15" s="1"/>
      <c r="K15" s="1"/>
      <c r="L15" s="21"/>
      <c r="N15" s="2" t="s">
        <v>285</v>
      </c>
      <c r="W15"/>
      <c r="X15"/>
      <c r="Y15"/>
      <c r="Z15"/>
      <c r="AA15"/>
      <c r="AB15"/>
      <c r="AC15"/>
      <c r="AD15"/>
      <c r="AE15"/>
      <c r="AF15"/>
      <c r="AG15"/>
      <c r="AH15"/>
      <c r="AI15"/>
      <c r="AJ15"/>
      <c r="AK15"/>
      <c r="AL15"/>
    </row>
    <row r="16" spans="1:38" x14ac:dyDescent="0.3">
      <c r="A16" s="11"/>
      <c r="B16" s="15" t="s">
        <v>12</v>
      </c>
      <c r="C16" s="1"/>
      <c r="D16" s="1"/>
      <c r="E16" s="1"/>
      <c r="F16" s="1"/>
      <c r="G16" s="1"/>
      <c r="H16" s="1"/>
      <c r="I16" s="1"/>
      <c r="J16" s="1"/>
      <c r="K16" s="1"/>
      <c r="L16" s="21"/>
      <c r="W16"/>
      <c r="X16"/>
      <c r="Y16"/>
      <c r="Z16"/>
      <c r="AA16"/>
      <c r="AB16"/>
      <c r="AC16"/>
      <c r="AD16"/>
      <c r="AE16"/>
      <c r="AF16"/>
      <c r="AG16"/>
      <c r="AH16"/>
      <c r="AI16"/>
      <c r="AJ16"/>
      <c r="AK16"/>
      <c r="AL16"/>
    </row>
    <row r="17" spans="1:21" x14ac:dyDescent="0.3">
      <c r="A17" s="13"/>
      <c r="B17" s="1"/>
      <c r="C17" s="1"/>
      <c r="D17" s="1"/>
      <c r="E17" s="1"/>
      <c r="F17" s="1"/>
      <c r="G17" s="1"/>
      <c r="H17" s="1"/>
      <c r="I17" s="1"/>
      <c r="J17" s="1"/>
      <c r="K17" s="1"/>
      <c r="L17" s="21"/>
    </row>
    <row r="18" spans="1:21" x14ac:dyDescent="0.3">
      <c r="A18" s="10" t="s">
        <v>0</v>
      </c>
      <c r="L18" s="21"/>
      <c r="N18" s="131"/>
      <c r="O18" s="2" t="s">
        <v>183</v>
      </c>
    </row>
    <row r="19" spans="1:21" x14ac:dyDescent="0.3">
      <c r="A19" s="2" t="s">
        <v>22</v>
      </c>
      <c r="L19" s="21"/>
      <c r="N19" s="131"/>
    </row>
    <row r="20" spans="1:21" x14ac:dyDescent="0.3">
      <c r="L20" s="21"/>
      <c r="N20" s="131"/>
    </row>
    <row r="21" spans="1:21" x14ac:dyDescent="0.3">
      <c r="L21" s="21"/>
      <c r="N21" s="131"/>
    </row>
    <row r="22" spans="1:21" x14ac:dyDescent="0.3">
      <c r="L22" s="21"/>
      <c r="N22" s="131"/>
    </row>
    <row r="23" spans="1:21" x14ac:dyDescent="0.3">
      <c r="L23" s="21"/>
      <c r="O23" s="2" t="s">
        <v>184</v>
      </c>
      <c r="P23" s="20" t="s">
        <v>185</v>
      </c>
      <c r="Q23" s="2">
        <f>1.6/1000</f>
        <v>1.6000000000000001E-3</v>
      </c>
    </row>
    <row r="24" spans="1:21" x14ac:dyDescent="0.3">
      <c r="A24" s="2" t="s">
        <v>25</v>
      </c>
      <c r="L24" s="21"/>
    </row>
    <row r="25" spans="1:21" x14ac:dyDescent="0.3">
      <c r="L25" s="21"/>
      <c r="P25" s="47" t="s">
        <v>186</v>
      </c>
      <c r="Q25" s="2" t="s">
        <v>187</v>
      </c>
      <c r="R25" s="2" t="s">
        <v>188</v>
      </c>
      <c r="S25" s="2" t="s">
        <v>189</v>
      </c>
      <c r="T25" s="2" t="s">
        <v>190</v>
      </c>
      <c r="U25" s="2" t="s">
        <v>191</v>
      </c>
    </row>
    <row r="26" spans="1:21" x14ac:dyDescent="0.3">
      <c r="L26" s="21"/>
      <c r="P26" s="47">
        <v>1</v>
      </c>
      <c r="Q26" s="2">
        <v>60000</v>
      </c>
      <c r="R26" s="113">
        <v>0.31</v>
      </c>
      <c r="S26" s="113">
        <f>1-R26</f>
        <v>0.69</v>
      </c>
      <c r="T26" s="113">
        <f>1/(1.07)^P26</f>
        <v>0.93457943925233644</v>
      </c>
      <c r="U26" s="2">
        <f>Q26*S26*T26</f>
        <v>38691.588785046726</v>
      </c>
    </row>
    <row r="27" spans="1:21" x14ac:dyDescent="0.3">
      <c r="L27" s="21"/>
      <c r="P27" s="47">
        <v>2</v>
      </c>
      <c r="Q27" s="2">
        <v>60000</v>
      </c>
      <c r="R27" s="113">
        <v>0.24</v>
      </c>
      <c r="S27" s="113">
        <f>S26*(1-R27)</f>
        <v>0.52439999999999998</v>
      </c>
      <c r="T27" s="113">
        <f t="shared" ref="T27:T28" si="0">1/(1.07)^P27</f>
        <v>0.87343872827321156</v>
      </c>
      <c r="U27" s="2">
        <f t="shared" ref="U27:U28" si="1">Q27*S27*T27</f>
        <v>27481.876146388327</v>
      </c>
    </row>
    <row r="28" spans="1:21" x14ac:dyDescent="0.3">
      <c r="L28" s="21"/>
      <c r="P28" s="47">
        <v>3</v>
      </c>
      <c r="Q28" s="2">
        <v>60000</v>
      </c>
      <c r="R28" s="113">
        <v>0.17</v>
      </c>
      <c r="S28" s="113">
        <f>S27*(1-R28)</f>
        <v>0.43525199999999997</v>
      </c>
      <c r="T28" s="113">
        <f t="shared" si="0"/>
        <v>0.81629787689085187</v>
      </c>
      <c r="U28" s="2">
        <f t="shared" si="1"/>
        <v>21317.717010749824</v>
      </c>
    </row>
    <row r="29" spans="1:21" x14ac:dyDescent="0.3">
      <c r="A29" s="1" t="s">
        <v>233</v>
      </c>
      <c r="B29" s="1"/>
      <c r="C29" s="1"/>
      <c r="D29" s="1"/>
      <c r="E29" s="1"/>
      <c r="F29" s="1"/>
      <c r="G29" s="1"/>
      <c r="H29" s="1"/>
      <c r="I29" s="1"/>
      <c r="J29" s="1"/>
      <c r="K29" s="1"/>
      <c r="L29" s="21"/>
      <c r="T29" s="2" t="s">
        <v>14</v>
      </c>
      <c r="U29" s="2">
        <f>SUM(U26:U28)</f>
        <v>87491.181942184878</v>
      </c>
    </row>
    <row r="30" spans="1:21" ht="16.2" thickBot="1" x14ac:dyDescent="0.35">
      <c r="A30" s="1"/>
      <c r="B30" s="1"/>
      <c r="C30" s="1"/>
      <c r="D30" s="1"/>
      <c r="E30" s="1"/>
      <c r="F30" s="1"/>
      <c r="G30" s="1"/>
      <c r="H30" s="1"/>
      <c r="I30" s="1"/>
      <c r="J30" s="1"/>
      <c r="K30" s="1"/>
      <c r="L30" s="21"/>
    </row>
    <row r="31" spans="1:21" ht="16.2" thickBot="1" x14ac:dyDescent="0.35">
      <c r="A31" s="1" t="s">
        <v>147</v>
      </c>
      <c r="B31" s="1"/>
      <c r="C31" s="1"/>
      <c r="D31" s="1"/>
      <c r="E31" s="1"/>
      <c r="F31" s="1"/>
      <c r="G31" s="1"/>
      <c r="H31" s="1"/>
      <c r="I31" s="1"/>
      <c r="J31" s="1"/>
      <c r="K31" s="1"/>
      <c r="L31" s="21"/>
      <c r="R31" s="114" t="s">
        <v>192</v>
      </c>
      <c r="S31" s="265">
        <f>(Q23*U29)/12</f>
        <v>11.665490925624651</v>
      </c>
    </row>
    <row r="32" spans="1:21" x14ac:dyDescent="0.3">
      <c r="A32" s="1"/>
      <c r="B32" s="1"/>
      <c r="C32" s="1"/>
      <c r="D32" s="1"/>
      <c r="E32" s="1"/>
      <c r="F32" s="1"/>
      <c r="G32" s="1"/>
      <c r="H32" s="1"/>
      <c r="I32" s="1"/>
      <c r="J32" s="1"/>
      <c r="K32" s="1"/>
      <c r="L32" s="21"/>
      <c r="R32" s="22"/>
      <c r="S32" s="137"/>
    </row>
    <row r="33" spans="1:21" x14ac:dyDescent="0.3">
      <c r="A33" s="1"/>
      <c r="B33" s="1"/>
      <c r="C33" s="1"/>
      <c r="D33" s="1"/>
      <c r="E33" s="1"/>
      <c r="F33" s="1"/>
      <c r="G33" s="1"/>
      <c r="H33" s="1"/>
      <c r="I33" s="1"/>
      <c r="J33" s="1"/>
      <c r="K33" s="1"/>
      <c r="L33" s="21"/>
    </row>
    <row r="34" spans="1:21" x14ac:dyDescent="0.3">
      <c r="A34" s="1"/>
      <c r="B34" s="6" t="s">
        <v>148</v>
      </c>
      <c r="C34" s="104" t="s">
        <v>149</v>
      </c>
      <c r="D34" s="1"/>
      <c r="E34" s="1"/>
      <c r="F34" s="1"/>
      <c r="G34" s="1"/>
      <c r="H34" s="1"/>
      <c r="I34" s="1"/>
      <c r="J34" s="1"/>
      <c r="K34" s="1"/>
      <c r="L34" s="21"/>
      <c r="N34" s="2" t="s">
        <v>286</v>
      </c>
    </row>
    <row r="35" spans="1:21" x14ac:dyDescent="0.3">
      <c r="A35" s="1"/>
      <c r="B35" s="6" t="s">
        <v>150</v>
      </c>
      <c r="C35" s="105">
        <v>60000</v>
      </c>
      <c r="D35" s="1"/>
      <c r="E35" s="1"/>
      <c r="F35" s="1"/>
      <c r="G35" s="1"/>
      <c r="H35" s="1"/>
      <c r="I35" s="1"/>
      <c r="J35" s="1"/>
      <c r="K35" s="1"/>
      <c r="L35" s="21"/>
    </row>
    <row r="36" spans="1:21" x14ac:dyDescent="0.3">
      <c r="A36" s="1"/>
      <c r="B36" s="6" t="s">
        <v>151</v>
      </c>
      <c r="C36" s="106">
        <v>7.0000000000000007E-2</v>
      </c>
      <c r="D36" s="1"/>
      <c r="E36" s="1"/>
      <c r="F36" s="1"/>
      <c r="G36" s="1"/>
      <c r="H36" s="1"/>
      <c r="I36" s="1"/>
      <c r="J36" s="1"/>
      <c r="K36" s="1"/>
      <c r="L36" s="21"/>
      <c r="O36" s="2" t="s">
        <v>183</v>
      </c>
      <c r="P36" s="2" t="s">
        <v>193</v>
      </c>
    </row>
    <row r="37" spans="1:21" x14ac:dyDescent="0.3">
      <c r="A37" s="1"/>
      <c r="B37" s="6" t="s">
        <v>155</v>
      </c>
      <c r="C37" s="104" t="s">
        <v>156</v>
      </c>
      <c r="D37" s="1"/>
      <c r="E37" s="1"/>
      <c r="F37" s="1"/>
      <c r="G37" s="1"/>
      <c r="H37" s="1"/>
      <c r="I37" s="1"/>
      <c r="J37" s="1"/>
      <c r="K37" s="1"/>
      <c r="L37" s="21"/>
    </row>
    <row r="38" spans="1:21" x14ac:dyDescent="0.3">
      <c r="A38" s="1"/>
      <c r="B38" s="1"/>
      <c r="C38" s="1"/>
      <c r="D38" s="1"/>
      <c r="E38" s="1"/>
      <c r="F38" s="1"/>
      <c r="G38" s="1"/>
      <c r="H38" s="1"/>
      <c r="I38" s="1"/>
      <c r="J38" s="1"/>
      <c r="K38" s="1"/>
      <c r="L38" s="21"/>
      <c r="O38" s="2" t="s">
        <v>194</v>
      </c>
      <c r="P38" s="2" t="s">
        <v>195</v>
      </c>
      <c r="Q38" s="2">
        <v>2.5000000000000001E-3</v>
      </c>
    </row>
    <row r="39" spans="1:21" x14ac:dyDescent="0.3">
      <c r="A39" s="1"/>
      <c r="B39" s="1" t="s">
        <v>152</v>
      </c>
      <c r="C39" s="1"/>
      <c r="D39" s="1"/>
      <c r="E39" s="1"/>
      <c r="F39" s="1"/>
      <c r="G39" s="1"/>
      <c r="H39" s="1"/>
      <c r="I39" s="1"/>
      <c r="J39" s="1"/>
      <c r="K39" s="1"/>
      <c r="L39" s="21"/>
    </row>
    <row r="40" spans="1:21" x14ac:dyDescent="0.3">
      <c r="A40" s="1"/>
      <c r="B40" s="1" t="s">
        <v>153</v>
      </c>
      <c r="C40" s="1"/>
      <c r="D40" s="1"/>
      <c r="E40" s="1"/>
      <c r="F40" s="1"/>
      <c r="G40" s="1"/>
      <c r="H40" s="1"/>
      <c r="I40" s="1"/>
      <c r="J40" s="1"/>
      <c r="K40" s="1"/>
      <c r="L40" s="21"/>
      <c r="P40" s="2" t="s">
        <v>186</v>
      </c>
      <c r="Q40" s="2" t="s">
        <v>187</v>
      </c>
      <c r="R40" s="2" t="s">
        <v>188</v>
      </c>
      <c r="S40" s="2" t="s">
        <v>189</v>
      </c>
      <c r="T40" s="2" t="s">
        <v>190</v>
      </c>
      <c r="U40" s="2" t="s">
        <v>191</v>
      </c>
    </row>
    <row r="41" spans="1:21" x14ac:dyDescent="0.3">
      <c r="A41" s="1"/>
      <c r="B41" s="1" t="s">
        <v>154</v>
      </c>
      <c r="C41" s="1"/>
      <c r="D41" s="1"/>
      <c r="E41" s="1"/>
      <c r="F41" s="1"/>
      <c r="G41" s="1"/>
      <c r="H41" s="1"/>
      <c r="I41" s="1"/>
      <c r="J41" s="1"/>
      <c r="K41" s="1"/>
      <c r="L41" s="21"/>
      <c r="N41" s="131"/>
    </row>
    <row r="42" spans="1:21" x14ac:dyDescent="0.3">
      <c r="A42" s="1"/>
      <c r="B42" s="1"/>
      <c r="C42" s="1"/>
      <c r="D42" s="1"/>
      <c r="E42" s="1"/>
      <c r="F42" s="1"/>
      <c r="G42" s="1"/>
      <c r="H42" s="1"/>
      <c r="I42" s="1"/>
      <c r="J42" s="1"/>
      <c r="K42" s="1"/>
      <c r="L42" s="21"/>
      <c r="N42" s="131"/>
      <c r="P42" s="2">
        <v>1</v>
      </c>
      <c r="Q42" s="2">
        <v>60000</v>
      </c>
      <c r="R42" s="2">
        <v>0.31</v>
      </c>
      <c r="S42" s="2">
        <v>0.69</v>
      </c>
      <c r="T42" s="2">
        <v>0.93457943925233644</v>
      </c>
      <c r="U42" s="2">
        <v>38691.588785046726</v>
      </c>
    </row>
    <row r="43" spans="1:21" x14ac:dyDescent="0.3">
      <c r="A43" s="1"/>
      <c r="B43" s="18" t="s">
        <v>157</v>
      </c>
      <c r="C43" s="66"/>
      <c r="D43" s="66"/>
      <c r="E43" s="16"/>
      <c r="F43" s="1"/>
      <c r="G43" s="18" t="s">
        <v>180</v>
      </c>
      <c r="H43" s="66"/>
      <c r="I43" s="66"/>
      <c r="J43" s="16"/>
      <c r="K43" s="1"/>
      <c r="L43" s="21"/>
      <c r="N43" s="131"/>
      <c r="P43" s="2">
        <v>2</v>
      </c>
      <c r="Q43" s="2">
        <v>60000</v>
      </c>
      <c r="R43" s="2">
        <v>0.24</v>
      </c>
      <c r="S43" s="2">
        <v>0.52439999999999998</v>
      </c>
      <c r="T43" s="2">
        <v>0.87343872827321156</v>
      </c>
      <c r="U43" s="2">
        <v>27481.876146388327</v>
      </c>
    </row>
    <row r="44" spans="1:21" ht="46.8" x14ac:dyDescent="0.3">
      <c r="A44" s="1"/>
      <c r="B44" s="8"/>
      <c r="C44" s="9"/>
      <c r="D44" s="107" t="s">
        <v>181</v>
      </c>
      <c r="E44" s="107" t="s">
        <v>182</v>
      </c>
      <c r="F44" s="1"/>
      <c r="G44" s="108"/>
      <c r="H44" s="109" t="s">
        <v>169</v>
      </c>
      <c r="I44" s="109"/>
      <c r="J44" s="110"/>
      <c r="K44" s="1"/>
      <c r="L44" s="21"/>
      <c r="N44" s="131"/>
      <c r="P44" s="2">
        <v>3</v>
      </c>
      <c r="Q44" s="2">
        <v>60000</v>
      </c>
      <c r="R44" s="2">
        <v>0.17</v>
      </c>
      <c r="S44" s="2">
        <v>0.43525199999999997</v>
      </c>
      <c r="T44" s="2">
        <v>0.81629787689085187</v>
      </c>
      <c r="U44" s="2">
        <v>21317.717010749824</v>
      </c>
    </row>
    <row r="45" spans="1:21" ht="46.8" x14ac:dyDescent="0.3">
      <c r="A45" s="1"/>
      <c r="B45" s="14" t="s">
        <v>158</v>
      </c>
      <c r="C45" s="14" t="s">
        <v>28</v>
      </c>
      <c r="D45" s="37" t="s">
        <v>159</v>
      </c>
      <c r="E45" s="37" t="s">
        <v>159</v>
      </c>
      <c r="F45" s="1"/>
      <c r="G45" s="37" t="s">
        <v>168</v>
      </c>
      <c r="H45" s="14">
        <v>30</v>
      </c>
      <c r="I45" s="14">
        <v>35</v>
      </c>
      <c r="J45" s="14">
        <v>40</v>
      </c>
      <c r="K45" s="1"/>
      <c r="L45" s="21"/>
      <c r="N45" s="131"/>
      <c r="T45" s="2" t="s">
        <v>14</v>
      </c>
      <c r="U45" s="2">
        <v>87491.181942184878</v>
      </c>
    </row>
    <row r="46" spans="1:21" x14ac:dyDescent="0.3">
      <c r="A46" s="1"/>
      <c r="B46" s="7" t="s">
        <v>160</v>
      </c>
      <c r="C46" s="7" t="s">
        <v>161</v>
      </c>
      <c r="D46" s="112">
        <v>1</v>
      </c>
      <c r="E46" s="112">
        <v>0.5</v>
      </c>
      <c r="F46" s="1"/>
      <c r="G46" s="6" t="s">
        <v>170</v>
      </c>
      <c r="H46" s="111">
        <v>0.33</v>
      </c>
      <c r="I46" s="111">
        <v>0.31</v>
      </c>
      <c r="J46" s="111">
        <v>0.25</v>
      </c>
      <c r="K46" s="1"/>
      <c r="L46" s="21"/>
    </row>
    <row r="47" spans="1:21" x14ac:dyDescent="0.3">
      <c r="A47" s="1"/>
      <c r="B47" s="7" t="s">
        <v>160</v>
      </c>
      <c r="C47" s="7" t="s">
        <v>162</v>
      </c>
      <c r="D47" s="112">
        <v>1.6</v>
      </c>
      <c r="E47" s="112">
        <v>1</v>
      </c>
      <c r="F47" s="1"/>
      <c r="G47" s="6" t="s">
        <v>171</v>
      </c>
      <c r="H47" s="111">
        <v>0.28999999999999998</v>
      </c>
      <c r="I47" s="111">
        <v>0.24</v>
      </c>
      <c r="J47" s="111">
        <v>0.2</v>
      </c>
      <c r="K47" s="1"/>
      <c r="L47" s="21"/>
    </row>
    <row r="48" spans="1:21" ht="16.2" thickBot="1" x14ac:dyDescent="0.35">
      <c r="A48" s="1"/>
      <c r="B48" s="7" t="s">
        <v>160</v>
      </c>
      <c r="C48" s="7" t="s">
        <v>163</v>
      </c>
      <c r="D48" s="112">
        <v>2.5</v>
      </c>
      <c r="E48" s="112">
        <v>2.1</v>
      </c>
      <c r="F48" s="1"/>
      <c r="G48" s="6" t="s">
        <v>172</v>
      </c>
      <c r="H48" s="111">
        <v>0.17</v>
      </c>
      <c r="I48" s="111">
        <v>0.17</v>
      </c>
      <c r="J48" s="111">
        <v>0.13</v>
      </c>
      <c r="K48" s="1"/>
      <c r="L48" s="21"/>
      <c r="R48" s="2" t="s">
        <v>192</v>
      </c>
      <c r="S48" s="129">
        <f>U45*Q38/12</f>
        <v>18.227329571288518</v>
      </c>
      <c r="U48" s="146"/>
    </row>
    <row r="49" spans="1:20" ht="16.2" thickBot="1" x14ac:dyDescent="0.35">
      <c r="A49" s="1"/>
      <c r="B49" s="7" t="s">
        <v>160</v>
      </c>
      <c r="C49" s="7" t="s">
        <v>164</v>
      </c>
      <c r="D49" s="112">
        <v>3</v>
      </c>
      <c r="E49" s="112">
        <v>2.6</v>
      </c>
      <c r="F49" s="1"/>
      <c r="G49" s="6" t="s">
        <v>173</v>
      </c>
      <c r="H49" s="111">
        <v>0.1</v>
      </c>
      <c r="I49" s="111">
        <v>0.09</v>
      </c>
      <c r="J49" s="111">
        <v>0.08</v>
      </c>
      <c r="K49" s="1"/>
      <c r="L49" s="21"/>
      <c r="O49" s="131"/>
      <c r="R49" s="114" t="s">
        <v>196</v>
      </c>
      <c r="S49" s="265">
        <f>S48-S31</f>
        <v>6.5618386456638671</v>
      </c>
      <c r="T49" s="129"/>
    </row>
    <row r="50" spans="1:20" x14ac:dyDescent="0.3">
      <c r="A50" s="1"/>
      <c r="B50" s="7" t="s">
        <v>160</v>
      </c>
      <c r="C50" s="7" t="s">
        <v>165</v>
      </c>
      <c r="D50" s="112">
        <v>4</v>
      </c>
      <c r="E50" s="112">
        <v>3.7</v>
      </c>
      <c r="F50" s="1"/>
      <c r="G50" s="6" t="s">
        <v>174</v>
      </c>
      <c r="H50" s="111">
        <v>0.08</v>
      </c>
      <c r="I50" s="111">
        <v>7.0000000000000007E-2</v>
      </c>
      <c r="J50" s="111">
        <v>7.0000000000000007E-2</v>
      </c>
      <c r="K50" s="1"/>
      <c r="L50" s="21"/>
    </row>
    <row r="51" spans="1:20" x14ac:dyDescent="0.3">
      <c r="A51" s="1"/>
      <c r="B51" s="7" t="s">
        <v>160</v>
      </c>
      <c r="C51" s="7" t="s">
        <v>166</v>
      </c>
      <c r="D51" s="112">
        <v>5</v>
      </c>
      <c r="E51" s="112">
        <v>4.8</v>
      </c>
      <c r="F51" s="1"/>
      <c r="G51" s="1"/>
      <c r="H51" s="1"/>
      <c r="I51" s="1"/>
      <c r="J51" s="1"/>
      <c r="K51" s="1"/>
      <c r="L51" s="21"/>
    </row>
    <row r="52" spans="1:20" x14ac:dyDescent="0.3">
      <c r="A52" s="1"/>
      <c r="B52" s="7" t="s">
        <v>167</v>
      </c>
      <c r="C52" s="7" t="s">
        <v>161</v>
      </c>
      <c r="D52" s="112">
        <v>1</v>
      </c>
      <c r="E52" s="112">
        <v>0.5</v>
      </c>
      <c r="F52" s="1"/>
      <c r="G52" s="1"/>
      <c r="H52" s="1"/>
      <c r="I52" s="1"/>
      <c r="J52" s="1"/>
      <c r="K52" s="1"/>
      <c r="L52" s="21"/>
    </row>
    <row r="53" spans="1:20" x14ac:dyDescent="0.3">
      <c r="A53" s="1"/>
      <c r="B53" s="7" t="s">
        <v>167</v>
      </c>
      <c r="C53" s="7" t="s">
        <v>162</v>
      </c>
      <c r="D53" s="112">
        <v>1.4</v>
      </c>
      <c r="E53" s="112">
        <v>1</v>
      </c>
      <c r="F53" s="1"/>
      <c r="G53" s="1"/>
      <c r="H53" s="1"/>
      <c r="I53" s="1"/>
      <c r="J53" s="1"/>
      <c r="K53" s="1"/>
      <c r="L53" s="21"/>
    </row>
    <row r="54" spans="1:20" x14ac:dyDescent="0.3">
      <c r="A54" s="1"/>
      <c r="B54" s="7" t="s">
        <v>167</v>
      </c>
      <c r="C54" s="7" t="s">
        <v>163</v>
      </c>
      <c r="D54" s="112">
        <v>2.6</v>
      </c>
      <c r="E54" s="112">
        <v>2.1</v>
      </c>
      <c r="F54" s="1"/>
      <c r="G54" s="1"/>
      <c r="H54" s="1"/>
      <c r="I54" s="1"/>
      <c r="J54" s="1"/>
      <c r="K54" s="1"/>
      <c r="L54" s="21"/>
    </row>
    <row r="55" spans="1:20" x14ac:dyDescent="0.3">
      <c r="A55" s="1"/>
      <c r="B55" s="7" t="s">
        <v>167</v>
      </c>
      <c r="C55" s="7" t="s">
        <v>164</v>
      </c>
      <c r="D55" s="112">
        <v>3.4</v>
      </c>
      <c r="E55" s="112">
        <v>3</v>
      </c>
      <c r="F55" s="1"/>
      <c r="G55" s="1"/>
      <c r="H55" s="1"/>
      <c r="I55" s="1"/>
      <c r="J55" s="1"/>
      <c r="K55" s="1"/>
      <c r="L55" s="21"/>
    </row>
    <row r="56" spans="1:20" x14ac:dyDescent="0.3">
      <c r="A56" s="1"/>
      <c r="B56" s="7" t="s">
        <v>167</v>
      </c>
      <c r="C56" s="7" t="s">
        <v>165</v>
      </c>
      <c r="D56" s="112">
        <v>4.5</v>
      </c>
      <c r="E56" s="112">
        <v>4.2</v>
      </c>
      <c r="F56" s="1"/>
      <c r="G56" s="1"/>
      <c r="H56" s="1"/>
      <c r="I56" s="1"/>
      <c r="J56" s="1"/>
      <c r="K56" s="1"/>
      <c r="L56" s="21"/>
    </row>
    <row r="57" spans="1:20" x14ac:dyDescent="0.3">
      <c r="A57" s="1"/>
      <c r="B57" s="7" t="s">
        <v>167</v>
      </c>
      <c r="C57" s="7" t="s">
        <v>166</v>
      </c>
      <c r="D57" s="112">
        <v>5.5</v>
      </c>
      <c r="E57" s="112">
        <v>5.3</v>
      </c>
      <c r="F57" s="1"/>
      <c r="G57" s="1"/>
      <c r="H57" s="1"/>
      <c r="I57" s="1"/>
      <c r="J57" s="1"/>
      <c r="K57" s="1"/>
      <c r="L57" s="21"/>
    </row>
    <row r="58" spans="1:20" x14ac:dyDescent="0.3">
      <c r="A58" s="1"/>
      <c r="B58" s="115"/>
      <c r="C58" s="116"/>
      <c r="D58" s="117"/>
      <c r="E58" s="1"/>
      <c r="F58" s="1"/>
      <c r="G58" s="1"/>
      <c r="H58" s="1"/>
      <c r="I58" s="1"/>
      <c r="J58" s="1"/>
      <c r="K58" s="1"/>
      <c r="L58" s="21"/>
    </row>
    <row r="59" spans="1:20" ht="36" customHeight="1" x14ac:dyDescent="0.3">
      <c r="A59" s="13" t="s">
        <v>15</v>
      </c>
      <c r="B59" s="1" t="s">
        <v>30</v>
      </c>
      <c r="C59" s="1" t="s">
        <v>232</v>
      </c>
      <c r="D59" s="1"/>
      <c r="E59" s="1"/>
      <c r="F59" s="1"/>
      <c r="G59" s="1"/>
      <c r="H59" s="1"/>
      <c r="I59" s="1"/>
      <c r="J59" s="1"/>
      <c r="K59" s="1"/>
      <c r="L59" s="21"/>
    </row>
    <row r="60" spans="1:20" x14ac:dyDescent="0.3">
      <c r="A60" s="1"/>
      <c r="B60" s="15" t="s">
        <v>12</v>
      </c>
      <c r="C60" s="1"/>
      <c r="D60" s="1"/>
      <c r="E60" s="1"/>
      <c r="F60" s="1"/>
      <c r="G60" s="1"/>
      <c r="H60" s="1"/>
      <c r="I60" s="1"/>
      <c r="J60" s="1"/>
      <c r="K60" s="1"/>
      <c r="L60" s="21"/>
    </row>
    <row r="61" spans="1:20" x14ac:dyDescent="0.3">
      <c r="A61" s="11"/>
      <c r="B61" s="11"/>
      <c r="C61" s="1"/>
      <c r="D61" s="1"/>
      <c r="E61" s="1"/>
      <c r="F61" s="1"/>
      <c r="G61" s="1"/>
      <c r="H61" s="1"/>
      <c r="I61" s="1"/>
      <c r="J61" s="1"/>
      <c r="K61" s="1"/>
      <c r="L61" s="21"/>
    </row>
    <row r="62" spans="1:20" x14ac:dyDescent="0.3">
      <c r="A62" s="2" t="s">
        <v>0</v>
      </c>
      <c r="B62" s="10"/>
      <c r="L62" s="21"/>
    </row>
    <row r="63" spans="1:20" x14ac:dyDescent="0.3">
      <c r="L63" s="21"/>
    </row>
    <row r="64" spans="1:20" x14ac:dyDescent="0.3">
      <c r="L64" s="21"/>
    </row>
    <row r="65" spans="1:12" x14ac:dyDescent="0.3">
      <c r="L65" s="21"/>
    </row>
    <row r="66" spans="1:12" x14ac:dyDescent="0.3">
      <c r="L66" s="21"/>
    </row>
    <row r="67" spans="1:12" x14ac:dyDescent="0.3">
      <c r="L67" s="21"/>
    </row>
    <row r="68" spans="1:12" x14ac:dyDescent="0.3">
      <c r="L68" s="21"/>
    </row>
    <row r="69" spans="1:12" x14ac:dyDescent="0.3">
      <c r="L69" s="21"/>
    </row>
    <row r="70" spans="1:12" x14ac:dyDescent="0.3">
      <c r="L70" s="21"/>
    </row>
    <row r="71" spans="1:12" x14ac:dyDescent="0.3">
      <c r="L71" s="21"/>
    </row>
    <row r="72" spans="1:12" x14ac:dyDescent="0.3">
      <c r="L72" s="21"/>
    </row>
    <row r="73" spans="1:12" x14ac:dyDescent="0.3">
      <c r="A73" s="1" t="s">
        <v>175</v>
      </c>
      <c r="B73" s="1"/>
      <c r="C73" s="1"/>
      <c r="D73" s="1"/>
      <c r="E73" s="1"/>
      <c r="F73" s="1"/>
      <c r="G73" s="1"/>
      <c r="H73" s="1"/>
      <c r="I73" s="1"/>
      <c r="J73" s="1"/>
      <c r="K73" s="1"/>
      <c r="L73" s="21"/>
    </row>
    <row r="74" spans="1:12" x14ac:dyDescent="0.3">
      <c r="A74" s="13"/>
      <c r="B74" s="1"/>
      <c r="C74" s="1"/>
      <c r="D74" s="1"/>
      <c r="E74" s="1"/>
      <c r="F74" s="1"/>
      <c r="G74" s="1"/>
      <c r="H74" s="1"/>
      <c r="I74" s="1"/>
      <c r="J74" s="1"/>
      <c r="K74" s="1"/>
      <c r="L74" s="21"/>
    </row>
    <row r="75" spans="1:12" x14ac:dyDescent="0.3">
      <c r="A75" s="13" t="s">
        <v>20</v>
      </c>
      <c r="B75" s="1" t="s">
        <v>30</v>
      </c>
      <c r="C75" s="1" t="s">
        <v>249</v>
      </c>
      <c r="D75" s="1"/>
      <c r="E75" s="1"/>
      <c r="F75" s="1"/>
      <c r="G75" s="1"/>
      <c r="H75" s="1"/>
      <c r="I75" s="1"/>
      <c r="J75" s="1"/>
      <c r="K75" s="1"/>
      <c r="L75" s="21"/>
    </row>
    <row r="76" spans="1:12" x14ac:dyDescent="0.3">
      <c r="A76" s="1"/>
      <c r="B76" s="11"/>
      <c r="C76" s="13"/>
      <c r="D76" s="1"/>
      <c r="E76" s="1"/>
      <c r="F76" s="1"/>
      <c r="G76" s="1"/>
      <c r="H76" s="1"/>
      <c r="I76" s="1"/>
      <c r="J76" s="1"/>
      <c r="K76" s="1"/>
      <c r="L76" s="21"/>
    </row>
    <row r="77" spans="1:12" x14ac:dyDescent="0.3">
      <c r="A77" s="10" t="s">
        <v>0</v>
      </c>
      <c r="L77" s="21"/>
    </row>
    <row r="78" spans="1:12" x14ac:dyDescent="0.3">
      <c r="L78" s="21"/>
    </row>
    <row r="79" spans="1:12" x14ac:dyDescent="0.3">
      <c r="L79" s="21"/>
    </row>
    <row r="80" spans="1:12" x14ac:dyDescent="0.3">
      <c r="L80" s="21"/>
    </row>
    <row r="81" spans="1:12" x14ac:dyDescent="0.3">
      <c r="L81" s="21"/>
    </row>
    <row r="82" spans="1:12" x14ac:dyDescent="0.3">
      <c r="L82" s="21"/>
    </row>
    <row r="83" spans="1:12" x14ac:dyDescent="0.3">
      <c r="L83" s="21"/>
    </row>
    <row r="84" spans="1:12" x14ac:dyDescent="0.3">
      <c r="L84" s="21"/>
    </row>
    <row r="85" spans="1:12" x14ac:dyDescent="0.3">
      <c r="L85" s="21"/>
    </row>
    <row r="86" spans="1:12" x14ac:dyDescent="0.3">
      <c r="L86" s="21"/>
    </row>
    <row r="87" spans="1:12" x14ac:dyDescent="0.3">
      <c r="L87" s="21"/>
    </row>
    <row r="88" spans="1:12" x14ac:dyDescent="0.3">
      <c r="L88" s="21"/>
    </row>
    <row r="89" spans="1:12" x14ac:dyDescent="0.3">
      <c r="L89" s="21"/>
    </row>
    <row r="90" spans="1:12" x14ac:dyDescent="0.3">
      <c r="L90" s="21"/>
    </row>
    <row r="91" spans="1:12" x14ac:dyDescent="0.3">
      <c r="L91" s="21"/>
    </row>
    <row r="92" spans="1:12" x14ac:dyDescent="0.3">
      <c r="L92" s="21"/>
    </row>
    <row r="93" spans="1:12" x14ac:dyDescent="0.3">
      <c r="L93" s="21"/>
    </row>
    <row r="94" spans="1:12" x14ac:dyDescent="0.3">
      <c r="L94" s="21"/>
    </row>
    <row r="95" spans="1:12" x14ac:dyDescent="0.3">
      <c r="L95" s="21"/>
    </row>
    <row r="96" spans="1:12" x14ac:dyDescent="0.3">
      <c r="A96" s="5" t="s">
        <v>357</v>
      </c>
      <c r="B96" s="1"/>
      <c r="C96" s="1"/>
      <c r="D96" s="1"/>
      <c r="E96" s="1"/>
      <c r="F96" s="1"/>
      <c r="G96" s="1"/>
      <c r="H96" s="1"/>
      <c r="I96" s="1"/>
      <c r="J96" s="1"/>
      <c r="K96" s="1"/>
      <c r="L96" s="21"/>
    </row>
    <row r="97" spans="1:18" x14ac:dyDescent="0.3">
      <c r="A97" s="5"/>
      <c r="B97" s="1"/>
      <c r="C97" s="1"/>
      <c r="D97" s="1"/>
      <c r="E97" s="1"/>
      <c r="F97" s="1"/>
      <c r="G97" s="1"/>
      <c r="H97" s="1"/>
      <c r="I97" s="1"/>
      <c r="J97" s="1"/>
      <c r="K97" s="1"/>
      <c r="L97" s="21"/>
    </row>
    <row r="98" spans="1:18" x14ac:dyDescent="0.3">
      <c r="A98" s="13" t="s">
        <v>58</v>
      </c>
      <c r="B98" s="1" t="s">
        <v>56</v>
      </c>
      <c r="C98" s="1" t="s">
        <v>358</v>
      </c>
      <c r="D98" s="1"/>
      <c r="E98" s="1"/>
      <c r="F98" s="1"/>
      <c r="G98" s="1"/>
      <c r="H98" s="1"/>
      <c r="I98" s="1"/>
      <c r="J98" s="1"/>
      <c r="K98" s="1"/>
      <c r="L98" s="21"/>
    </row>
    <row r="99" spans="1:18" x14ac:dyDescent="0.3">
      <c r="A99" s="1"/>
      <c r="B99" s="11"/>
      <c r="C99" s="13"/>
      <c r="D99" s="1"/>
      <c r="E99" s="1"/>
      <c r="F99" s="1"/>
      <c r="G99" s="1"/>
      <c r="H99" s="1"/>
      <c r="I99" s="1"/>
      <c r="J99" s="1"/>
      <c r="K99" s="1"/>
      <c r="L99" s="21"/>
    </row>
    <row r="100" spans="1:18" x14ac:dyDescent="0.3">
      <c r="A100" s="10" t="s">
        <v>0</v>
      </c>
      <c r="L100" s="21"/>
    </row>
    <row r="101" spans="1:18" x14ac:dyDescent="0.3">
      <c r="A101" s="10"/>
      <c r="L101" s="21"/>
    </row>
    <row r="102" spans="1:18" x14ac:dyDescent="0.3">
      <c r="A102" s="10"/>
      <c r="L102" s="21"/>
    </row>
    <row r="103" spans="1:18" x14ac:dyDescent="0.3">
      <c r="A103"/>
      <c r="B103"/>
      <c r="C103"/>
      <c r="D103"/>
      <c r="E103"/>
      <c r="F103"/>
      <c r="G103"/>
      <c r="H103"/>
      <c r="I103"/>
      <c r="J103"/>
      <c r="K103"/>
      <c r="L103" s="21"/>
    </row>
    <row r="104" spans="1:18" x14ac:dyDescent="0.3">
      <c r="A104"/>
      <c r="B104"/>
      <c r="C104"/>
      <c r="D104"/>
      <c r="E104"/>
      <c r="F104"/>
      <c r="G104"/>
      <c r="H104"/>
      <c r="I104"/>
      <c r="J104"/>
      <c r="K104"/>
      <c r="L104" s="21"/>
    </row>
    <row r="105" spans="1:18" x14ac:dyDescent="0.3">
      <c r="A105"/>
      <c r="B105"/>
      <c r="C105"/>
      <c r="D105"/>
      <c r="E105"/>
      <c r="F105"/>
      <c r="G105"/>
      <c r="H105"/>
      <c r="I105"/>
      <c r="J105"/>
      <c r="K105"/>
      <c r="L105" s="21"/>
    </row>
    <row r="106" spans="1:18" x14ac:dyDescent="0.3">
      <c r="A106"/>
      <c r="B106"/>
      <c r="C106"/>
      <c r="D106"/>
      <c r="E106"/>
      <c r="F106"/>
      <c r="G106"/>
      <c r="H106"/>
      <c r="I106"/>
      <c r="J106"/>
      <c r="K106"/>
      <c r="L106" s="21"/>
    </row>
    <row r="107" spans="1:18" x14ac:dyDescent="0.3">
      <c r="A107"/>
      <c r="B107"/>
      <c r="C107"/>
      <c r="D107"/>
      <c r="E107"/>
      <c r="F107"/>
      <c r="G107"/>
      <c r="H107"/>
      <c r="I107"/>
      <c r="J107"/>
      <c r="K107"/>
      <c r="L107" s="21"/>
      <c r="R107" s="20"/>
    </row>
    <row r="108" spans="1:18" x14ac:dyDescent="0.3">
      <c r="A108"/>
      <c r="B108"/>
      <c r="C108"/>
      <c r="D108"/>
      <c r="E108"/>
      <c r="F108"/>
      <c r="G108"/>
      <c r="H108"/>
      <c r="I108"/>
      <c r="J108"/>
      <c r="K108"/>
      <c r="L108" s="21"/>
    </row>
    <row r="109" spans="1:18" x14ac:dyDescent="0.3">
      <c r="A109"/>
      <c r="B109"/>
      <c r="C109"/>
      <c r="D109"/>
      <c r="E109"/>
      <c r="F109"/>
      <c r="G109"/>
      <c r="H109"/>
      <c r="I109"/>
      <c r="J109"/>
      <c r="K109"/>
      <c r="L109" s="21"/>
      <c r="N109" s="131"/>
    </row>
    <row r="110" spans="1:18" x14ac:dyDescent="0.3">
      <c r="A110"/>
      <c r="B110"/>
      <c r="C110"/>
      <c r="D110"/>
      <c r="E110"/>
      <c r="F110"/>
      <c r="G110"/>
      <c r="H110"/>
      <c r="I110"/>
      <c r="J110"/>
      <c r="K110"/>
      <c r="L110" s="21"/>
    </row>
    <row r="111" spans="1:18" x14ac:dyDescent="0.3">
      <c r="A111"/>
      <c r="B111"/>
      <c r="C111"/>
      <c r="D111"/>
      <c r="E111"/>
      <c r="F111"/>
      <c r="G111"/>
      <c r="H111"/>
      <c r="I111"/>
      <c r="J111"/>
      <c r="K111"/>
      <c r="L111" s="21"/>
    </row>
    <row r="112" spans="1:18" x14ac:dyDescent="0.3">
      <c r="A112"/>
      <c r="B112"/>
      <c r="C112"/>
      <c r="D112"/>
      <c r="E112"/>
      <c r="F112"/>
      <c r="G112"/>
      <c r="H112"/>
      <c r="I112"/>
      <c r="J112"/>
      <c r="K112"/>
      <c r="L112" s="21"/>
    </row>
    <row r="113" spans="1:23" x14ac:dyDescent="0.3">
      <c r="A113"/>
      <c r="B113"/>
      <c r="C113"/>
      <c r="D113"/>
      <c r="E113"/>
      <c r="F113"/>
      <c r="G113"/>
      <c r="H113"/>
      <c r="I113"/>
      <c r="J113"/>
      <c r="K113"/>
      <c r="L113" s="21"/>
    </row>
    <row r="114" spans="1:23" x14ac:dyDescent="0.3">
      <c r="A114"/>
      <c r="B114"/>
      <c r="C114"/>
      <c r="D114"/>
      <c r="E114"/>
      <c r="F114"/>
      <c r="G114"/>
      <c r="H114"/>
      <c r="I114"/>
      <c r="J114"/>
      <c r="K114"/>
      <c r="L114" s="21"/>
    </row>
    <row r="115" spans="1:23" x14ac:dyDescent="0.3">
      <c r="A115"/>
      <c r="B115"/>
      <c r="C115"/>
      <c r="D115"/>
      <c r="E115"/>
      <c r="F115"/>
      <c r="G115"/>
      <c r="H115"/>
      <c r="I115"/>
      <c r="J115"/>
      <c r="K115"/>
      <c r="L115" s="21"/>
    </row>
    <row r="116" spans="1:23" x14ac:dyDescent="0.3">
      <c r="A116"/>
      <c r="B116"/>
      <c r="C116"/>
      <c r="D116"/>
      <c r="E116"/>
      <c r="F116"/>
      <c r="G116"/>
      <c r="H116"/>
      <c r="I116"/>
      <c r="J116"/>
      <c r="K116"/>
      <c r="L116" s="21"/>
    </row>
    <row r="117" spans="1:23" s="3" customFormat="1" x14ac:dyDescent="0.3">
      <c r="A117" s="3" t="s">
        <v>2</v>
      </c>
    </row>
    <row r="118" spans="1:23" x14ac:dyDescent="0.3">
      <c r="A118"/>
      <c r="B118"/>
      <c r="C118"/>
      <c r="D118"/>
      <c r="E118"/>
      <c r="F118"/>
      <c r="G118"/>
      <c r="H118"/>
      <c r="I118"/>
      <c r="J118"/>
      <c r="K118"/>
    </row>
    <row r="119" spans="1:23" x14ac:dyDescent="0.3">
      <c r="A119"/>
      <c r="B119"/>
      <c r="C119"/>
      <c r="D119"/>
      <c r="E119"/>
      <c r="F119"/>
      <c r="G119"/>
      <c r="H119"/>
      <c r="I119"/>
      <c r="J119"/>
      <c r="K119"/>
    </row>
    <row r="120" spans="1:23" x14ac:dyDescent="0.3">
      <c r="A120"/>
      <c r="B120"/>
      <c r="C120"/>
      <c r="D120"/>
      <c r="E120"/>
      <c r="F120"/>
      <c r="G120"/>
      <c r="H120"/>
      <c r="I120"/>
      <c r="J120"/>
      <c r="K120"/>
    </row>
    <row r="128" spans="1:23" s="3" customFormat="1" x14ac:dyDescent="0.3">
      <c r="A128" s="2"/>
      <c r="B128" s="2"/>
      <c r="C128" s="2"/>
      <c r="D128" s="2"/>
      <c r="E128" s="2"/>
      <c r="F128" s="2"/>
      <c r="G128" s="2"/>
      <c r="H128" s="2"/>
      <c r="I128" s="2"/>
      <c r="J128" s="2"/>
      <c r="K128" s="2"/>
      <c r="L128" s="2"/>
      <c r="M128" s="2"/>
      <c r="N128" s="2"/>
      <c r="O128" s="2"/>
      <c r="P128" s="2"/>
      <c r="Q128" s="2"/>
      <c r="R128" s="2"/>
      <c r="S128" s="2"/>
      <c r="T128" s="2"/>
      <c r="U128" s="2"/>
      <c r="V128" s="2"/>
      <c r="W128" s="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B528-0690-C44B-A067-55F29561D35D}">
  <dimension ref="A1:N66"/>
  <sheetViews>
    <sheetView zoomScale="90" zoomScaleNormal="90" workbookViewId="0"/>
  </sheetViews>
  <sheetFormatPr defaultColWidth="9.109375" defaultRowHeight="15.6" x14ac:dyDescent="0.3"/>
  <cols>
    <col min="1" max="1" width="15.33203125" style="2" customWidth="1"/>
    <col min="2" max="2" width="15.44140625" style="2" customWidth="1"/>
    <col min="3" max="6" width="16.33203125" style="2" customWidth="1"/>
    <col min="7" max="7" width="19.44140625" style="2" customWidth="1"/>
    <col min="8" max="8" width="19.33203125" style="2" customWidth="1"/>
    <col min="9" max="11" width="13.6640625" style="2" customWidth="1"/>
    <col min="12" max="12" width="3.33203125" style="2" customWidth="1"/>
    <col min="13" max="16384" width="9.109375" style="2"/>
  </cols>
  <sheetData>
    <row r="1" spans="1:14" x14ac:dyDescent="0.3">
      <c r="A1" s="4" t="s">
        <v>359</v>
      </c>
      <c r="B1" s="1"/>
      <c r="C1" s="1"/>
      <c r="D1" s="1"/>
      <c r="E1" s="1"/>
      <c r="F1" s="1"/>
      <c r="G1" s="1"/>
      <c r="H1" s="1"/>
      <c r="I1" s="1"/>
      <c r="J1" s="1"/>
      <c r="K1" s="1"/>
      <c r="L1" s="21"/>
      <c r="M1" s="2" t="s">
        <v>345</v>
      </c>
    </row>
    <row r="2" spans="1:14" x14ac:dyDescent="0.3">
      <c r="A2" s="1" t="s">
        <v>360</v>
      </c>
      <c r="B2" s="1"/>
      <c r="C2" s="1"/>
      <c r="D2" s="1"/>
      <c r="E2" s="1"/>
      <c r="F2" s="1"/>
      <c r="G2" s="1"/>
      <c r="H2" s="1"/>
      <c r="I2" s="1"/>
      <c r="J2" s="1"/>
      <c r="K2" s="1"/>
      <c r="L2" s="21"/>
    </row>
    <row r="3" spans="1:14" x14ac:dyDescent="0.3">
      <c r="L3" s="21"/>
    </row>
    <row r="4" spans="1:14" x14ac:dyDescent="0.3">
      <c r="A4" s="13" t="s">
        <v>29</v>
      </c>
      <c r="B4" s="1" t="s">
        <v>30</v>
      </c>
      <c r="C4" s="1" t="s">
        <v>361</v>
      </c>
      <c r="D4" s="1"/>
      <c r="E4" s="1"/>
      <c r="F4" s="1"/>
      <c r="G4" s="1"/>
      <c r="H4" s="1"/>
      <c r="I4" s="1"/>
      <c r="J4" s="1"/>
      <c r="K4" s="1"/>
      <c r="L4" s="21"/>
      <c r="N4" s="65" t="s">
        <v>386</v>
      </c>
    </row>
    <row r="5" spans="1:14" x14ac:dyDescent="0.3">
      <c r="A5" s="13"/>
      <c r="B5" s="1"/>
      <c r="C5" s="1"/>
      <c r="D5" s="1"/>
      <c r="E5" s="1"/>
      <c r="F5" s="1"/>
      <c r="G5" s="1"/>
      <c r="H5" s="1"/>
      <c r="I5" s="1"/>
      <c r="J5" s="1"/>
      <c r="K5" s="1"/>
      <c r="L5" s="21"/>
    </row>
    <row r="6" spans="1:14" x14ac:dyDescent="0.3">
      <c r="A6" s="10" t="s">
        <v>0</v>
      </c>
      <c r="L6" s="21"/>
    </row>
    <row r="7" spans="1:14" x14ac:dyDescent="0.3">
      <c r="A7" s="10"/>
      <c r="L7" s="21"/>
    </row>
    <row r="8" spans="1:14" x14ac:dyDescent="0.3">
      <c r="A8" s="10"/>
      <c r="L8" s="21"/>
    </row>
    <row r="9" spans="1:14" x14ac:dyDescent="0.3">
      <c r="A9" s="10"/>
      <c r="L9" s="21"/>
    </row>
    <row r="10" spans="1:14" x14ac:dyDescent="0.3">
      <c r="A10" s="10"/>
      <c r="L10" s="21"/>
    </row>
    <row r="11" spans="1:14" x14ac:dyDescent="0.3">
      <c r="A11" s="10"/>
      <c r="L11" s="21"/>
    </row>
    <row r="12" spans="1:14" x14ac:dyDescent="0.3">
      <c r="A12" s="10"/>
      <c r="L12" s="21"/>
    </row>
    <row r="13" spans="1:14" x14ac:dyDescent="0.3">
      <c r="A13" s="10"/>
      <c r="L13" s="21"/>
    </row>
    <row r="14" spans="1:14" x14ac:dyDescent="0.3">
      <c r="A14" s="10"/>
      <c r="L14" s="21"/>
    </row>
    <row r="15" spans="1:14" x14ac:dyDescent="0.3">
      <c r="A15" s="10"/>
      <c r="L15" s="21"/>
    </row>
    <row r="16" spans="1:14" x14ac:dyDescent="0.3">
      <c r="A16" s="10"/>
      <c r="L16" s="21"/>
    </row>
    <row r="17" spans="1:12" x14ac:dyDescent="0.3">
      <c r="A17" s="10"/>
      <c r="L17" s="21"/>
    </row>
    <row r="18" spans="1:12" x14ac:dyDescent="0.3">
      <c r="A18" s="13" t="s">
        <v>362</v>
      </c>
      <c r="B18" s="1"/>
      <c r="C18" s="103"/>
      <c r="D18" s="1"/>
      <c r="E18" s="1"/>
      <c r="F18" s="1"/>
      <c r="G18" s="1"/>
      <c r="H18" s="1"/>
      <c r="I18" s="1"/>
      <c r="J18" s="1"/>
      <c r="K18" s="1"/>
      <c r="L18" s="21"/>
    </row>
    <row r="19" spans="1:12" x14ac:dyDescent="0.3">
      <c r="A19" s="13" t="s">
        <v>31</v>
      </c>
      <c r="B19" s="1"/>
      <c r="C19" s="103"/>
      <c r="D19" s="1"/>
      <c r="E19" s="1"/>
      <c r="F19" s="1"/>
      <c r="G19" s="1"/>
      <c r="H19" s="1"/>
      <c r="I19" s="1"/>
      <c r="J19" s="1"/>
      <c r="K19" s="1"/>
      <c r="L19" s="21"/>
    </row>
    <row r="20" spans="1:12" x14ac:dyDescent="0.3">
      <c r="A20" s="54"/>
      <c r="B20" s="54" t="s">
        <v>363</v>
      </c>
      <c r="C20" s="103"/>
      <c r="D20" s="1"/>
      <c r="E20" s="1"/>
      <c r="F20" s="1"/>
      <c r="G20" s="1"/>
      <c r="H20" s="1"/>
      <c r="I20" s="1"/>
      <c r="J20" s="1"/>
      <c r="K20" s="1"/>
      <c r="L20" s="21"/>
    </row>
    <row r="21" spans="1:12" x14ac:dyDescent="0.3">
      <c r="A21" s="54"/>
      <c r="B21" s="54" t="s">
        <v>364</v>
      </c>
      <c r="C21" s="103"/>
      <c r="D21" s="1"/>
      <c r="E21" s="1"/>
      <c r="F21" s="1"/>
      <c r="G21" s="1"/>
      <c r="H21" s="1"/>
      <c r="I21" s="1"/>
      <c r="J21" s="1"/>
      <c r="K21" s="1"/>
      <c r="L21" s="21"/>
    </row>
    <row r="22" spans="1:12" x14ac:dyDescent="0.3">
      <c r="A22" s="54"/>
      <c r="B22" s="54" t="s">
        <v>365</v>
      </c>
      <c r="C22" s="103"/>
      <c r="D22" s="1"/>
      <c r="E22" s="1"/>
      <c r="F22" s="1"/>
      <c r="G22" s="1"/>
      <c r="H22" s="1"/>
      <c r="I22" s="1"/>
      <c r="J22" s="1"/>
      <c r="K22" s="1"/>
      <c r="L22" s="21"/>
    </row>
    <row r="23" spans="1:12" x14ac:dyDescent="0.3">
      <c r="A23" s="54"/>
      <c r="B23" s="54" t="s">
        <v>366</v>
      </c>
      <c r="C23" s="103"/>
      <c r="D23" s="1"/>
      <c r="E23" s="1"/>
      <c r="F23" s="1"/>
      <c r="G23" s="1"/>
      <c r="H23" s="1"/>
      <c r="I23" s="1"/>
      <c r="J23" s="1"/>
      <c r="K23" s="1"/>
      <c r="L23" s="21"/>
    </row>
    <row r="24" spans="1:12" x14ac:dyDescent="0.3">
      <c r="A24" s="54"/>
      <c r="B24" s="54" t="s">
        <v>367</v>
      </c>
      <c r="C24" s="103"/>
      <c r="D24" s="1"/>
      <c r="E24" s="1"/>
      <c r="F24" s="1"/>
      <c r="G24" s="1"/>
      <c r="H24" s="1"/>
      <c r="I24" s="1"/>
      <c r="J24" s="1"/>
      <c r="K24" s="1"/>
      <c r="L24" s="21"/>
    </row>
    <row r="25" spans="1:12" x14ac:dyDescent="0.3">
      <c r="A25" s="13"/>
      <c r="B25" s="1"/>
      <c r="C25" s="103"/>
      <c r="D25" s="1"/>
      <c r="E25" s="1"/>
      <c r="F25" s="1"/>
      <c r="G25" s="1"/>
      <c r="H25" s="1"/>
      <c r="I25" s="1"/>
      <c r="J25" s="1"/>
      <c r="K25" s="1"/>
      <c r="L25" s="21"/>
    </row>
    <row r="26" spans="1:12" x14ac:dyDescent="0.3">
      <c r="A26" s="13"/>
      <c r="B26" s="18" t="s">
        <v>368</v>
      </c>
      <c r="C26" s="268"/>
      <c r="D26" s="269"/>
      <c r="E26" s="269"/>
      <c r="F26" s="270"/>
      <c r="G26" s="1"/>
      <c r="H26" s="1"/>
      <c r="I26" s="1"/>
      <c r="J26" s="1"/>
      <c r="K26" s="1"/>
      <c r="L26" s="21"/>
    </row>
    <row r="27" spans="1:12" x14ac:dyDescent="0.3">
      <c r="A27" s="13"/>
      <c r="B27" s="271" t="s">
        <v>369</v>
      </c>
      <c r="C27" s="272" t="s">
        <v>370</v>
      </c>
      <c r="D27" s="272" t="s">
        <v>371</v>
      </c>
      <c r="E27" s="272" t="s">
        <v>372</v>
      </c>
      <c r="F27" s="272" t="s">
        <v>373</v>
      </c>
      <c r="G27" s="1"/>
      <c r="H27" s="1"/>
      <c r="I27" s="1"/>
      <c r="J27" s="1"/>
      <c r="K27" s="1"/>
      <c r="L27" s="21"/>
    </row>
    <row r="28" spans="1:12" x14ac:dyDescent="0.3">
      <c r="A28" s="13"/>
      <c r="B28" s="460" t="s">
        <v>374</v>
      </c>
      <c r="C28" s="461">
        <v>100</v>
      </c>
      <c r="D28" s="462" t="s">
        <v>375</v>
      </c>
      <c r="E28" s="275" t="s">
        <v>376</v>
      </c>
      <c r="F28" s="461">
        <v>330</v>
      </c>
      <c r="G28" s="1"/>
      <c r="H28" s="1"/>
      <c r="I28" s="1"/>
      <c r="J28" s="1"/>
      <c r="K28" s="1"/>
      <c r="L28" s="21"/>
    </row>
    <row r="29" spans="1:12" x14ac:dyDescent="0.3">
      <c r="A29" s="13"/>
      <c r="B29" s="460"/>
      <c r="C29" s="461"/>
      <c r="D29" s="462"/>
      <c r="E29" s="275" t="s">
        <v>377</v>
      </c>
      <c r="F29" s="461"/>
      <c r="G29" s="1"/>
      <c r="H29" s="1"/>
      <c r="I29" s="1"/>
      <c r="J29" s="1"/>
      <c r="K29" s="1"/>
      <c r="L29" s="21"/>
    </row>
    <row r="30" spans="1:12" x14ac:dyDescent="0.3">
      <c r="A30" s="13"/>
      <c r="B30" s="273" t="s">
        <v>378</v>
      </c>
      <c r="C30" s="274">
        <v>200</v>
      </c>
      <c r="D30" s="274">
        <v>250</v>
      </c>
      <c r="E30" s="275" t="s">
        <v>375</v>
      </c>
      <c r="F30" s="274">
        <v>340</v>
      </c>
      <c r="G30" s="1"/>
      <c r="H30" s="1"/>
      <c r="I30" s="1"/>
      <c r="J30" s="1"/>
      <c r="K30" s="1"/>
      <c r="L30" s="21"/>
    </row>
    <row r="31" spans="1:12" x14ac:dyDescent="0.3">
      <c r="A31" s="13"/>
      <c r="B31" s="273" t="s">
        <v>379</v>
      </c>
      <c r="C31" s="274">
        <v>300</v>
      </c>
      <c r="D31" s="274">
        <v>300</v>
      </c>
      <c r="E31" s="275" t="s">
        <v>375</v>
      </c>
      <c r="F31" s="274">
        <v>510</v>
      </c>
      <c r="G31" s="1"/>
      <c r="H31" s="1"/>
      <c r="I31" s="1"/>
      <c r="J31" s="1"/>
      <c r="K31" s="1"/>
      <c r="L31" s="21"/>
    </row>
    <row r="32" spans="1:12" x14ac:dyDescent="0.3">
      <c r="A32" s="13"/>
      <c r="B32" s="273" t="s">
        <v>380</v>
      </c>
      <c r="C32" s="274">
        <v>400</v>
      </c>
      <c r="D32" s="275" t="s">
        <v>375</v>
      </c>
      <c r="E32" s="275" t="s">
        <v>375</v>
      </c>
      <c r="F32" s="275" t="s">
        <v>375</v>
      </c>
      <c r="G32" s="1"/>
      <c r="H32" s="1"/>
      <c r="I32" s="1"/>
      <c r="J32" s="1"/>
      <c r="K32" s="1"/>
      <c r="L32" s="21"/>
    </row>
    <row r="33" spans="1:12" x14ac:dyDescent="0.3">
      <c r="A33" s="13"/>
      <c r="B33" s="1"/>
      <c r="C33" s="103"/>
      <c r="D33" s="1"/>
      <c r="E33" s="1"/>
      <c r="F33" s="1"/>
      <c r="G33" s="1"/>
      <c r="H33" s="1"/>
      <c r="I33" s="1"/>
      <c r="J33" s="1"/>
      <c r="K33" s="1"/>
      <c r="L33" s="21"/>
    </row>
    <row r="34" spans="1:12" x14ac:dyDescent="0.3">
      <c r="A34" s="13"/>
      <c r="B34" s="18" t="s">
        <v>381</v>
      </c>
      <c r="C34" s="268"/>
      <c r="D34" s="269"/>
      <c r="E34" s="269"/>
      <c r="F34" s="270"/>
      <c r="G34" s="1"/>
      <c r="H34" s="1"/>
      <c r="I34" s="1"/>
      <c r="J34" s="1"/>
      <c r="K34" s="1"/>
      <c r="L34" s="21"/>
    </row>
    <row r="35" spans="1:12" x14ac:dyDescent="0.3">
      <c r="A35" s="13"/>
      <c r="B35" s="271" t="s">
        <v>369</v>
      </c>
      <c r="C35" s="272" t="s">
        <v>370</v>
      </c>
      <c r="D35" s="272" t="s">
        <v>371</v>
      </c>
      <c r="E35" s="272" t="s">
        <v>372</v>
      </c>
      <c r="F35" s="272" t="s">
        <v>373</v>
      </c>
      <c r="G35" s="1"/>
      <c r="H35" s="1"/>
      <c r="I35" s="1"/>
      <c r="J35" s="1"/>
      <c r="K35" s="1"/>
      <c r="L35" s="21"/>
    </row>
    <row r="36" spans="1:12" ht="31.2" x14ac:dyDescent="0.3">
      <c r="A36" s="13"/>
      <c r="B36" s="460" t="s">
        <v>374</v>
      </c>
      <c r="C36" s="461">
        <v>300</v>
      </c>
      <c r="D36" s="462" t="s">
        <v>375</v>
      </c>
      <c r="E36" s="275" t="s">
        <v>382</v>
      </c>
      <c r="F36" s="461">
        <v>990</v>
      </c>
      <c r="G36" s="1"/>
      <c r="H36" s="1"/>
      <c r="I36" s="1"/>
      <c r="J36" s="1"/>
      <c r="K36" s="1"/>
      <c r="L36" s="21"/>
    </row>
    <row r="37" spans="1:12" x14ac:dyDescent="0.3">
      <c r="A37" s="13"/>
      <c r="B37" s="460"/>
      <c r="C37" s="461"/>
      <c r="D37" s="462"/>
      <c r="E37" s="275" t="s">
        <v>383</v>
      </c>
      <c r="F37" s="461"/>
      <c r="G37" s="1"/>
      <c r="H37" s="1"/>
      <c r="I37" s="1"/>
      <c r="J37" s="1"/>
      <c r="K37" s="1"/>
      <c r="L37" s="21"/>
    </row>
    <row r="38" spans="1:12" x14ac:dyDescent="0.3">
      <c r="A38" s="13"/>
      <c r="B38" s="273" t="s">
        <v>378</v>
      </c>
      <c r="C38" s="274">
        <v>600</v>
      </c>
      <c r="D38" s="274">
        <v>750</v>
      </c>
      <c r="E38" s="275" t="s">
        <v>375</v>
      </c>
      <c r="F38" s="274">
        <v>1020</v>
      </c>
      <c r="G38" s="1"/>
      <c r="H38" s="1"/>
      <c r="I38" s="1"/>
      <c r="J38" s="1"/>
      <c r="K38" s="1"/>
      <c r="L38" s="21"/>
    </row>
    <row r="39" spans="1:12" x14ac:dyDescent="0.3">
      <c r="A39" s="13"/>
      <c r="B39" s="273" t="s">
        <v>379</v>
      </c>
      <c r="C39" s="274">
        <v>900</v>
      </c>
      <c r="D39" s="274">
        <v>900</v>
      </c>
      <c r="E39" s="275" t="s">
        <v>375</v>
      </c>
      <c r="F39" s="274">
        <v>1530</v>
      </c>
      <c r="G39" s="1"/>
      <c r="H39" s="1"/>
      <c r="I39" s="1"/>
      <c r="J39" s="1"/>
      <c r="K39" s="1"/>
      <c r="L39" s="21"/>
    </row>
    <row r="40" spans="1:12" x14ac:dyDescent="0.3">
      <c r="A40" s="13"/>
      <c r="B40" s="273" t="s">
        <v>380</v>
      </c>
      <c r="C40" s="274">
        <v>1200</v>
      </c>
      <c r="D40" s="275" t="s">
        <v>375</v>
      </c>
      <c r="E40" s="275" t="s">
        <v>375</v>
      </c>
      <c r="F40" s="275" t="s">
        <v>375</v>
      </c>
      <c r="G40" s="1"/>
      <c r="H40" s="1"/>
      <c r="I40" s="1"/>
      <c r="J40" s="1"/>
      <c r="K40" s="1"/>
      <c r="L40" s="21"/>
    </row>
    <row r="41" spans="1:12" x14ac:dyDescent="0.3">
      <c r="A41" s="13"/>
      <c r="B41" s="1"/>
      <c r="C41" s="103"/>
      <c r="D41" s="1"/>
      <c r="E41" s="1"/>
      <c r="F41" s="1"/>
      <c r="G41" s="1"/>
      <c r="H41" s="1"/>
      <c r="I41" s="1"/>
      <c r="J41" s="1"/>
      <c r="K41" s="1"/>
      <c r="L41" s="21"/>
    </row>
    <row r="42" spans="1:12" x14ac:dyDescent="0.3">
      <c r="A42" s="13" t="s">
        <v>21</v>
      </c>
      <c r="B42" s="1" t="s">
        <v>76</v>
      </c>
      <c r="C42" s="1" t="s">
        <v>384</v>
      </c>
      <c r="D42" s="1"/>
      <c r="E42" s="1"/>
      <c r="F42" s="1"/>
      <c r="G42" s="1"/>
      <c r="H42" s="1"/>
      <c r="I42" s="1"/>
      <c r="J42" s="1"/>
      <c r="K42" s="1"/>
      <c r="L42" s="21"/>
    </row>
    <row r="43" spans="1:12" x14ac:dyDescent="0.3">
      <c r="A43" s="11"/>
      <c r="B43" s="13" t="s">
        <v>22</v>
      </c>
      <c r="C43" s="1" t="s">
        <v>370</v>
      </c>
      <c r="D43" s="1"/>
      <c r="E43" s="1"/>
      <c r="F43" s="1"/>
      <c r="G43" s="1"/>
      <c r="H43" s="1"/>
      <c r="I43" s="1"/>
      <c r="J43" s="1"/>
      <c r="K43" s="1"/>
      <c r="L43" s="21"/>
    </row>
    <row r="44" spans="1:12" x14ac:dyDescent="0.3">
      <c r="A44" s="11"/>
      <c r="B44" s="13" t="s">
        <v>25</v>
      </c>
      <c r="C44" s="1" t="s">
        <v>371</v>
      </c>
      <c r="D44" s="1"/>
      <c r="E44" s="1"/>
      <c r="F44" s="1"/>
      <c r="G44" s="1"/>
      <c r="H44" s="1"/>
      <c r="I44" s="1"/>
      <c r="J44" s="1"/>
      <c r="K44" s="1"/>
      <c r="L44" s="21"/>
    </row>
    <row r="45" spans="1:12" x14ac:dyDescent="0.3">
      <c r="A45" s="11"/>
      <c r="B45" s="13" t="s">
        <v>26</v>
      </c>
      <c r="C45" s="1" t="s">
        <v>372</v>
      </c>
      <c r="D45" s="1"/>
      <c r="E45" s="1"/>
      <c r="F45" s="1"/>
      <c r="G45" s="1"/>
      <c r="H45" s="1"/>
      <c r="I45" s="1"/>
      <c r="J45" s="1"/>
      <c r="K45" s="1"/>
      <c r="L45" s="21"/>
    </row>
    <row r="46" spans="1:12" x14ac:dyDescent="0.3">
      <c r="A46" s="11"/>
      <c r="B46" s="13" t="s">
        <v>385</v>
      </c>
      <c r="C46" s="1" t="s">
        <v>373</v>
      </c>
      <c r="D46" s="1"/>
      <c r="E46" s="1"/>
      <c r="F46" s="1"/>
      <c r="G46" s="1"/>
      <c r="H46" s="1"/>
      <c r="I46" s="1"/>
      <c r="J46" s="1"/>
      <c r="K46" s="1"/>
      <c r="L46" s="21"/>
    </row>
    <row r="47" spans="1:12" x14ac:dyDescent="0.3">
      <c r="A47" s="11"/>
      <c r="B47" s="1" t="s">
        <v>61</v>
      </c>
      <c r="C47" s="1"/>
      <c r="D47" s="1"/>
      <c r="E47" s="1"/>
      <c r="F47" s="1"/>
      <c r="G47" s="1"/>
      <c r="H47" s="1"/>
      <c r="I47" s="1"/>
      <c r="J47" s="1"/>
      <c r="K47" s="1"/>
      <c r="L47" s="21"/>
    </row>
    <row r="48" spans="1:12" x14ac:dyDescent="0.3">
      <c r="A48" s="13"/>
      <c r="B48" s="1"/>
      <c r="C48" s="1"/>
      <c r="D48" s="1"/>
      <c r="E48" s="1"/>
      <c r="F48" s="1"/>
      <c r="G48" s="1"/>
      <c r="H48" s="1"/>
      <c r="I48" s="1"/>
      <c r="J48" s="1"/>
      <c r="K48" s="1"/>
      <c r="L48" s="21"/>
    </row>
    <row r="49" spans="1:12" x14ac:dyDescent="0.3">
      <c r="A49" s="10" t="s">
        <v>0</v>
      </c>
      <c r="L49" s="21"/>
    </row>
    <row r="50" spans="1:12" x14ac:dyDescent="0.3">
      <c r="A50" s="2" t="s">
        <v>22</v>
      </c>
      <c r="L50" s="21"/>
    </row>
    <row r="51" spans="1:12" x14ac:dyDescent="0.3">
      <c r="L51" s="21"/>
    </row>
    <row r="52" spans="1:12" x14ac:dyDescent="0.3">
      <c r="L52" s="21"/>
    </row>
    <row r="53" spans="1:12" x14ac:dyDescent="0.3">
      <c r="L53" s="21"/>
    </row>
    <row r="54" spans="1:12" x14ac:dyDescent="0.3">
      <c r="A54" s="2" t="s">
        <v>25</v>
      </c>
      <c r="L54" s="21"/>
    </row>
    <row r="55" spans="1:12" x14ac:dyDescent="0.3">
      <c r="L55" s="21"/>
    </row>
    <row r="56" spans="1:12" x14ac:dyDescent="0.3">
      <c r="L56" s="21"/>
    </row>
    <row r="57" spans="1:12" x14ac:dyDescent="0.3">
      <c r="L57" s="21"/>
    </row>
    <row r="58" spans="1:12" x14ac:dyDescent="0.3">
      <c r="A58" s="2" t="s">
        <v>26</v>
      </c>
      <c r="L58" s="21"/>
    </row>
    <row r="59" spans="1:12" x14ac:dyDescent="0.3">
      <c r="L59" s="21"/>
    </row>
    <row r="60" spans="1:12" x14ac:dyDescent="0.3">
      <c r="L60" s="21"/>
    </row>
    <row r="61" spans="1:12" x14ac:dyDescent="0.3">
      <c r="L61" s="21"/>
    </row>
    <row r="62" spans="1:12" x14ac:dyDescent="0.3">
      <c r="A62" s="2" t="s">
        <v>385</v>
      </c>
      <c r="L62" s="21"/>
    </row>
    <row r="63" spans="1:12" x14ac:dyDescent="0.3">
      <c r="L63" s="21"/>
    </row>
    <row r="64" spans="1:12" x14ac:dyDescent="0.3">
      <c r="L64" s="21"/>
    </row>
    <row r="65" spans="1:12" x14ac:dyDescent="0.3">
      <c r="L65" s="21"/>
    </row>
    <row r="66" spans="1:12" s="3" customFormat="1" x14ac:dyDescent="0.3">
      <c r="A66" s="3" t="s">
        <v>2</v>
      </c>
    </row>
  </sheetData>
  <mergeCells count="8">
    <mergeCell ref="B28:B29"/>
    <mergeCell ref="C28:C29"/>
    <mergeCell ref="D28:D29"/>
    <mergeCell ref="F28:F29"/>
    <mergeCell ref="B36:B37"/>
    <mergeCell ref="C36:C37"/>
    <mergeCell ref="D36:D37"/>
    <mergeCell ref="F36:F3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9F62-7029-2A4E-80C4-D48E945F3AEC}">
  <dimension ref="A1:AE74"/>
  <sheetViews>
    <sheetView zoomScale="90" zoomScaleNormal="90" workbookViewId="0"/>
  </sheetViews>
  <sheetFormatPr defaultColWidth="10.77734375" defaultRowHeight="15.6" x14ac:dyDescent="0.3"/>
  <cols>
    <col min="1" max="1" width="10.6640625" style="2" customWidth="1"/>
    <col min="2" max="2" width="17" style="2" customWidth="1"/>
    <col min="3" max="3" width="20.44140625" style="2" customWidth="1"/>
    <col min="4" max="4" width="19.77734375" style="2" customWidth="1"/>
    <col min="5" max="10" width="11.33203125" style="2" customWidth="1"/>
    <col min="11" max="11" width="3.33203125" style="2" customWidth="1"/>
    <col min="12" max="16" width="10.77734375" style="2"/>
    <col min="17" max="17" width="13.44140625" style="2" bestFit="1" customWidth="1"/>
    <col min="18" max="22" width="10.77734375" style="2"/>
    <col min="23" max="23" width="17.109375" style="2" bestFit="1" customWidth="1"/>
    <col min="24" max="24" width="13.44140625" style="2" bestFit="1" customWidth="1"/>
    <col min="25" max="29" width="10.77734375" style="2"/>
    <col min="30" max="30" width="17.109375" style="2" bestFit="1" customWidth="1"/>
    <col min="31" max="16384" width="10.77734375" style="2"/>
  </cols>
  <sheetData>
    <row r="1" spans="1:14" x14ac:dyDescent="0.3">
      <c r="A1" s="4" t="s">
        <v>387</v>
      </c>
      <c r="B1" s="1"/>
      <c r="C1" s="1"/>
      <c r="D1" s="1"/>
      <c r="E1" s="1"/>
      <c r="F1" s="1"/>
      <c r="G1" s="1"/>
      <c r="H1" s="1"/>
      <c r="I1" s="1"/>
      <c r="J1" s="1"/>
      <c r="K1" s="21"/>
      <c r="L1" s="2" t="s">
        <v>345</v>
      </c>
    </row>
    <row r="2" spans="1:14" x14ac:dyDescent="0.3">
      <c r="A2" s="1" t="s">
        <v>259</v>
      </c>
      <c r="B2" s="1"/>
      <c r="C2" s="1"/>
      <c r="D2" s="1"/>
      <c r="E2" s="1"/>
      <c r="F2" s="1"/>
      <c r="G2" s="1"/>
      <c r="H2" s="1"/>
      <c r="I2" s="1"/>
      <c r="J2" s="1"/>
      <c r="K2" s="21"/>
    </row>
    <row r="3" spans="1:14" x14ac:dyDescent="0.3">
      <c r="K3" s="21"/>
    </row>
    <row r="4" spans="1:14" x14ac:dyDescent="0.3">
      <c r="K4" s="21"/>
    </row>
    <row r="5" spans="1:14" x14ac:dyDescent="0.3">
      <c r="A5" s="13" t="s">
        <v>29</v>
      </c>
      <c r="B5" s="1" t="s">
        <v>56</v>
      </c>
      <c r="C5" s="1" t="s">
        <v>388</v>
      </c>
      <c r="D5" s="1"/>
      <c r="E5" s="1"/>
      <c r="F5" s="1"/>
      <c r="G5" s="1"/>
      <c r="H5" s="1"/>
      <c r="I5" s="1"/>
      <c r="J5" s="1"/>
      <c r="K5" s="21"/>
      <c r="M5" s="2" t="s">
        <v>29</v>
      </c>
      <c r="N5" s="65" t="s">
        <v>304</v>
      </c>
    </row>
    <row r="6" spans="1:14" x14ac:dyDescent="0.3">
      <c r="A6" s="13"/>
      <c r="B6" s="13"/>
      <c r="C6" s="1"/>
      <c r="D6" s="1"/>
      <c r="E6" s="1"/>
      <c r="F6" s="1"/>
      <c r="G6" s="1"/>
      <c r="H6" s="1"/>
      <c r="I6" s="1"/>
      <c r="J6" s="1"/>
      <c r="K6" s="21"/>
    </row>
    <row r="7" spans="1:14" x14ac:dyDescent="0.3">
      <c r="A7" s="10" t="s">
        <v>0</v>
      </c>
      <c r="K7" s="21"/>
    </row>
    <row r="8" spans="1:14" x14ac:dyDescent="0.3">
      <c r="K8" s="21"/>
    </row>
    <row r="9" spans="1:14" hidden="1" x14ac:dyDescent="0.3">
      <c r="K9" s="21"/>
    </row>
    <row r="10" spans="1:14" hidden="1" x14ac:dyDescent="0.3">
      <c r="K10" s="21"/>
    </row>
    <row r="11" spans="1:14" hidden="1" x14ac:dyDescent="0.3">
      <c r="K11" s="21"/>
    </row>
    <row r="12" spans="1:14" hidden="1" x14ac:dyDescent="0.3">
      <c r="K12" s="21"/>
    </row>
    <row r="13" spans="1:14" hidden="1" x14ac:dyDescent="0.3">
      <c r="K13" s="21"/>
    </row>
    <row r="14" spans="1:14" hidden="1" x14ac:dyDescent="0.3">
      <c r="K14" s="21"/>
    </row>
    <row r="15" spans="1:14" hidden="1" x14ac:dyDescent="0.3">
      <c r="K15" s="21"/>
    </row>
    <row r="16" spans="1:14" hidden="1" x14ac:dyDescent="0.3">
      <c r="K16" s="21"/>
    </row>
    <row r="17" spans="1:14" hidden="1" x14ac:dyDescent="0.3">
      <c r="K17" s="21"/>
      <c r="M17" s="20" t="s">
        <v>21</v>
      </c>
    </row>
    <row r="18" spans="1:14" x14ac:dyDescent="0.3">
      <c r="K18" s="21"/>
    </row>
    <row r="19" spans="1:14" x14ac:dyDescent="0.3">
      <c r="A19" s="13" t="s">
        <v>21</v>
      </c>
      <c r="B19" s="1" t="s">
        <v>56</v>
      </c>
      <c r="C19" s="1" t="s">
        <v>389</v>
      </c>
      <c r="D19" s="1"/>
      <c r="E19" s="1"/>
      <c r="F19" s="1"/>
      <c r="G19" s="1"/>
      <c r="H19" s="1"/>
      <c r="I19" s="1"/>
      <c r="J19" s="1"/>
      <c r="K19" s="21"/>
      <c r="M19" s="2" t="s">
        <v>21</v>
      </c>
      <c r="N19" s="65" t="s">
        <v>304</v>
      </c>
    </row>
    <row r="20" spans="1:14" x14ac:dyDescent="0.3">
      <c r="A20" s="13"/>
      <c r="B20" s="13"/>
      <c r="C20" s="1"/>
      <c r="D20" s="1"/>
      <c r="E20" s="1"/>
      <c r="F20" s="1"/>
      <c r="G20" s="1"/>
      <c r="H20" s="1"/>
      <c r="I20" s="1"/>
      <c r="J20" s="1"/>
      <c r="K20" s="21"/>
    </row>
    <row r="21" spans="1:14" x14ac:dyDescent="0.3">
      <c r="A21" s="10" t="s">
        <v>0</v>
      </c>
      <c r="K21" s="21"/>
    </row>
    <row r="22" spans="1:14" x14ac:dyDescent="0.3">
      <c r="K22" s="21"/>
    </row>
    <row r="23" spans="1:14" hidden="1" x14ac:dyDescent="0.3">
      <c r="K23" s="21"/>
    </row>
    <row r="24" spans="1:14" hidden="1" x14ac:dyDescent="0.3">
      <c r="K24" s="21"/>
    </row>
    <row r="25" spans="1:14" hidden="1" x14ac:dyDescent="0.3">
      <c r="K25" s="21"/>
    </row>
    <row r="26" spans="1:14" hidden="1" x14ac:dyDescent="0.3">
      <c r="K26" s="21"/>
    </row>
    <row r="27" spans="1:14" hidden="1" x14ac:dyDescent="0.3">
      <c r="K27" s="21"/>
    </row>
    <row r="28" spans="1:14" hidden="1" x14ac:dyDescent="0.3">
      <c r="K28" s="21"/>
    </row>
    <row r="29" spans="1:14" hidden="1" x14ac:dyDescent="0.3">
      <c r="K29" s="21"/>
    </row>
    <row r="30" spans="1:14" hidden="1" x14ac:dyDescent="0.3">
      <c r="K30" s="21"/>
    </row>
    <row r="31" spans="1:14" hidden="1" x14ac:dyDescent="0.3">
      <c r="K31" s="21"/>
    </row>
    <row r="32" spans="1:14" x14ac:dyDescent="0.3">
      <c r="K32" s="21"/>
    </row>
    <row r="33" spans="1:31" x14ac:dyDescent="0.3">
      <c r="A33" s="1" t="s">
        <v>390</v>
      </c>
      <c r="B33" s="1"/>
      <c r="C33" s="1"/>
      <c r="D33" s="1"/>
      <c r="E33" s="1"/>
      <c r="F33" s="1"/>
      <c r="G33" s="1"/>
      <c r="H33" s="1"/>
      <c r="I33" s="1"/>
      <c r="J33" s="1"/>
      <c r="K33" s="21"/>
      <c r="M33" s="267" t="s">
        <v>391</v>
      </c>
      <c r="S33" s="267" t="s">
        <v>392</v>
      </c>
      <c r="Z33" s="267" t="s">
        <v>393</v>
      </c>
    </row>
    <row r="34" spans="1:31" x14ac:dyDescent="0.3">
      <c r="A34" s="1"/>
      <c r="B34" s="1"/>
      <c r="C34" s="1"/>
      <c r="D34" s="1"/>
      <c r="E34" s="1"/>
      <c r="F34" s="1"/>
      <c r="G34" s="1"/>
      <c r="H34" s="1"/>
      <c r="I34" s="1"/>
      <c r="J34" s="1"/>
      <c r="K34" s="21"/>
      <c r="M34" s="2" t="s">
        <v>394</v>
      </c>
      <c r="S34" s="2" t="s">
        <v>394</v>
      </c>
      <c r="Z34" s="2" t="s">
        <v>394</v>
      </c>
    </row>
    <row r="35" spans="1:31" x14ac:dyDescent="0.3">
      <c r="A35" s="276" t="s">
        <v>395</v>
      </c>
      <c r="B35" s="1"/>
      <c r="C35" s="1"/>
      <c r="D35" s="1"/>
      <c r="E35" s="1"/>
      <c r="F35" s="1"/>
      <c r="G35" s="1"/>
      <c r="H35" s="1"/>
      <c r="I35" s="1"/>
      <c r="J35" s="1"/>
      <c r="K35" s="21"/>
      <c r="M35" s="312" t="s">
        <v>212</v>
      </c>
      <c r="N35" s="313"/>
      <c r="O35" s="313"/>
      <c r="P35" s="314"/>
      <c r="S35" s="315" t="s">
        <v>213</v>
      </c>
      <c r="T35" s="316"/>
      <c r="U35" s="316"/>
      <c r="V35" s="316"/>
      <c r="W35" s="316"/>
      <c r="X35" s="317"/>
      <c r="Z35" s="315" t="s">
        <v>214</v>
      </c>
      <c r="AA35" s="316"/>
      <c r="AB35" s="316"/>
      <c r="AC35" s="316"/>
      <c r="AD35" s="316"/>
      <c r="AE35" s="317"/>
    </row>
    <row r="36" spans="1:31" ht="78" x14ac:dyDescent="0.3">
      <c r="A36" s="1"/>
      <c r="B36" s="1"/>
      <c r="C36" s="1"/>
      <c r="D36" s="1"/>
      <c r="E36" s="1"/>
      <c r="F36" s="1"/>
      <c r="G36" s="1"/>
      <c r="H36" s="1"/>
      <c r="I36" s="1"/>
      <c r="J36" s="1"/>
      <c r="K36" s="21"/>
      <c r="M36" s="318" t="s">
        <v>215</v>
      </c>
      <c r="N36" s="319" t="s">
        <v>83</v>
      </c>
      <c r="O36" s="318" t="s">
        <v>216</v>
      </c>
      <c r="P36" s="318" t="s">
        <v>217</v>
      </c>
      <c r="Q36" s="350" t="s">
        <v>396</v>
      </c>
      <c r="S36" s="320" t="s">
        <v>218</v>
      </c>
      <c r="T36" s="320" t="s">
        <v>219</v>
      </c>
      <c r="U36" s="321" t="s">
        <v>220</v>
      </c>
      <c r="V36" s="322" t="s">
        <v>221</v>
      </c>
      <c r="W36" s="321" t="s">
        <v>222</v>
      </c>
      <c r="X36" s="321" t="s">
        <v>223</v>
      </c>
      <c r="Z36" s="320" t="s">
        <v>218</v>
      </c>
      <c r="AA36" s="320" t="s">
        <v>219</v>
      </c>
      <c r="AB36" s="321" t="s">
        <v>220</v>
      </c>
      <c r="AC36" s="322" t="s">
        <v>221</v>
      </c>
      <c r="AD36" s="321" t="s">
        <v>222</v>
      </c>
      <c r="AE36" s="321" t="s">
        <v>223</v>
      </c>
    </row>
    <row r="37" spans="1:31" x14ac:dyDescent="0.3">
      <c r="A37" s="1" t="s">
        <v>31</v>
      </c>
      <c r="B37" s="1"/>
      <c r="C37" s="1"/>
      <c r="D37" s="1"/>
      <c r="E37" s="1"/>
      <c r="F37" s="1"/>
      <c r="G37" s="1"/>
      <c r="H37" s="1"/>
      <c r="I37" s="1"/>
      <c r="J37" s="1"/>
      <c r="K37" s="21"/>
      <c r="M37" s="323">
        <v>0</v>
      </c>
      <c r="N37" s="324">
        <v>0.13500000000000001</v>
      </c>
      <c r="O37" s="325">
        <v>0</v>
      </c>
      <c r="P37" s="325">
        <v>0</v>
      </c>
      <c r="Q37" s="348">
        <f>MAX(0,P37-50000)</f>
        <v>0</v>
      </c>
      <c r="S37" s="326">
        <v>0</v>
      </c>
      <c r="T37" s="327">
        <v>50</v>
      </c>
      <c r="U37" s="327">
        <v>0</v>
      </c>
      <c r="V37" s="328"/>
      <c r="W37" s="329"/>
      <c r="X37" s="330"/>
      <c r="Z37" s="326">
        <v>0</v>
      </c>
      <c r="AA37" s="327">
        <v>40</v>
      </c>
      <c r="AB37" s="327">
        <v>0</v>
      </c>
      <c r="AC37" s="331"/>
      <c r="AD37" s="329"/>
      <c r="AE37" s="330"/>
    </row>
    <row r="38" spans="1:31" x14ac:dyDescent="0.3">
      <c r="A38" s="1"/>
      <c r="B38" s="1" t="s">
        <v>397</v>
      </c>
      <c r="C38" s="1"/>
      <c r="D38" s="1"/>
      <c r="E38" s="1"/>
      <c r="F38" s="1"/>
      <c r="G38" s="1"/>
      <c r="H38" s="1"/>
      <c r="I38" s="1"/>
      <c r="J38" s="1"/>
      <c r="K38" s="21"/>
      <c r="M38" s="332">
        <v>291.31306011918548</v>
      </c>
      <c r="N38" s="324">
        <v>0.23513861161736999</v>
      </c>
      <c r="O38" s="325">
        <v>291.31306011918548</v>
      </c>
      <c r="P38" s="325">
        <v>0</v>
      </c>
      <c r="Q38" s="348">
        <f t="shared" ref="Q38:Q66" si="0">MAX(0,P38-50000)</f>
        <v>0</v>
      </c>
      <c r="S38" s="326">
        <v>50</v>
      </c>
      <c r="T38" s="327">
        <v>55</v>
      </c>
      <c r="U38" s="327">
        <v>1256</v>
      </c>
      <c r="V38" s="328">
        <v>2.5119999999999999E-3</v>
      </c>
      <c r="W38" s="278">
        <v>1547423027.4051013</v>
      </c>
      <c r="X38" s="333">
        <v>1232024.7033480105</v>
      </c>
      <c r="Z38" s="326">
        <v>40</v>
      </c>
      <c r="AA38" s="327">
        <v>45</v>
      </c>
      <c r="AB38" s="327">
        <v>893</v>
      </c>
      <c r="AC38" s="328">
        <v>1.786E-3</v>
      </c>
      <c r="AD38" s="278">
        <v>1152981374.3995168</v>
      </c>
      <c r="AE38" s="333">
        <v>1291132.5581181599</v>
      </c>
    </row>
    <row r="39" spans="1:31" x14ac:dyDescent="0.3">
      <c r="A39" s="1"/>
      <c r="B39" s="1" t="s">
        <v>398</v>
      </c>
      <c r="C39" s="1" t="s">
        <v>399</v>
      </c>
      <c r="D39" s="1"/>
      <c r="E39" s="1"/>
      <c r="F39" s="1"/>
      <c r="G39" s="1"/>
      <c r="H39" s="1"/>
      <c r="I39" s="1"/>
      <c r="J39" s="1"/>
      <c r="K39" s="21"/>
      <c r="M39" s="332">
        <v>869.53578255012428</v>
      </c>
      <c r="N39" s="324">
        <v>0.13863420655266906</v>
      </c>
      <c r="O39" s="325">
        <v>869.53578255012428</v>
      </c>
      <c r="P39" s="325">
        <v>0</v>
      </c>
      <c r="Q39" s="348">
        <f t="shared" si="0"/>
        <v>0</v>
      </c>
      <c r="S39" s="326">
        <v>55</v>
      </c>
      <c r="T39" s="327">
        <v>60</v>
      </c>
      <c r="U39" s="327">
        <v>2553</v>
      </c>
      <c r="V39" s="328">
        <v>5.1060000000000003E-3</v>
      </c>
      <c r="W39" s="278">
        <v>3458098244.0432401</v>
      </c>
      <c r="X39" s="333">
        <v>1354523.401505382</v>
      </c>
      <c r="Z39" s="326">
        <v>45</v>
      </c>
      <c r="AA39" s="327">
        <v>50</v>
      </c>
      <c r="AB39" s="327">
        <v>2408</v>
      </c>
      <c r="AC39" s="328">
        <v>4.816E-3</v>
      </c>
      <c r="AD39" s="278">
        <v>3466722219.2507281</v>
      </c>
      <c r="AE39" s="333">
        <v>1439668.6957021295</v>
      </c>
    </row>
    <row r="40" spans="1:31" x14ac:dyDescent="0.3">
      <c r="A40" s="217"/>
      <c r="B40" s="1" t="s">
        <v>400</v>
      </c>
      <c r="C40" s="63" t="s">
        <v>399</v>
      </c>
      <c r="D40" s="1"/>
      <c r="E40" s="1"/>
      <c r="F40" s="1"/>
      <c r="G40" s="1"/>
      <c r="H40" s="1"/>
      <c r="I40" s="1"/>
      <c r="J40" s="1"/>
      <c r="K40" s="21"/>
      <c r="M40" s="332">
        <v>1627.5343290007067</v>
      </c>
      <c r="N40" s="324">
        <v>5.789355647156591E-2</v>
      </c>
      <c r="O40" s="325">
        <v>1512.7534329000707</v>
      </c>
      <c r="P40" s="325">
        <v>114.78089610063603</v>
      </c>
      <c r="Q40" s="348">
        <f t="shared" si="0"/>
        <v>0</v>
      </c>
      <c r="S40" s="326">
        <v>60</v>
      </c>
      <c r="T40" s="327">
        <v>65</v>
      </c>
      <c r="U40" s="327">
        <v>5264</v>
      </c>
      <c r="V40" s="328">
        <v>1.0527999999999999E-2</v>
      </c>
      <c r="W40" s="278">
        <v>7743592425.2824974</v>
      </c>
      <c r="X40" s="333">
        <v>1471047.1932527542</v>
      </c>
      <c r="Z40" s="326">
        <v>50</v>
      </c>
      <c r="AA40" s="327">
        <v>55</v>
      </c>
      <c r="AB40" s="327">
        <v>5465</v>
      </c>
      <c r="AC40" s="328">
        <v>1.093E-2</v>
      </c>
      <c r="AD40" s="278">
        <v>8678336180.5309277</v>
      </c>
      <c r="AE40" s="333">
        <v>1587984.6624942229</v>
      </c>
    </row>
    <row r="41" spans="1:31" ht="16.05" customHeight="1" x14ac:dyDescent="0.3">
      <c r="A41" s="276"/>
      <c r="B41" s="1"/>
      <c r="C41" s="277"/>
      <c r="D41" s="1"/>
      <c r="E41" s="1"/>
      <c r="F41" s="1"/>
      <c r="G41" s="1"/>
      <c r="H41" s="1"/>
      <c r="I41" s="1"/>
      <c r="J41" s="1"/>
      <c r="K41" s="21"/>
      <c r="M41" s="332">
        <v>2914.6875282910919</v>
      </c>
      <c r="N41" s="324">
        <v>7.4600491708770034E-2</v>
      </c>
      <c r="O41" s="325">
        <v>1641.4687528291092</v>
      </c>
      <c r="P41" s="325">
        <v>1273.2187754619827</v>
      </c>
      <c r="Q41" s="348">
        <f t="shared" si="0"/>
        <v>0</v>
      </c>
      <c r="S41" s="326">
        <v>65</v>
      </c>
      <c r="T41" s="327">
        <v>70</v>
      </c>
      <c r="U41" s="327">
        <v>9672</v>
      </c>
      <c r="V41" s="328">
        <v>1.9344E-2</v>
      </c>
      <c r="W41" s="278">
        <v>15342945211.527264</v>
      </c>
      <c r="X41" s="333">
        <v>1586326.0144258956</v>
      </c>
      <c r="Z41" s="326">
        <v>55</v>
      </c>
      <c r="AA41" s="327">
        <v>60</v>
      </c>
      <c r="AB41" s="327">
        <v>10240</v>
      </c>
      <c r="AC41" s="328">
        <v>2.0480000000000002E-2</v>
      </c>
      <c r="AD41" s="278">
        <v>17778544556.690666</v>
      </c>
      <c r="AE41" s="333">
        <v>1736185.9918643229</v>
      </c>
    </row>
    <row r="42" spans="1:31" x14ac:dyDescent="0.3">
      <c r="A42" s="13" t="s">
        <v>15</v>
      </c>
      <c r="B42" s="1" t="s">
        <v>401</v>
      </c>
      <c r="C42" s="63" t="s">
        <v>402</v>
      </c>
      <c r="D42" s="63"/>
      <c r="E42" s="63"/>
      <c r="F42" s="1"/>
      <c r="G42" s="1"/>
      <c r="H42" s="1"/>
      <c r="I42" s="1"/>
      <c r="J42" s="1"/>
      <c r="K42" s="21"/>
      <c r="M42" s="332">
        <v>4991.4001268681914</v>
      </c>
      <c r="N42" s="324">
        <v>7.1174387795825966E-2</v>
      </c>
      <c r="O42" s="325">
        <v>1849.1400126868191</v>
      </c>
      <c r="P42" s="325">
        <v>3142.260114181372</v>
      </c>
      <c r="Q42" s="348">
        <f t="shared" si="0"/>
        <v>0</v>
      </c>
      <c r="S42" s="326">
        <v>70</v>
      </c>
      <c r="T42" s="327">
        <v>75</v>
      </c>
      <c r="U42" s="327">
        <v>16379</v>
      </c>
      <c r="V42" s="328">
        <v>3.2758000000000002E-2</v>
      </c>
      <c r="W42" s="278">
        <v>27901799251.778137</v>
      </c>
      <c r="X42" s="333">
        <v>1703510.5471505059</v>
      </c>
      <c r="Z42" s="326">
        <v>60</v>
      </c>
      <c r="AA42" s="327">
        <v>65</v>
      </c>
      <c r="AB42" s="327">
        <v>16666</v>
      </c>
      <c r="AC42" s="328">
        <v>3.3332000000000001E-2</v>
      </c>
      <c r="AD42" s="278">
        <v>31419050434.230541</v>
      </c>
      <c r="AE42" s="333">
        <v>1885218.4347912241</v>
      </c>
    </row>
    <row r="43" spans="1:31" x14ac:dyDescent="0.3">
      <c r="A43" s="1"/>
      <c r="B43" s="1" t="s">
        <v>22</v>
      </c>
      <c r="C43" s="1" t="s">
        <v>403</v>
      </c>
      <c r="D43" s="1"/>
      <c r="E43" s="1"/>
      <c r="F43" s="1"/>
      <c r="G43" s="1"/>
      <c r="H43" s="1"/>
      <c r="I43" s="1"/>
      <c r="J43" s="1"/>
      <c r="K43" s="21"/>
      <c r="M43" s="332">
        <v>8295.0231311460157</v>
      </c>
      <c r="N43" s="324">
        <v>8.5918174275676051E-2</v>
      </c>
      <c r="O43" s="325">
        <v>2179.5023131146017</v>
      </c>
      <c r="P43" s="325">
        <v>6115.5208180314139</v>
      </c>
      <c r="Q43" s="348">
        <f t="shared" si="0"/>
        <v>0</v>
      </c>
      <c r="S43" s="326">
        <v>75</v>
      </c>
      <c r="T43" s="327">
        <v>80</v>
      </c>
      <c r="U43" s="327">
        <v>25556</v>
      </c>
      <c r="V43" s="328">
        <v>5.1111999999999998E-2</v>
      </c>
      <c r="W43" s="278">
        <v>46497366349.22406</v>
      </c>
      <c r="X43" s="333">
        <v>1819430.5192214767</v>
      </c>
      <c r="Z43" s="326">
        <v>65</v>
      </c>
      <c r="AA43" s="327">
        <v>70</v>
      </c>
      <c r="AB43" s="327">
        <v>24276</v>
      </c>
      <c r="AC43" s="328">
        <v>4.8551999999999998E-2</v>
      </c>
      <c r="AD43" s="278">
        <v>49398737979.848419</v>
      </c>
      <c r="AE43" s="333">
        <v>2034879.6333765208</v>
      </c>
    </row>
    <row r="44" spans="1:31" x14ac:dyDescent="0.3">
      <c r="A44" s="1"/>
      <c r="B44" s="1" t="s">
        <v>25</v>
      </c>
      <c r="C44" s="1" t="s">
        <v>404</v>
      </c>
      <c r="D44" s="1"/>
      <c r="E44" s="1"/>
      <c r="F44" s="1"/>
      <c r="G44" s="1"/>
      <c r="H44" s="1"/>
      <c r="I44" s="1"/>
      <c r="J44" s="1"/>
      <c r="K44" s="21"/>
      <c r="M44" s="332">
        <v>9407.2213667136584</v>
      </c>
      <c r="N44" s="324">
        <v>2.6335469784569021E-2</v>
      </c>
      <c r="O44" s="325">
        <v>2290.7221366713657</v>
      </c>
      <c r="P44" s="325">
        <v>7116.4992300422928</v>
      </c>
      <c r="Q44" s="348">
        <f t="shared" si="0"/>
        <v>0</v>
      </c>
      <c r="S44" s="326">
        <v>80</v>
      </c>
      <c r="T44" s="327">
        <v>85</v>
      </c>
      <c r="U44" s="327">
        <v>36228</v>
      </c>
      <c r="V44" s="328">
        <v>7.2456000000000007E-2</v>
      </c>
      <c r="W44" s="278">
        <v>70132308465.288467</v>
      </c>
      <c r="X44" s="333">
        <v>1935859.2377522488</v>
      </c>
      <c r="Z44" s="326">
        <v>70</v>
      </c>
      <c r="AA44" s="327">
        <v>75</v>
      </c>
      <c r="AB44" s="327">
        <v>31600</v>
      </c>
      <c r="AC44" s="328">
        <v>6.3200000000000006E-2</v>
      </c>
      <c r="AD44" s="278">
        <v>69026546501.189606</v>
      </c>
      <c r="AE44" s="333">
        <v>2184384.3829490379</v>
      </c>
    </row>
    <row r="45" spans="1:31" x14ac:dyDescent="0.3">
      <c r="A45" s="1"/>
      <c r="B45" s="1" t="s">
        <v>26</v>
      </c>
      <c r="C45" s="1" t="s">
        <v>405</v>
      </c>
      <c r="D45" s="1"/>
      <c r="E45" s="1"/>
      <c r="F45" s="1"/>
      <c r="G45" s="1"/>
      <c r="H45" s="1"/>
      <c r="I45" s="1"/>
      <c r="J45" s="1"/>
      <c r="K45" s="21"/>
      <c r="M45" s="332">
        <v>11652.463430168611</v>
      </c>
      <c r="N45" s="324">
        <v>3.6278477579642976E-2</v>
      </c>
      <c r="O45" s="325">
        <v>2515.2463430168609</v>
      </c>
      <c r="P45" s="325">
        <v>9137.2170871517501</v>
      </c>
      <c r="Q45" s="348">
        <f t="shared" si="0"/>
        <v>0</v>
      </c>
      <c r="S45" s="326">
        <v>85</v>
      </c>
      <c r="T45" s="327">
        <v>90</v>
      </c>
      <c r="U45" s="327">
        <v>46578</v>
      </c>
      <c r="V45" s="328">
        <v>9.3156000000000003E-2</v>
      </c>
      <c r="W45" s="278">
        <v>95587104281.649948</v>
      </c>
      <c r="X45" s="333">
        <v>2052194.2608452477</v>
      </c>
      <c r="Z45" s="326">
        <v>75</v>
      </c>
      <c r="AA45" s="327">
        <v>80</v>
      </c>
      <c r="AB45" s="327">
        <v>36738</v>
      </c>
      <c r="AC45" s="328">
        <v>7.3476E-2</v>
      </c>
      <c r="AD45" s="278">
        <v>85739133630.232651</v>
      </c>
      <c r="AE45" s="333">
        <v>2333799.7068493837</v>
      </c>
    </row>
    <row r="46" spans="1:31" x14ac:dyDescent="0.3">
      <c r="A46" s="5"/>
      <c r="B46" s="1"/>
      <c r="C46" s="1" t="s">
        <v>12</v>
      </c>
      <c r="D46" s="63"/>
      <c r="E46" s="63"/>
      <c r="F46" s="1"/>
      <c r="G46" s="1"/>
      <c r="H46" s="1"/>
      <c r="I46" s="1"/>
      <c r="J46" s="1"/>
      <c r="K46" s="21"/>
      <c r="M46" s="332">
        <v>12890.02518068326</v>
      </c>
      <c r="N46" s="324">
        <v>1.6760694282691002E-2</v>
      </c>
      <c r="O46" s="325">
        <v>2639.002518068326</v>
      </c>
      <c r="P46" s="325">
        <v>10251.022662614934</v>
      </c>
      <c r="Q46" s="348">
        <f t="shared" si="0"/>
        <v>0</v>
      </c>
      <c r="S46" s="326">
        <v>90</v>
      </c>
      <c r="T46" s="327">
        <v>95</v>
      </c>
      <c r="U46" s="327">
        <v>55185</v>
      </c>
      <c r="V46" s="328">
        <v>0.11037</v>
      </c>
      <c r="W46" s="278">
        <v>119667491343.97279</v>
      </c>
      <c r="X46" s="333">
        <v>2168478.5964296963</v>
      </c>
      <c r="Z46" s="326">
        <v>80</v>
      </c>
      <c r="AA46" s="327">
        <v>85</v>
      </c>
      <c r="AB46" s="327">
        <v>39460</v>
      </c>
      <c r="AC46" s="328">
        <v>7.8920000000000004E-2</v>
      </c>
      <c r="AD46" s="278">
        <v>97991729321.362305</v>
      </c>
      <c r="AE46" s="333">
        <v>2483318.0263903271</v>
      </c>
    </row>
    <row r="47" spans="1:31" x14ac:dyDescent="0.3">
      <c r="A47" s="11"/>
      <c r="B47" s="1"/>
      <c r="C47" s="1"/>
      <c r="D47" s="1"/>
      <c r="E47" s="1"/>
      <c r="F47" s="1"/>
      <c r="G47" s="1"/>
      <c r="H47" s="1"/>
      <c r="I47" s="1"/>
      <c r="J47" s="1"/>
      <c r="K47" s="21"/>
      <c r="M47" s="332">
        <v>15041.278726784303</v>
      </c>
      <c r="N47" s="334">
        <v>1.6031804860417997E-2</v>
      </c>
      <c r="O47" s="325">
        <v>2854.1278726784303</v>
      </c>
      <c r="P47" s="325">
        <v>12187.150854105872</v>
      </c>
      <c r="Q47" s="348">
        <f t="shared" si="0"/>
        <v>0</v>
      </c>
      <c r="S47" s="326">
        <v>95</v>
      </c>
      <c r="T47" s="327">
        <v>100</v>
      </c>
      <c r="U47" s="327">
        <v>58176</v>
      </c>
      <c r="V47" s="328">
        <v>0.116352</v>
      </c>
      <c r="W47" s="278">
        <v>132937381528.60713</v>
      </c>
      <c r="X47" s="333">
        <v>2285089.753998335</v>
      </c>
      <c r="Z47" s="326">
        <v>85</v>
      </c>
      <c r="AA47" s="327">
        <v>90</v>
      </c>
      <c r="AB47" s="327">
        <v>39881</v>
      </c>
      <c r="AC47" s="328">
        <v>7.9762E-2</v>
      </c>
      <c r="AD47" s="278">
        <v>105038742584.96193</v>
      </c>
      <c r="AE47" s="333">
        <v>2633804.1319164997</v>
      </c>
    </row>
    <row r="48" spans="1:31" x14ac:dyDescent="0.3">
      <c r="A48" s="10" t="s">
        <v>0</v>
      </c>
      <c r="K48" s="21"/>
      <c r="M48" s="332">
        <v>19006.969886086314</v>
      </c>
      <c r="N48" s="334">
        <v>4.6685233893160039E-2</v>
      </c>
      <c r="O48" s="325">
        <v>3250.6969886086317</v>
      </c>
      <c r="P48" s="325">
        <v>15756.272897477682</v>
      </c>
      <c r="Q48" s="348">
        <f t="shared" si="0"/>
        <v>0</v>
      </c>
      <c r="S48" s="326">
        <v>100</v>
      </c>
      <c r="T48" s="327">
        <v>105</v>
      </c>
      <c r="U48" s="327">
        <v>56456</v>
      </c>
      <c r="V48" s="328">
        <v>0.112912</v>
      </c>
      <c r="W48" s="278">
        <v>135560133151.24054</v>
      </c>
      <c r="X48" s="333">
        <v>2401164.3253372633</v>
      </c>
      <c r="Z48" s="326">
        <v>90</v>
      </c>
      <c r="AA48" s="327">
        <v>95</v>
      </c>
      <c r="AB48" s="327">
        <v>38022</v>
      </c>
      <c r="AC48" s="328">
        <v>7.6044E-2</v>
      </c>
      <c r="AD48" s="278">
        <v>105831029158.8231</v>
      </c>
      <c r="AE48" s="333">
        <v>2783415.6319715721</v>
      </c>
    </row>
    <row r="49" spans="1:31" x14ac:dyDescent="0.3">
      <c r="A49" s="2" t="s">
        <v>22</v>
      </c>
      <c r="B49" s="278">
        <f>Q68</f>
        <v>661327.45134631509</v>
      </c>
      <c r="C49" s="2" t="s">
        <v>406</v>
      </c>
      <c r="K49" s="21"/>
      <c r="M49" s="332">
        <v>30025.620764019015</v>
      </c>
      <c r="N49" s="334">
        <v>1.9068229926516911E-2</v>
      </c>
      <c r="O49" s="325">
        <v>4352.5620764019022</v>
      </c>
      <c r="P49" s="325">
        <v>25673.058687617115</v>
      </c>
      <c r="Q49" s="348">
        <f t="shared" si="0"/>
        <v>0</v>
      </c>
      <c r="S49" s="335">
        <v>105</v>
      </c>
      <c r="T49" s="336">
        <v>110</v>
      </c>
      <c r="U49" s="336">
        <v>50080</v>
      </c>
      <c r="V49" s="337">
        <v>0.10016</v>
      </c>
      <c r="W49" s="338">
        <v>126081537116.1371</v>
      </c>
      <c r="X49" s="339">
        <v>2517602.5781976259</v>
      </c>
      <c r="Z49" s="326">
        <v>95</v>
      </c>
      <c r="AA49" s="327">
        <v>100</v>
      </c>
      <c r="AB49" s="327">
        <v>34900</v>
      </c>
      <c r="AC49" s="328">
        <v>6.9800000000000001E-2</v>
      </c>
      <c r="AD49" s="278">
        <v>102370079553.90457</v>
      </c>
      <c r="AE49" s="333">
        <v>2933240.1018310767</v>
      </c>
    </row>
    <row r="50" spans="1:31" x14ac:dyDescent="0.3">
      <c r="B50" s="279">
        <f>B49/(1-3%-3%)</f>
        <v>703539.8418577821</v>
      </c>
      <c r="C50" s="2" t="s">
        <v>407</v>
      </c>
      <c r="K50" s="21"/>
      <c r="M50" s="332">
        <v>39959.539547031112</v>
      </c>
      <c r="N50" s="324">
        <v>1.9170668091496035E-2</v>
      </c>
      <c r="O50" s="325">
        <v>5000</v>
      </c>
      <c r="P50" s="325">
        <v>34959.539547031112</v>
      </c>
      <c r="Q50" s="348">
        <f t="shared" si="0"/>
        <v>0</v>
      </c>
      <c r="S50" s="326">
        <v>110</v>
      </c>
      <c r="T50" s="327">
        <v>115</v>
      </c>
      <c r="U50" s="327">
        <v>41322</v>
      </c>
      <c r="V50" s="328">
        <v>8.2643999999999995E-2</v>
      </c>
      <c r="W50" s="278">
        <v>108866538952.09129</v>
      </c>
      <c r="X50" s="333">
        <v>2634590.2655266272</v>
      </c>
      <c r="Z50" s="326">
        <v>100</v>
      </c>
      <c r="AA50" s="327">
        <v>105</v>
      </c>
      <c r="AB50" s="327">
        <v>34733</v>
      </c>
      <c r="AC50" s="328">
        <v>6.9466E-2</v>
      </c>
      <c r="AD50" s="278">
        <v>107111040714.03883</v>
      </c>
      <c r="AE50" s="333">
        <v>3083840.7483960162</v>
      </c>
    </row>
    <row r="51" spans="1:31" x14ac:dyDescent="0.3">
      <c r="B51" s="278"/>
      <c r="K51" s="21"/>
      <c r="M51" s="332">
        <v>57913.358689025692</v>
      </c>
      <c r="N51" s="324">
        <v>8.3643911634749823E-3</v>
      </c>
      <c r="O51" s="325">
        <v>5000</v>
      </c>
      <c r="P51" s="325">
        <v>52913.358689025692</v>
      </c>
      <c r="Q51" s="348">
        <f t="shared" si="0"/>
        <v>2913.358689025692</v>
      </c>
      <c r="S51" s="326">
        <v>115</v>
      </c>
      <c r="T51" s="327">
        <v>120</v>
      </c>
      <c r="U51" s="327">
        <v>32083</v>
      </c>
      <c r="V51" s="328">
        <v>6.4166000000000001E-2</v>
      </c>
      <c r="W51" s="278">
        <v>88258493002.999634</v>
      </c>
      <c r="X51" s="333">
        <v>2750942.6488482882</v>
      </c>
      <c r="Z51" s="335">
        <v>105</v>
      </c>
      <c r="AA51" s="336">
        <v>110</v>
      </c>
      <c r="AB51" s="336">
        <v>30302</v>
      </c>
      <c r="AC51" s="337">
        <v>6.0603999999999998E-2</v>
      </c>
      <c r="AD51" s="338">
        <v>97994980517.602875</v>
      </c>
      <c r="AE51" s="339">
        <v>3233944.3111874755</v>
      </c>
    </row>
    <row r="52" spans="1:31" x14ac:dyDescent="0.3">
      <c r="A52" s="2" t="s">
        <v>25</v>
      </c>
      <c r="B52" s="278">
        <f>SUM($W$37:$W$59)/SUM($U$37:$U$59)</f>
        <v>2342893.8946041339</v>
      </c>
      <c r="C52" s="2" t="s">
        <v>408</v>
      </c>
      <c r="D52" s="17"/>
      <c r="E52" s="17"/>
      <c r="F52" s="17"/>
      <c r="G52" s="17"/>
      <c r="H52" s="17"/>
      <c r="I52" s="17"/>
      <c r="J52" s="17"/>
      <c r="K52" s="21"/>
      <c r="M52" s="332">
        <v>84577.53348853004</v>
      </c>
      <c r="N52" s="324">
        <v>4.7308722998670172E-3</v>
      </c>
      <c r="O52" s="325">
        <v>5000</v>
      </c>
      <c r="P52" s="325">
        <v>79577.53348853004</v>
      </c>
      <c r="Q52" s="348">
        <f t="shared" si="0"/>
        <v>29577.53348853004</v>
      </c>
      <c r="S52" s="326">
        <v>120</v>
      </c>
      <c r="T52" s="327">
        <v>125</v>
      </c>
      <c r="U52" s="327">
        <v>23208</v>
      </c>
      <c r="V52" s="328">
        <v>4.6415999999999999E-2</v>
      </c>
      <c r="W52" s="278">
        <v>66551580640.415344</v>
      </c>
      <c r="X52" s="333">
        <v>2867613.7814725675</v>
      </c>
      <c r="Z52" s="326">
        <v>110</v>
      </c>
      <c r="AA52" s="327">
        <v>115</v>
      </c>
      <c r="AB52" s="327">
        <v>26007</v>
      </c>
      <c r="AC52" s="328">
        <v>5.2013999999999998E-2</v>
      </c>
      <c r="AD52" s="278">
        <v>88040401017.405029</v>
      </c>
      <c r="AE52" s="333">
        <v>3385257.8543240293</v>
      </c>
    </row>
    <row r="53" spans="1:31" x14ac:dyDescent="0.3">
      <c r="B53" s="278">
        <f>B52*105%</f>
        <v>2460038.5893343408</v>
      </c>
      <c r="C53" s="2" t="s">
        <v>409</v>
      </c>
      <c r="D53" s="17"/>
      <c r="E53" s="17"/>
      <c r="F53" s="17"/>
      <c r="G53" s="17"/>
      <c r="H53" s="17"/>
      <c r="I53" s="17"/>
      <c r="J53" s="17"/>
      <c r="K53" s="21"/>
      <c r="M53" s="332">
        <v>114824.21259738342</v>
      </c>
      <c r="N53" s="324">
        <v>3.4862488711140394E-3</v>
      </c>
      <c r="O53" s="325">
        <v>5000</v>
      </c>
      <c r="P53" s="325">
        <v>109824.21259738342</v>
      </c>
      <c r="Q53" s="348">
        <f t="shared" si="0"/>
        <v>59824.212597383419</v>
      </c>
      <c r="S53" s="326">
        <v>125</v>
      </c>
      <c r="T53" s="327">
        <v>130</v>
      </c>
      <c r="U53" s="327">
        <v>16039</v>
      </c>
      <c r="V53" s="328">
        <v>3.2078000000000002E-2</v>
      </c>
      <c r="W53" s="278">
        <v>47857651746.820602</v>
      </c>
      <c r="X53" s="333">
        <v>2983830.1481900741</v>
      </c>
      <c r="Z53" s="326">
        <v>115</v>
      </c>
      <c r="AA53" s="327">
        <v>120</v>
      </c>
      <c r="AB53" s="327">
        <v>22356</v>
      </c>
      <c r="AC53" s="328">
        <v>4.4712000000000002E-2</v>
      </c>
      <c r="AD53" s="278">
        <v>79028371537.804657</v>
      </c>
      <c r="AE53" s="333">
        <v>3534996.0430222158</v>
      </c>
    </row>
    <row r="54" spans="1:31" x14ac:dyDescent="0.3">
      <c r="B54" s="278">
        <f>SUM($W$49:$W$59)/SUM($U$49:$U$59)</f>
        <v>2758862.2421466229</v>
      </c>
      <c r="C54" s="2" t="s">
        <v>410</v>
      </c>
      <c r="D54" s="17"/>
      <c r="E54" s="17"/>
      <c r="F54" s="17"/>
      <c r="G54" s="17"/>
      <c r="H54" s="17"/>
      <c r="I54" s="17"/>
      <c r="J54" s="17"/>
      <c r="K54" s="21"/>
      <c r="M54" s="332">
        <v>151373.74593225529</v>
      </c>
      <c r="N54" s="324">
        <v>1.8335327928299394E-3</v>
      </c>
      <c r="O54" s="325">
        <v>5000</v>
      </c>
      <c r="P54" s="325">
        <v>146373.74593225529</v>
      </c>
      <c r="Q54" s="348">
        <f t="shared" si="0"/>
        <v>96373.74593225529</v>
      </c>
      <c r="S54" s="326">
        <v>130</v>
      </c>
      <c r="T54" s="327">
        <v>135</v>
      </c>
      <c r="U54" s="327">
        <v>10352</v>
      </c>
      <c r="V54" s="328">
        <v>2.0704E-2</v>
      </c>
      <c r="W54" s="278">
        <v>32100576221.930962</v>
      </c>
      <c r="X54" s="333">
        <v>3100905.7401401624</v>
      </c>
      <c r="Z54" s="326">
        <v>120</v>
      </c>
      <c r="AA54" s="327">
        <v>125</v>
      </c>
      <c r="AB54" s="327">
        <v>18752</v>
      </c>
      <c r="AC54" s="328">
        <v>3.7504000000000003E-2</v>
      </c>
      <c r="AD54" s="278">
        <v>69114135858.92749</v>
      </c>
      <c r="AE54" s="333">
        <v>3685694.1051049219</v>
      </c>
    </row>
    <row r="55" spans="1:31" x14ac:dyDescent="0.3">
      <c r="A55" s="17"/>
      <c r="B55" s="278">
        <f>B54-105%*B52</f>
        <v>298823.65281228209</v>
      </c>
      <c r="C55" s="2" t="s">
        <v>411</v>
      </c>
      <c r="D55" s="17"/>
      <c r="E55" s="17"/>
      <c r="F55" s="17"/>
      <c r="G55" s="17"/>
      <c r="H55" s="17"/>
      <c r="I55" s="17"/>
      <c r="J55" s="17"/>
      <c r="K55" s="21"/>
      <c r="M55" s="332">
        <v>171424.56105895445</v>
      </c>
      <c r="N55" s="324">
        <v>9.6392138140000139E-4</v>
      </c>
      <c r="O55" s="325">
        <v>5000</v>
      </c>
      <c r="P55" s="325">
        <v>166424.56105895445</v>
      </c>
      <c r="Q55" s="348">
        <f t="shared" si="0"/>
        <v>116424.56105895445</v>
      </c>
      <c r="S55" s="326">
        <v>135</v>
      </c>
      <c r="T55" s="327">
        <v>140</v>
      </c>
      <c r="U55" s="327">
        <v>6290</v>
      </c>
      <c r="V55" s="328">
        <v>1.2579999999999999E-2</v>
      </c>
      <c r="W55" s="278">
        <v>20239972710.806187</v>
      </c>
      <c r="X55" s="333">
        <v>3217801.7028308725</v>
      </c>
      <c r="Z55" s="326">
        <v>125</v>
      </c>
      <c r="AA55" s="327">
        <v>130</v>
      </c>
      <c r="AB55" s="327">
        <v>15641</v>
      </c>
      <c r="AC55" s="328">
        <v>3.1281999999999997E-2</v>
      </c>
      <c r="AD55" s="278">
        <v>59997783593.008842</v>
      </c>
      <c r="AE55" s="333">
        <v>3835930.1574713155</v>
      </c>
    </row>
    <row r="56" spans="1:31" x14ac:dyDescent="0.3">
      <c r="A56" s="17"/>
      <c r="B56" s="278">
        <f>B55*SUM($V$49:$V$59)</f>
        <v>111578.95901818926</v>
      </c>
      <c r="C56" s="2" t="s">
        <v>412</v>
      </c>
      <c r="D56" s="17"/>
      <c r="E56" s="17"/>
      <c r="F56" s="17"/>
      <c r="G56" s="17"/>
      <c r="H56" s="17"/>
      <c r="I56" s="17"/>
      <c r="J56" s="17"/>
      <c r="K56" s="21"/>
      <c r="M56" s="332">
        <v>238306.75383058185</v>
      </c>
      <c r="N56" s="324">
        <v>5.5284796393206825E-4</v>
      </c>
      <c r="O56" s="325">
        <v>5000</v>
      </c>
      <c r="P56" s="325">
        <v>233306.75383058185</v>
      </c>
      <c r="Q56" s="348">
        <f t="shared" si="0"/>
        <v>183306.75383058185</v>
      </c>
      <c r="S56" s="326">
        <v>140</v>
      </c>
      <c r="T56" s="327">
        <v>145</v>
      </c>
      <c r="U56" s="327">
        <v>3648</v>
      </c>
      <c r="V56" s="328">
        <v>7.2960000000000004E-3</v>
      </c>
      <c r="W56" s="278">
        <v>12163873406.739576</v>
      </c>
      <c r="X56" s="333">
        <v>3334395.1224615066</v>
      </c>
      <c r="Z56" s="326">
        <v>130</v>
      </c>
      <c r="AA56" s="327">
        <v>135</v>
      </c>
      <c r="AB56" s="327">
        <v>12985</v>
      </c>
      <c r="AC56" s="328">
        <v>2.597E-2</v>
      </c>
      <c r="AD56" s="278">
        <v>51766039158.729828</v>
      </c>
      <c r="AE56" s="333">
        <v>3986602.9386776919</v>
      </c>
    </row>
    <row r="57" spans="1:31" x14ac:dyDescent="0.3">
      <c r="B57" s="278">
        <f>B56+B49</f>
        <v>772906.41036450432</v>
      </c>
      <c r="C57" s="2" t="s">
        <v>413</v>
      </c>
      <c r="D57" s="17"/>
      <c r="E57" s="17"/>
      <c r="F57" s="17"/>
      <c r="G57" s="17"/>
      <c r="H57" s="17"/>
      <c r="I57" s="17"/>
      <c r="J57" s="17"/>
      <c r="K57" s="21"/>
      <c r="M57" s="332">
        <v>329862.35960423521</v>
      </c>
      <c r="N57" s="324">
        <v>7.9901384014191557E-4</v>
      </c>
      <c r="O57" s="325">
        <v>5000</v>
      </c>
      <c r="P57" s="325">
        <v>324862.35960423521</v>
      </c>
      <c r="Q57" s="348">
        <f t="shared" si="0"/>
        <v>274862.35960423521</v>
      </c>
      <c r="S57" s="326">
        <v>145</v>
      </c>
      <c r="T57" s="327">
        <v>150</v>
      </c>
      <c r="U57" s="327">
        <v>2005</v>
      </c>
      <c r="V57" s="328">
        <v>4.0099999999999997E-3</v>
      </c>
      <c r="W57" s="278">
        <v>6915015368.0588303</v>
      </c>
      <c r="X57" s="333">
        <v>3448885.4703535312</v>
      </c>
      <c r="Z57" s="326">
        <v>135</v>
      </c>
      <c r="AA57" s="327">
        <v>140</v>
      </c>
      <c r="AB57" s="327">
        <v>10624</v>
      </c>
      <c r="AC57" s="328">
        <v>2.1248E-2</v>
      </c>
      <c r="AD57" s="278">
        <v>43947500294.036819</v>
      </c>
      <c r="AE57" s="333">
        <v>4136624.6511706342</v>
      </c>
    </row>
    <row r="58" spans="1:31" x14ac:dyDescent="0.3">
      <c r="B58" s="279">
        <f>B57/(1-3%-3%)</f>
        <v>822240.8620898982</v>
      </c>
      <c r="C58" s="2" t="s">
        <v>407</v>
      </c>
      <c r="D58" s="17"/>
      <c r="E58" s="17"/>
      <c r="F58" s="17"/>
      <c r="G58" s="17"/>
      <c r="H58" s="17"/>
      <c r="I58" s="17"/>
      <c r="J58" s="17"/>
      <c r="K58" s="21"/>
      <c r="M58" s="332">
        <v>435098.10411352973</v>
      </c>
      <c r="N58" s="324">
        <v>3.2445723299800999E-4</v>
      </c>
      <c r="O58" s="325">
        <v>5000</v>
      </c>
      <c r="P58" s="325">
        <v>430098.10411352973</v>
      </c>
      <c r="Q58" s="348">
        <f t="shared" si="0"/>
        <v>380098.10411352973</v>
      </c>
      <c r="S58" s="326">
        <v>150</v>
      </c>
      <c r="T58" s="327">
        <v>155</v>
      </c>
      <c r="U58" s="327">
        <v>1057</v>
      </c>
      <c r="V58" s="328">
        <v>2.114E-3</v>
      </c>
      <c r="W58" s="278">
        <v>3770947972.2984514</v>
      </c>
      <c r="X58" s="333">
        <v>3567595.0542085632</v>
      </c>
      <c r="Z58" s="326">
        <v>140</v>
      </c>
      <c r="AA58" s="327">
        <v>145</v>
      </c>
      <c r="AB58" s="327">
        <v>8609</v>
      </c>
      <c r="AC58" s="328">
        <v>1.7218000000000001E-2</v>
      </c>
      <c r="AD58" s="278">
        <v>36903036791.201584</v>
      </c>
      <c r="AE58" s="333">
        <v>4286564.8497155979</v>
      </c>
    </row>
    <row r="59" spans="1:31" x14ac:dyDescent="0.3">
      <c r="K59" s="21"/>
      <c r="M59" s="332">
        <v>627254.87503929774</v>
      </c>
      <c r="N59" s="324">
        <v>8.6420851780011354E-5</v>
      </c>
      <c r="O59" s="325">
        <v>5000</v>
      </c>
      <c r="P59" s="325">
        <v>622254.87503929774</v>
      </c>
      <c r="Q59" s="348">
        <f t="shared" si="0"/>
        <v>572254.87503929774</v>
      </c>
      <c r="S59" s="340">
        <v>155</v>
      </c>
      <c r="T59" s="341">
        <v>160</v>
      </c>
      <c r="U59" s="341">
        <v>613</v>
      </c>
      <c r="V59" s="342">
        <v>1.2260000000000001E-3</v>
      </c>
      <c r="W59" s="343">
        <v>2265116883.75</v>
      </c>
      <c r="X59" s="344">
        <v>3695133.5787112559</v>
      </c>
      <c r="Z59" s="326">
        <v>145</v>
      </c>
      <c r="AA59" s="327">
        <v>150</v>
      </c>
      <c r="AB59" s="327">
        <v>7184</v>
      </c>
      <c r="AC59" s="328">
        <v>1.4368000000000001E-2</v>
      </c>
      <c r="AD59" s="278">
        <v>31873155064.664726</v>
      </c>
      <c r="AE59" s="333">
        <v>4436686.3954154681</v>
      </c>
    </row>
    <row r="60" spans="1:31" x14ac:dyDescent="0.3">
      <c r="A60" s="2" t="s">
        <v>26</v>
      </c>
      <c r="B60" s="278">
        <f>SUM($AD$37:$AD$74)/SUM($AB$37:$AB$74)</f>
        <v>3015253.6866879002</v>
      </c>
      <c r="C60" s="2" t="s">
        <v>408</v>
      </c>
      <c r="K60" s="21"/>
      <c r="M60" s="332">
        <v>741207.8067337682</v>
      </c>
      <c r="N60" s="324">
        <v>2.2742329416014506E-5</v>
      </c>
      <c r="O60" s="325">
        <v>5000</v>
      </c>
      <c r="P60" s="325">
        <v>736207.8067337682</v>
      </c>
      <c r="Q60" s="348">
        <f t="shared" si="0"/>
        <v>686207.8067337682</v>
      </c>
      <c r="Z60" s="326">
        <v>150</v>
      </c>
      <c r="AA60" s="327">
        <v>155</v>
      </c>
      <c r="AB60" s="327">
        <v>6027</v>
      </c>
      <c r="AC60" s="328">
        <v>1.2054E-2</v>
      </c>
      <c r="AD60" s="278">
        <v>27651411403.374958</v>
      </c>
      <c r="AE60" s="333">
        <v>4587922.9141156394</v>
      </c>
    </row>
    <row r="61" spans="1:31" x14ac:dyDescent="0.3">
      <c r="B61" s="278">
        <f>B60*105%</f>
        <v>3166016.3710222952</v>
      </c>
      <c r="C61" s="2" t="s">
        <v>409</v>
      </c>
      <c r="K61" s="21"/>
      <c r="M61" s="332">
        <v>829866.91010218428</v>
      </c>
      <c r="N61" s="324">
        <v>4.3968503537050729E-5</v>
      </c>
      <c r="O61" s="325">
        <v>5000</v>
      </c>
      <c r="P61" s="325">
        <v>824866.91010218428</v>
      </c>
      <c r="Q61" s="348">
        <f t="shared" si="0"/>
        <v>774866.91010218428</v>
      </c>
      <c r="Z61" s="326">
        <v>155</v>
      </c>
      <c r="AA61" s="327">
        <v>160</v>
      </c>
      <c r="AB61" s="327">
        <v>5121</v>
      </c>
      <c r="AC61" s="328">
        <v>1.0241999999999999E-2</v>
      </c>
      <c r="AD61" s="278">
        <v>24268189678.611454</v>
      </c>
      <c r="AE61" s="333">
        <v>4738955.2194125084</v>
      </c>
    </row>
    <row r="62" spans="1:31" x14ac:dyDescent="0.3">
      <c r="B62" s="278">
        <f>SUM($AD$51:$AD$74)/SUM($AB$51:$AB$74)</f>
        <v>3912039.8073522155</v>
      </c>
      <c r="C62" s="2" t="s">
        <v>410</v>
      </c>
      <c r="K62" s="21"/>
      <c r="M62" s="332">
        <v>1055142.2564788521</v>
      </c>
      <c r="N62" s="324">
        <v>4.8516969420986378E-5</v>
      </c>
      <c r="O62" s="325">
        <v>5000</v>
      </c>
      <c r="P62" s="325">
        <v>1050142.2564788521</v>
      </c>
      <c r="Q62" s="348">
        <f t="shared" si="0"/>
        <v>1000142.2564788521</v>
      </c>
      <c r="Z62" s="326">
        <v>160</v>
      </c>
      <c r="AA62" s="327">
        <v>165</v>
      </c>
      <c r="AB62" s="327">
        <v>4417</v>
      </c>
      <c r="AC62" s="328">
        <v>8.8339999999999998E-3</v>
      </c>
      <c r="AD62" s="278">
        <v>21595763917.144028</v>
      </c>
      <c r="AE62" s="333">
        <v>4889237.9255476631</v>
      </c>
    </row>
    <row r="63" spans="1:31" x14ac:dyDescent="0.3">
      <c r="B63" s="278">
        <f>B62-105%*B60</f>
        <v>746023.43632992031</v>
      </c>
      <c r="C63" s="2" t="s">
        <v>411</v>
      </c>
      <c r="K63" s="21"/>
      <c r="M63" s="332">
        <v>1232415.614960453</v>
      </c>
      <c r="N63" s="324">
        <v>3.1839261181998424E-5</v>
      </c>
      <c r="O63" s="325">
        <v>5000</v>
      </c>
      <c r="P63" s="325">
        <v>1227415.614960453</v>
      </c>
      <c r="Q63" s="348">
        <f t="shared" si="0"/>
        <v>1177415.614960453</v>
      </c>
      <c r="Z63" s="326">
        <v>165</v>
      </c>
      <c r="AA63" s="327">
        <v>170</v>
      </c>
      <c r="AB63" s="327">
        <v>3812</v>
      </c>
      <c r="AC63" s="328">
        <v>7.6239999999999997E-3</v>
      </c>
      <c r="AD63" s="278">
        <v>19206654713.565956</v>
      </c>
      <c r="AE63" s="333">
        <v>5038471.8556049205</v>
      </c>
    </row>
    <row r="64" spans="1:31" x14ac:dyDescent="0.3">
      <c r="B64" s="278">
        <f>B63*SUM($AC$51:$AC$74)</f>
        <v>275607.91422398045</v>
      </c>
      <c r="C64" s="2" t="s">
        <v>412</v>
      </c>
      <c r="K64" s="21"/>
      <c r="M64" s="332">
        <v>1428020.959516003</v>
      </c>
      <c r="N64" s="324">
        <v>1.3645397648920365E-5</v>
      </c>
      <c r="O64" s="325">
        <v>5000</v>
      </c>
      <c r="P64" s="325">
        <v>1423020.959516003</v>
      </c>
      <c r="Q64" s="348">
        <f t="shared" si="0"/>
        <v>1373020.959516003</v>
      </c>
      <c r="Z64" s="326">
        <v>170</v>
      </c>
      <c r="AA64" s="327">
        <v>175</v>
      </c>
      <c r="AB64" s="327">
        <v>3293</v>
      </c>
      <c r="AC64" s="328">
        <v>6.5859999999999998E-3</v>
      </c>
      <c r="AD64" s="278">
        <v>17098991478.497635</v>
      </c>
      <c r="AE64" s="333">
        <v>5192527.0204973081</v>
      </c>
    </row>
    <row r="65" spans="1:31" x14ac:dyDescent="0.3">
      <c r="B65" s="279">
        <f>B64/(1-3%-3%)</f>
        <v>293199.90874891536</v>
      </c>
      <c r="C65" s="2" t="s">
        <v>407</v>
      </c>
      <c r="K65" s="21"/>
      <c r="M65" s="332">
        <v>1687070.6872623065</v>
      </c>
      <c r="N65" s="324">
        <v>6.1484658830934791E-6</v>
      </c>
      <c r="O65" s="325">
        <v>5000</v>
      </c>
      <c r="P65" s="325">
        <v>1682070.6872623065</v>
      </c>
      <c r="Q65" s="348">
        <f t="shared" si="0"/>
        <v>1632070.6872623065</v>
      </c>
      <c r="Z65" s="326">
        <v>175</v>
      </c>
      <c r="AA65" s="327">
        <v>180</v>
      </c>
      <c r="AB65" s="327">
        <v>2796</v>
      </c>
      <c r="AC65" s="328">
        <v>5.5919999999999997E-3</v>
      </c>
      <c r="AD65" s="278">
        <v>14930874933.105654</v>
      </c>
      <c r="AE65" s="333">
        <v>5340084.0247158995</v>
      </c>
    </row>
    <row r="66" spans="1:31" x14ac:dyDescent="0.3">
      <c r="K66" s="21"/>
      <c r="M66" s="332">
        <v>1927982.0428046412</v>
      </c>
      <c r="N66" s="324">
        <v>1.4258350029550115E-6</v>
      </c>
      <c r="O66" s="325">
        <v>5000</v>
      </c>
      <c r="P66" s="325">
        <v>1922982.0428046412</v>
      </c>
      <c r="Q66" s="348">
        <f t="shared" si="0"/>
        <v>1872982.0428046412</v>
      </c>
      <c r="Z66" s="326">
        <v>180</v>
      </c>
      <c r="AA66" s="327">
        <v>185</v>
      </c>
      <c r="AB66" s="327">
        <v>2243</v>
      </c>
      <c r="AC66" s="328">
        <v>4.4860000000000004E-3</v>
      </c>
      <c r="AD66" s="278">
        <v>12314550233.267616</v>
      </c>
      <c r="AE66" s="333">
        <v>5490214.1031063823</v>
      </c>
    </row>
    <row r="67" spans="1:31" x14ac:dyDescent="0.3">
      <c r="C67" s="17"/>
      <c r="D67" s="17"/>
      <c r="E67" s="17"/>
      <c r="F67" s="17"/>
      <c r="G67" s="17"/>
      <c r="H67" s="17"/>
      <c r="I67" s="17"/>
      <c r="J67" s="17"/>
      <c r="K67" s="21"/>
      <c r="M67" s="345" t="s">
        <v>224</v>
      </c>
      <c r="N67" s="346"/>
      <c r="O67" s="346"/>
      <c r="P67" s="347">
        <v>6020.2849626939842</v>
      </c>
      <c r="Q67" s="347">
        <f>SUMPRODUCT(N37:N66,Q37:Q66)</f>
        <v>1322.6549026926302</v>
      </c>
      <c r="Z67" s="326">
        <v>185</v>
      </c>
      <c r="AA67" s="327">
        <v>190</v>
      </c>
      <c r="AB67" s="327">
        <v>1663</v>
      </c>
      <c r="AC67" s="328">
        <v>3.326E-3</v>
      </c>
      <c r="AD67" s="278">
        <v>9383660289.108633</v>
      </c>
      <c r="AE67" s="333">
        <v>5642609.9152787933</v>
      </c>
    </row>
    <row r="68" spans="1:31" x14ac:dyDescent="0.3">
      <c r="A68" s="3" t="s">
        <v>2</v>
      </c>
      <c r="B68" s="3"/>
      <c r="C68" s="3"/>
      <c r="D68" s="3"/>
      <c r="E68" s="3"/>
      <c r="F68" s="3"/>
      <c r="G68" s="3"/>
      <c r="H68" s="3"/>
      <c r="I68" s="3"/>
      <c r="J68" s="3"/>
      <c r="K68" s="3"/>
      <c r="M68" s="345" t="s">
        <v>225</v>
      </c>
      <c r="N68" s="346"/>
      <c r="O68" s="346"/>
      <c r="P68" s="347">
        <v>3010142.4813469923</v>
      </c>
      <c r="Q68" s="349">
        <f>Q67*500</f>
        <v>661327.45134631509</v>
      </c>
      <c r="Z68" s="326">
        <v>190</v>
      </c>
      <c r="AA68" s="327">
        <v>195</v>
      </c>
      <c r="AB68" s="327">
        <v>1058</v>
      </c>
      <c r="AC68" s="328">
        <v>2.1159999999999998E-3</v>
      </c>
      <c r="AD68" s="278">
        <v>6129998047.45119</v>
      </c>
      <c r="AE68" s="333">
        <v>5793949.0051523531</v>
      </c>
    </row>
    <row r="69" spans="1:31" x14ac:dyDescent="0.3">
      <c r="Z69" s="326">
        <v>195</v>
      </c>
      <c r="AA69" s="327">
        <v>200</v>
      </c>
      <c r="AB69" s="327">
        <v>487</v>
      </c>
      <c r="AC69" s="328">
        <v>9.7400000000000004E-4</v>
      </c>
      <c r="AD69" s="278">
        <v>2894136133.6170115</v>
      </c>
      <c r="AE69" s="333">
        <v>5942784.6686180932</v>
      </c>
    </row>
    <row r="70" spans="1:31" x14ac:dyDescent="0.3">
      <c r="Z70" s="326">
        <v>200</v>
      </c>
      <c r="AA70" s="327">
        <v>205</v>
      </c>
      <c r="AB70" s="327">
        <v>401</v>
      </c>
      <c r="AC70" s="328">
        <v>8.0199999999999998E-4</v>
      </c>
      <c r="AD70" s="278">
        <v>2444406553.8040938</v>
      </c>
      <c r="AE70" s="333">
        <v>6095776.9421548471</v>
      </c>
    </row>
    <row r="71" spans="1:31" x14ac:dyDescent="0.3">
      <c r="Z71" s="326">
        <v>205</v>
      </c>
      <c r="AA71" s="327">
        <v>210</v>
      </c>
      <c r="AB71" s="327">
        <v>325</v>
      </c>
      <c r="AC71" s="328">
        <v>6.4999999999999997E-4</v>
      </c>
      <c r="AD71" s="278">
        <v>2030493252.5852509</v>
      </c>
      <c r="AE71" s="333">
        <v>6247671.5464161569</v>
      </c>
    </row>
    <row r="72" spans="1:31" x14ac:dyDescent="0.3">
      <c r="Z72" s="326">
        <v>210</v>
      </c>
      <c r="AA72" s="327">
        <v>215</v>
      </c>
      <c r="AB72" s="327">
        <v>260</v>
      </c>
      <c r="AC72" s="328">
        <v>5.1999999999999995E-4</v>
      </c>
      <c r="AD72" s="278">
        <v>1662909886.5918076</v>
      </c>
      <c r="AE72" s="333">
        <v>6395807.2561223367</v>
      </c>
    </row>
    <row r="73" spans="1:31" x14ac:dyDescent="0.3">
      <c r="Z73" s="326">
        <v>215</v>
      </c>
      <c r="AA73" s="327">
        <v>220</v>
      </c>
      <c r="AB73" s="327">
        <v>202</v>
      </c>
      <c r="AC73" s="328">
        <v>4.0400000000000001E-4</v>
      </c>
      <c r="AD73" s="278">
        <v>1322301152.7095857</v>
      </c>
      <c r="AE73" s="333">
        <v>6546045.3104434935</v>
      </c>
    </row>
    <row r="74" spans="1:31" x14ac:dyDescent="0.3">
      <c r="Z74" s="340">
        <v>220</v>
      </c>
      <c r="AA74" s="341">
        <v>225</v>
      </c>
      <c r="AB74" s="341">
        <v>153</v>
      </c>
      <c r="AC74" s="342">
        <v>3.0600000000000001E-4</v>
      </c>
      <c r="AD74" s="343">
        <v>1024423627.6697538</v>
      </c>
      <c r="AE74" s="344">
        <v>6695579.2658153847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8AF9-308D-43DB-9C9F-CCA65F018BF9}">
  <dimension ref="A1:X59"/>
  <sheetViews>
    <sheetView zoomScale="90" zoomScaleNormal="90" workbookViewId="0"/>
  </sheetViews>
  <sheetFormatPr defaultColWidth="10.44140625" defaultRowHeight="15.6" x14ac:dyDescent="0.3"/>
  <cols>
    <col min="1" max="1" width="17.44140625" style="147" customWidth="1"/>
    <col min="2" max="2" width="31.44140625" style="147" customWidth="1"/>
    <col min="3" max="3" width="25.77734375" style="147" customWidth="1"/>
    <col min="4" max="4" width="15" style="147" customWidth="1"/>
    <col min="5" max="5" width="28.109375" style="147" customWidth="1"/>
    <col min="6" max="9" width="14.44140625" style="147" customWidth="1"/>
    <col min="10" max="10" width="10.44140625" style="147"/>
    <col min="11" max="11" width="3.77734375" style="147" customWidth="1"/>
    <col min="12" max="12" width="10.44140625" style="147"/>
    <col min="13" max="13" width="24.44140625" style="147" customWidth="1"/>
    <col min="14" max="14" width="10.44140625" style="147"/>
    <col min="15" max="15" width="13" style="147" customWidth="1"/>
    <col min="16" max="16" width="12" style="147" customWidth="1"/>
    <col min="17" max="17" width="11.77734375" style="147" customWidth="1"/>
    <col min="18" max="18" width="10.44140625" style="147"/>
    <col min="19" max="19" width="15" style="147" customWidth="1"/>
    <col min="20" max="20" width="12.44140625" style="147" customWidth="1"/>
    <col min="21" max="23" width="10.44140625" style="147"/>
    <col min="24" max="24" width="14.33203125" style="147" customWidth="1"/>
    <col min="25" max="16384" width="10.44140625" style="147"/>
  </cols>
  <sheetData>
    <row r="1" spans="1:15" x14ac:dyDescent="0.3">
      <c r="A1" s="189" t="s">
        <v>260</v>
      </c>
      <c r="B1" s="151"/>
      <c r="C1" s="151"/>
      <c r="D1" s="151"/>
      <c r="E1" s="151"/>
      <c r="F1" s="151"/>
      <c r="G1" s="151"/>
      <c r="H1" s="151"/>
      <c r="I1" s="151"/>
      <c r="J1" s="151"/>
      <c r="K1" s="149"/>
      <c r="L1" s="2" t="s">
        <v>345</v>
      </c>
    </row>
    <row r="2" spans="1:15" x14ac:dyDescent="0.3">
      <c r="K2" s="149"/>
      <c r="L2" s="2" t="s">
        <v>414</v>
      </c>
      <c r="M2" s="2" t="s">
        <v>283</v>
      </c>
    </row>
    <row r="3" spans="1:15" x14ac:dyDescent="0.3">
      <c r="A3" s="151" t="s">
        <v>74</v>
      </c>
      <c r="B3" s="151"/>
      <c r="C3" s="151"/>
      <c r="D3" s="151"/>
      <c r="E3" s="151"/>
      <c r="F3" s="151"/>
      <c r="G3" s="151"/>
      <c r="H3" s="151"/>
      <c r="I3" s="151"/>
      <c r="J3" s="151"/>
      <c r="K3" s="149"/>
    </row>
    <row r="4" spans="1:15" x14ac:dyDescent="0.3">
      <c r="A4" s="151"/>
      <c r="B4" s="151"/>
      <c r="C4" s="151"/>
      <c r="D4" s="151"/>
      <c r="E4" s="151"/>
      <c r="F4" s="151"/>
      <c r="G4" s="151"/>
      <c r="H4" s="151"/>
      <c r="I4" s="151"/>
      <c r="J4" s="151"/>
      <c r="K4" s="149"/>
      <c r="L4" s="351" t="s">
        <v>21</v>
      </c>
      <c r="M4" s="152" t="s">
        <v>302</v>
      </c>
    </row>
    <row r="5" spans="1:15" ht="31.2" x14ac:dyDescent="0.3">
      <c r="A5" s="151"/>
      <c r="B5" s="188" t="s">
        <v>65</v>
      </c>
      <c r="C5" s="188" t="s">
        <v>75</v>
      </c>
      <c r="D5" s="187" t="s">
        <v>235</v>
      </c>
      <c r="E5" s="151"/>
      <c r="F5" s="151"/>
      <c r="G5" s="151"/>
      <c r="H5" s="151"/>
      <c r="I5" s="151"/>
      <c r="J5" s="151"/>
      <c r="K5" s="149"/>
      <c r="M5" s="463" t="s">
        <v>301</v>
      </c>
      <c r="N5" s="463"/>
      <c r="O5" s="463"/>
    </row>
    <row r="6" spans="1:15" x14ac:dyDescent="0.3">
      <c r="A6" s="151"/>
      <c r="B6" s="186">
        <v>0</v>
      </c>
      <c r="C6" s="185">
        <v>0.05</v>
      </c>
      <c r="D6" s="182">
        <v>0</v>
      </c>
      <c r="E6" s="181"/>
      <c r="F6" s="181"/>
      <c r="G6" s="151"/>
      <c r="H6" s="151"/>
      <c r="I6" s="151"/>
      <c r="J6" s="151"/>
      <c r="K6" s="149"/>
      <c r="O6" s="177">
        <f t="shared" ref="O6:O13" si="0">MAX(0,D6-150)</f>
        <v>0</v>
      </c>
    </row>
    <row r="7" spans="1:15" x14ac:dyDescent="0.3">
      <c r="A7" s="151"/>
      <c r="B7" s="182" t="s">
        <v>67</v>
      </c>
      <c r="C7" s="183">
        <v>0.05</v>
      </c>
      <c r="D7" s="182">
        <v>15</v>
      </c>
      <c r="E7" s="181"/>
      <c r="F7" s="151"/>
      <c r="G7" s="151"/>
      <c r="H7" s="151"/>
      <c r="I7" s="151"/>
      <c r="J7" s="151"/>
      <c r="K7" s="149"/>
      <c r="O7" s="177">
        <f t="shared" si="0"/>
        <v>0</v>
      </c>
    </row>
    <row r="8" spans="1:15" x14ac:dyDescent="0.3">
      <c r="A8" s="151"/>
      <c r="B8" s="182" t="s">
        <v>68</v>
      </c>
      <c r="C8" s="183">
        <v>0.14000000000000001</v>
      </c>
      <c r="D8" s="182">
        <v>120</v>
      </c>
      <c r="E8" s="181"/>
      <c r="F8" s="151"/>
      <c r="G8" s="151"/>
      <c r="H8" s="151"/>
      <c r="I8" s="151"/>
      <c r="J8" s="151"/>
      <c r="K8" s="149"/>
      <c r="O8" s="177">
        <f t="shared" si="0"/>
        <v>0</v>
      </c>
    </row>
    <row r="9" spans="1:15" x14ac:dyDescent="0.3">
      <c r="A9" s="151"/>
      <c r="B9" s="184" t="s">
        <v>69</v>
      </c>
      <c r="C9" s="183">
        <v>0.2</v>
      </c>
      <c r="D9" s="182">
        <v>400</v>
      </c>
      <c r="E9" s="181"/>
      <c r="F9" s="181"/>
      <c r="G9" s="151"/>
      <c r="H9" s="151"/>
      <c r="I9" s="151"/>
      <c r="J9" s="151"/>
      <c r="K9" s="149"/>
      <c r="O9" s="177">
        <f t="shared" si="0"/>
        <v>250</v>
      </c>
    </row>
    <row r="10" spans="1:15" x14ac:dyDescent="0.3">
      <c r="A10" s="151"/>
      <c r="B10" s="184" t="s">
        <v>70</v>
      </c>
      <c r="C10" s="183">
        <v>0.25</v>
      </c>
      <c r="D10" s="182">
        <v>800</v>
      </c>
      <c r="E10" s="181"/>
      <c r="F10" s="181"/>
      <c r="G10" s="151"/>
      <c r="H10" s="151"/>
      <c r="I10" s="151"/>
      <c r="J10" s="151"/>
      <c r="K10" s="149"/>
      <c r="O10" s="177">
        <f t="shared" si="0"/>
        <v>650</v>
      </c>
    </row>
    <row r="11" spans="1:15" x14ac:dyDescent="0.3">
      <c r="A11" s="151"/>
      <c r="B11" s="184" t="s">
        <v>71</v>
      </c>
      <c r="C11" s="183">
        <v>0.2</v>
      </c>
      <c r="D11" s="182">
        <v>1400</v>
      </c>
      <c r="E11" s="181"/>
      <c r="F11" s="181"/>
      <c r="G11" s="151"/>
      <c r="H11" s="151"/>
      <c r="I11" s="151"/>
      <c r="J11" s="151"/>
      <c r="K11" s="149"/>
      <c r="O11" s="177">
        <f t="shared" si="0"/>
        <v>1250</v>
      </c>
    </row>
    <row r="12" spans="1:15" x14ac:dyDescent="0.3">
      <c r="A12" s="151"/>
      <c r="B12" s="184" t="s">
        <v>72</v>
      </c>
      <c r="C12" s="183">
        <v>0.1</v>
      </c>
      <c r="D12" s="182">
        <v>2500</v>
      </c>
      <c r="E12" s="181"/>
      <c r="F12" s="181"/>
      <c r="G12" s="151"/>
      <c r="H12" s="151"/>
      <c r="I12" s="151"/>
      <c r="J12" s="151"/>
      <c r="K12" s="149"/>
      <c r="O12" s="177">
        <f t="shared" si="0"/>
        <v>2350</v>
      </c>
    </row>
    <row r="13" spans="1:15" x14ac:dyDescent="0.3">
      <c r="A13" s="151"/>
      <c r="B13" s="184" t="s">
        <v>73</v>
      </c>
      <c r="C13" s="183">
        <v>0.01</v>
      </c>
      <c r="D13" s="182">
        <v>4100</v>
      </c>
      <c r="E13" s="181"/>
      <c r="F13" s="181"/>
      <c r="G13" s="151"/>
      <c r="H13" s="151"/>
      <c r="I13" s="151"/>
      <c r="J13" s="151"/>
      <c r="K13" s="149"/>
      <c r="O13" s="177">
        <f t="shared" si="0"/>
        <v>3950</v>
      </c>
    </row>
    <row r="14" spans="1:15" x14ac:dyDescent="0.3">
      <c r="A14" s="151"/>
      <c r="B14" s="180"/>
      <c r="C14" s="179"/>
      <c r="D14" s="178"/>
      <c r="E14" s="151"/>
      <c r="F14" s="151"/>
      <c r="G14" s="151"/>
      <c r="H14" s="151"/>
      <c r="I14" s="151"/>
      <c r="J14" s="151"/>
      <c r="K14" s="149"/>
      <c r="O14" s="177"/>
    </row>
    <row r="15" spans="1:15" x14ac:dyDescent="0.3">
      <c r="A15" s="153" t="s">
        <v>21</v>
      </c>
      <c r="B15" s="151" t="s">
        <v>30</v>
      </c>
      <c r="C15" s="151" t="s">
        <v>234</v>
      </c>
      <c r="D15" s="151"/>
      <c r="E15" s="151"/>
      <c r="F15" s="151"/>
      <c r="G15" s="151"/>
      <c r="H15" s="151"/>
      <c r="I15" s="151"/>
      <c r="J15" s="151"/>
      <c r="K15" s="149"/>
    </row>
    <row r="16" spans="1:15" x14ac:dyDescent="0.3">
      <c r="A16" s="151"/>
      <c r="B16" s="176" t="s">
        <v>12</v>
      </c>
      <c r="C16" s="176"/>
      <c r="D16" s="151"/>
      <c r="E16" s="151"/>
      <c r="F16" s="151"/>
      <c r="G16" s="151"/>
      <c r="H16" s="151"/>
      <c r="I16" s="151"/>
      <c r="J16" s="151"/>
      <c r="K16" s="149"/>
    </row>
    <row r="17" spans="1:21" x14ac:dyDescent="0.3">
      <c r="A17" s="175"/>
      <c r="B17" s="175"/>
      <c r="C17" s="151"/>
      <c r="D17" s="151"/>
      <c r="E17" s="151"/>
      <c r="F17" s="151"/>
      <c r="G17" s="151"/>
      <c r="H17" s="151"/>
      <c r="I17" s="151"/>
      <c r="J17" s="151"/>
      <c r="K17" s="149"/>
    </row>
    <row r="18" spans="1:21" x14ac:dyDescent="0.3">
      <c r="B18" s="150"/>
      <c r="K18" s="149"/>
      <c r="M18" s="147" t="s">
        <v>300</v>
      </c>
    </row>
    <row r="19" spans="1:21" x14ac:dyDescent="0.3">
      <c r="K19" s="149"/>
      <c r="M19" s="147" t="s">
        <v>299</v>
      </c>
      <c r="P19" s="147">
        <f>SUMPRODUCT(C6:C13,D6:D13)</f>
        <v>868.55</v>
      </c>
    </row>
    <row r="20" spans="1:21" x14ac:dyDescent="0.3">
      <c r="K20" s="149"/>
    </row>
    <row r="21" spans="1:21" x14ac:dyDescent="0.3">
      <c r="K21" s="149"/>
      <c r="M21" s="147" t="s">
        <v>298</v>
      </c>
    </row>
    <row r="22" spans="1:21" x14ac:dyDescent="0.3">
      <c r="K22" s="149"/>
      <c r="M22" s="147" t="s">
        <v>297</v>
      </c>
      <c r="P22" s="174">
        <f>SUMPRODUCT(O6:O13,C6:C13)</f>
        <v>737</v>
      </c>
    </row>
    <row r="23" spans="1:21" x14ac:dyDescent="0.3">
      <c r="K23" s="149"/>
    </row>
    <row r="24" spans="1:21" x14ac:dyDescent="0.3">
      <c r="K24" s="149"/>
      <c r="M24" s="147" t="s">
        <v>296</v>
      </c>
    </row>
    <row r="25" spans="1:21" x14ac:dyDescent="0.3">
      <c r="K25" s="149"/>
      <c r="M25" s="152" t="s">
        <v>295</v>
      </c>
      <c r="P25" s="358">
        <f>P19-P22</f>
        <v>131.54999999999995</v>
      </c>
    </row>
    <row r="26" spans="1:21" x14ac:dyDescent="0.3">
      <c r="K26" s="149"/>
      <c r="M26" s="152"/>
      <c r="P26" s="167"/>
    </row>
    <row r="27" spans="1:21" x14ac:dyDescent="0.3">
      <c r="K27" s="149"/>
      <c r="M27" s="152" t="s">
        <v>294</v>
      </c>
      <c r="P27" s="167"/>
    </row>
    <row r="28" spans="1:21" x14ac:dyDescent="0.3">
      <c r="K28" s="149"/>
      <c r="M28" s="152"/>
      <c r="P28" s="167"/>
    </row>
    <row r="29" spans="1:21" x14ac:dyDescent="0.3">
      <c r="K29" s="149"/>
      <c r="M29" s="352" t="s">
        <v>91</v>
      </c>
      <c r="N29" s="352" t="s">
        <v>92</v>
      </c>
      <c r="O29" s="352"/>
      <c r="P29" s="352" t="s">
        <v>93</v>
      </c>
      <c r="Q29" s="352" t="s">
        <v>94</v>
      </c>
      <c r="R29" s="352"/>
      <c r="S29" s="352" t="s">
        <v>95</v>
      </c>
      <c r="T29" s="352" t="s">
        <v>96</v>
      </c>
      <c r="U29" s="352" t="s">
        <v>97</v>
      </c>
    </row>
    <row r="30" spans="1:21" ht="93.6" x14ac:dyDescent="0.3">
      <c r="K30" s="149"/>
      <c r="M30" s="352" t="s">
        <v>98</v>
      </c>
      <c r="N30" s="352" t="s">
        <v>75</v>
      </c>
      <c r="O30" s="352" t="s">
        <v>66</v>
      </c>
      <c r="P30" s="352" t="s">
        <v>99</v>
      </c>
      <c r="Q30" s="352" t="s">
        <v>100</v>
      </c>
      <c r="R30" s="352" t="s">
        <v>101</v>
      </c>
      <c r="S30" s="352" t="s">
        <v>102</v>
      </c>
      <c r="T30" s="352" t="s">
        <v>103</v>
      </c>
      <c r="U30" s="352" t="s">
        <v>104</v>
      </c>
    </row>
    <row r="31" spans="1:21" x14ac:dyDescent="0.3">
      <c r="K31" s="149"/>
      <c r="M31" s="173">
        <v>0</v>
      </c>
      <c r="N31" s="172">
        <v>0.05</v>
      </c>
      <c r="O31" s="168">
        <v>0</v>
      </c>
      <c r="P31" s="353">
        <v>0</v>
      </c>
      <c r="Q31" s="169">
        <f t="shared" ref="Q31:Q37" si="1">Q32+N31</f>
        <v>1</v>
      </c>
      <c r="R31" s="171">
        <v>0</v>
      </c>
      <c r="S31" s="168">
        <f t="shared" ref="S31:S37" si="2">S32+P31</f>
        <v>868.55</v>
      </c>
      <c r="T31" s="354">
        <f>S32-Q32*R31</f>
        <v>868.55</v>
      </c>
      <c r="U31" s="355">
        <f>R39-T31</f>
        <v>0</v>
      </c>
    </row>
    <row r="32" spans="1:21" x14ac:dyDescent="0.3">
      <c r="K32" s="149"/>
      <c r="M32" s="171" t="s">
        <v>67</v>
      </c>
      <c r="N32" s="169">
        <v>0.05</v>
      </c>
      <c r="O32" s="168">
        <v>15</v>
      </c>
      <c r="P32" s="353">
        <f t="shared" ref="P32:P38" si="3">O32*N32</f>
        <v>0.75</v>
      </c>
      <c r="Q32" s="169">
        <f t="shared" si="1"/>
        <v>0.95000000000000007</v>
      </c>
      <c r="R32" s="171">
        <v>50</v>
      </c>
      <c r="S32" s="168">
        <f t="shared" si="2"/>
        <v>868.55</v>
      </c>
      <c r="T32" s="354">
        <f>S33-Q33*R32</f>
        <v>822.8</v>
      </c>
      <c r="U32" s="355">
        <f>W55*R55</f>
        <v>0</v>
      </c>
    </row>
    <row r="33" spans="1:21" x14ac:dyDescent="0.3">
      <c r="K33" s="149"/>
      <c r="M33" s="171" t="s">
        <v>68</v>
      </c>
      <c r="N33" s="169">
        <v>0.14000000000000001</v>
      </c>
      <c r="O33" s="168">
        <v>120</v>
      </c>
      <c r="P33" s="353">
        <f t="shared" si="3"/>
        <v>16.8</v>
      </c>
      <c r="Q33" s="169">
        <f t="shared" si="1"/>
        <v>0.9</v>
      </c>
      <c r="R33" s="171">
        <v>150</v>
      </c>
      <c r="S33" s="168">
        <f t="shared" si="2"/>
        <v>867.8</v>
      </c>
      <c r="T33" s="354">
        <f>S34-Q34*R33</f>
        <v>737</v>
      </c>
      <c r="U33" s="355">
        <f>R39-T33</f>
        <v>131.54999999999995</v>
      </c>
    </row>
    <row r="34" spans="1:21" x14ac:dyDescent="0.3">
      <c r="K34" s="149"/>
      <c r="M34" s="170" t="s">
        <v>69</v>
      </c>
      <c r="N34" s="169">
        <v>0.2</v>
      </c>
      <c r="O34" s="168">
        <v>400</v>
      </c>
      <c r="P34" s="353">
        <f t="shared" si="3"/>
        <v>80</v>
      </c>
      <c r="Q34" s="169">
        <f t="shared" si="1"/>
        <v>0.76</v>
      </c>
      <c r="R34" s="171">
        <v>500</v>
      </c>
      <c r="S34" s="168">
        <f t="shared" si="2"/>
        <v>851</v>
      </c>
      <c r="T34" s="354">
        <f>S35-Q35*R34</f>
        <v>491</v>
      </c>
      <c r="U34" s="355">
        <f>R39-T34</f>
        <v>377.54999999999995</v>
      </c>
    </row>
    <row r="35" spans="1:21" x14ac:dyDescent="0.3">
      <c r="K35" s="149"/>
      <c r="M35" s="170" t="s">
        <v>70</v>
      </c>
      <c r="N35" s="169">
        <v>0.25</v>
      </c>
      <c r="O35" s="168">
        <v>800</v>
      </c>
      <c r="P35" s="353">
        <f t="shared" si="3"/>
        <v>200</v>
      </c>
      <c r="Q35" s="169">
        <f t="shared" si="1"/>
        <v>0.56000000000000005</v>
      </c>
      <c r="R35" s="171">
        <v>1000</v>
      </c>
      <c r="S35" s="168">
        <f t="shared" si="2"/>
        <v>771</v>
      </c>
      <c r="T35" s="354"/>
      <c r="U35" s="355"/>
    </row>
    <row r="36" spans="1:21" x14ac:dyDescent="0.3">
      <c r="K36" s="149"/>
      <c r="M36" s="170" t="s">
        <v>71</v>
      </c>
      <c r="N36" s="169">
        <v>0.2</v>
      </c>
      <c r="O36" s="168">
        <v>1400</v>
      </c>
      <c r="P36" s="353">
        <f t="shared" si="3"/>
        <v>280</v>
      </c>
      <c r="Q36" s="169">
        <f t="shared" si="1"/>
        <v>0.31</v>
      </c>
      <c r="R36" s="171">
        <v>2000</v>
      </c>
      <c r="S36" s="168">
        <f t="shared" si="2"/>
        <v>571</v>
      </c>
      <c r="T36" s="354"/>
      <c r="U36" s="355"/>
    </row>
    <row r="37" spans="1:21" x14ac:dyDescent="0.3">
      <c r="K37" s="149"/>
      <c r="M37" s="170" t="s">
        <v>72</v>
      </c>
      <c r="N37" s="169">
        <v>0.1</v>
      </c>
      <c r="O37" s="168">
        <v>2500</v>
      </c>
      <c r="P37" s="353">
        <f t="shared" si="3"/>
        <v>250</v>
      </c>
      <c r="Q37" s="169">
        <f t="shared" si="1"/>
        <v>0.11</v>
      </c>
      <c r="R37" s="171">
        <v>4000</v>
      </c>
      <c r="S37" s="168">
        <f t="shared" si="2"/>
        <v>291</v>
      </c>
      <c r="T37" s="354"/>
      <c r="U37" s="355"/>
    </row>
    <row r="38" spans="1:21" x14ac:dyDescent="0.3">
      <c r="K38" s="149"/>
      <c r="M38" s="170" t="s">
        <v>73</v>
      </c>
      <c r="N38" s="169">
        <v>0.01</v>
      </c>
      <c r="O38" s="168">
        <v>4100</v>
      </c>
      <c r="P38" s="353">
        <f t="shared" si="3"/>
        <v>41</v>
      </c>
      <c r="Q38" s="169">
        <f>N38</f>
        <v>0.01</v>
      </c>
      <c r="R38" s="171"/>
      <c r="S38" s="168">
        <f>P38</f>
        <v>41</v>
      </c>
      <c r="T38" s="354"/>
      <c r="U38" s="355"/>
    </row>
    <row r="39" spans="1:21" ht="31.2" x14ac:dyDescent="0.3">
      <c r="K39" s="149"/>
      <c r="N39" s="356" t="s">
        <v>105</v>
      </c>
      <c r="R39" s="357">
        <f>SUMPRODUCT(N31:N38,O31:O38)</f>
        <v>868.55</v>
      </c>
    </row>
    <row r="40" spans="1:21" x14ac:dyDescent="0.3">
      <c r="K40" s="149"/>
      <c r="M40" s="152" t="s">
        <v>106</v>
      </c>
      <c r="O40" s="359">
        <f>U33</f>
        <v>131.54999999999995</v>
      </c>
    </row>
    <row r="41" spans="1:21" x14ac:dyDescent="0.3">
      <c r="K41" s="149"/>
      <c r="M41" s="152"/>
      <c r="P41" s="167"/>
    </row>
    <row r="42" spans="1:21" x14ac:dyDescent="0.3">
      <c r="K42" s="149"/>
    </row>
    <row r="43" spans="1:21" x14ac:dyDescent="0.3">
      <c r="A43" s="151" t="s">
        <v>31</v>
      </c>
      <c r="B43" s="151"/>
      <c r="C43" s="151"/>
      <c r="D43" s="151"/>
      <c r="E43" s="151"/>
      <c r="F43" s="151"/>
      <c r="G43" s="151"/>
      <c r="H43" s="151"/>
      <c r="I43" s="151"/>
      <c r="J43" s="151"/>
      <c r="K43" s="149"/>
    </row>
    <row r="44" spans="1:21" x14ac:dyDescent="0.3">
      <c r="A44" s="151"/>
      <c r="B44" s="151"/>
      <c r="C44" s="151"/>
      <c r="D44" s="151"/>
      <c r="E44" s="151"/>
      <c r="F44" s="151"/>
      <c r="G44" s="151"/>
      <c r="H44" s="151"/>
      <c r="I44" s="151"/>
      <c r="J44" s="151"/>
      <c r="K44" s="149"/>
      <c r="L44" s="351" t="s">
        <v>15</v>
      </c>
    </row>
    <row r="45" spans="1:21" ht="31.2" x14ac:dyDescent="0.3">
      <c r="A45" s="151"/>
      <c r="B45" s="166" t="s">
        <v>80</v>
      </c>
      <c r="C45" s="161" t="s">
        <v>81</v>
      </c>
      <c r="D45" s="161" t="s">
        <v>82</v>
      </c>
      <c r="E45" s="161" t="s">
        <v>83</v>
      </c>
      <c r="F45" s="161" t="s">
        <v>84</v>
      </c>
      <c r="G45" s="161" t="s">
        <v>19</v>
      </c>
      <c r="H45" s="151"/>
      <c r="I45" s="151"/>
      <c r="J45" s="151"/>
      <c r="K45" s="149"/>
      <c r="M45" s="147" t="s">
        <v>293</v>
      </c>
    </row>
    <row r="46" spans="1:21" x14ac:dyDescent="0.3">
      <c r="A46" s="151"/>
      <c r="B46" s="158" t="s">
        <v>13</v>
      </c>
      <c r="C46" s="157">
        <v>55</v>
      </c>
      <c r="D46" s="154">
        <v>0.75</v>
      </c>
      <c r="E46" s="154">
        <v>0.7</v>
      </c>
      <c r="F46" s="154">
        <v>0</v>
      </c>
      <c r="G46" s="154">
        <v>0.1</v>
      </c>
      <c r="H46" s="151"/>
      <c r="I46" s="151"/>
      <c r="J46" s="151"/>
      <c r="K46" s="149"/>
      <c r="M46" s="147" t="s">
        <v>89</v>
      </c>
    </row>
    <row r="47" spans="1:21" x14ac:dyDescent="0.3">
      <c r="A47" s="151"/>
      <c r="B47" s="158" t="s">
        <v>85</v>
      </c>
      <c r="C47" s="157">
        <v>205</v>
      </c>
      <c r="D47" s="154">
        <v>0.25</v>
      </c>
      <c r="E47" s="154">
        <v>0.15</v>
      </c>
      <c r="F47" s="154">
        <v>0.25</v>
      </c>
      <c r="G47" s="154">
        <v>0.15</v>
      </c>
      <c r="H47" s="151"/>
      <c r="I47" s="151"/>
      <c r="J47" s="151"/>
      <c r="K47" s="149"/>
      <c r="M47" s="147" t="s">
        <v>90</v>
      </c>
    </row>
    <row r="48" spans="1:21" x14ac:dyDescent="0.3">
      <c r="A48" s="151"/>
      <c r="B48" s="158" t="s">
        <v>86</v>
      </c>
      <c r="C48" s="157">
        <v>250</v>
      </c>
      <c r="D48" s="154">
        <v>0.15</v>
      </c>
      <c r="E48" s="154">
        <v>0.1</v>
      </c>
      <c r="F48" s="154">
        <v>0</v>
      </c>
      <c r="G48" s="154">
        <v>0.3</v>
      </c>
      <c r="H48" s="151"/>
      <c r="I48" s="151"/>
      <c r="J48" s="151"/>
      <c r="K48" s="149"/>
    </row>
    <row r="49" spans="1:24" x14ac:dyDescent="0.3">
      <c r="A49" s="151"/>
      <c r="B49" s="158" t="s">
        <v>87</v>
      </c>
      <c r="C49" s="157">
        <v>2700</v>
      </c>
      <c r="D49" s="154">
        <v>0.1</v>
      </c>
      <c r="E49" s="154">
        <v>0.05</v>
      </c>
      <c r="F49" s="154">
        <v>0.1</v>
      </c>
      <c r="G49" s="154">
        <v>0.2</v>
      </c>
      <c r="H49" s="151"/>
      <c r="I49" s="151"/>
      <c r="J49" s="151"/>
      <c r="K49" s="149"/>
    </row>
    <row r="50" spans="1:24" ht="46.8" x14ac:dyDescent="0.3">
      <c r="A50" s="151"/>
      <c r="B50" s="151"/>
      <c r="C50" s="151"/>
      <c r="D50" s="151"/>
      <c r="E50" s="151"/>
      <c r="F50" s="151"/>
      <c r="G50" s="151"/>
      <c r="H50" s="151"/>
      <c r="I50" s="151"/>
      <c r="J50" s="151"/>
      <c r="K50" s="149"/>
      <c r="M50" s="166" t="s">
        <v>80</v>
      </c>
      <c r="N50" s="161" t="s">
        <v>81</v>
      </c>
      <c r="O50" s="161" t="s">
        <v>82</v>
      </c>
      <c r="P50" s="162" t="s">
        <v>107</v>
      </c>
      <c r="Q50" s="165" t="s">
        <v>292</v>
      </c>
      <c r="R50" s="162" t="s">
        <v>291</v>
      </c>
      <c r="S50" s="161" t="s">
        <v>290</v>
      </c>
      <c r="T50" s="164" t="s">
        <v>289</v>
      </c>
      <c r="U50" s="161" t="s">
        <v>84</v>
      </c>
      <c r="V50" s="163" t="s">
        <v>108</v>
      </c>
      <c r="W50" s="162" t="s">
        <v>288</v>
      </c>
      <c r="X50" s="161" t="s">
        <v>83</v>
      </c>
    </row>
    <row r="51" spans="1:24" x14ac:dyDescent="0.3">
      <c r="A51" s="151"/>
      <c r="B51" s="158" t="s">
        <v>77</v>
      </c>
      <c r="C51" s="160">
        <v>0</v>
      </c>
      <c r="D51" s="151"/>
      <c r="E51" s="151"/>
      <c r="F51" s="151"/>
      <c r="G51" s="151"/>
      <c r="H51" s="151"/>
      <c r="I51" s="151"/>
      <c r="J51" s="151"/>
      <c r="K51" s="149"/>
      <c r="M51" s="158" t="s">
        <v>13</v>
      </c>
      <c r="N51" s="157">
        <v>55</v>
      </c>
      <c r="O51" s="154">
        <v>0.75</v>
      </c>
      <c r="P51" s="155">
        <f>N51*(1-O51)</f>
        <v>13.75</v>
      </c>
      <c r="Q51" s="156">
        <v>1</v>
      </c>
      <c r="R51" s="155">
        <f>P51+Q51</f>
        <v>14.75</v>
      </c>
      <c r="S51" s="154">
        <v>0.1</v>
      </c>
      <c r="T51" s="155">
        <f>R51*S51</f>
        <v>1.4750000000000001</v>
      </c>
      <c r="U51" s="154">
        <v>0</v>
      </c>
      <c r="V51" s="155">
        <f>R51*U51</f>
        <v>0</v>
      </c>
      <c r="W51" s="155">
        <f>R51-T51-V51</f>
        <v>13.275</v>
      </c>
      <c r="X51" s="154">
        <v>0.7</v>
      </c>
    </row>
    <row r="52" spans="1:24" x14ac:dyDescent="0.3">
      <c r="A52" s="151"/>
      <c r="B52" s="158" t="s">
        <v>78</v>
      </c>
      <c r="C52" s="159">
        <v>0</v>
      </c>
      <c r="D52" s="151"/>
      <c r="E52" s="151"/>
      <c r="F52" s="151"/>
      <c r="G52" s="151"/>
      <c r="H52" s="151"/>
      <c r="I52" s="151"/>
      <c r="J52" s="151"/>
      <c r="K52" s="149"/>
      <c r="M52" s="158" t="s">
        <v>85</v>
      </c>
      <c r="N52" s="157">
        <v>205</v>
      </c>
      <c r="O52" s="154">
        <v>0.25</v>
      </c>
      <c r="P52" s="155">
        <f>N52*(1-O52)</f>
        <v>153.75</v>
      </c>
      <c r="Q52" s="156">
        <v>1</v>
      </c>
      <c r="R52" s="155">
        <f>P52+Q52</f>
        <v>154.75</v>
      </c>
      <c r="S52" s="154">
        <v>0.15</v>
      </c>
      <c r="T52" s="155">
        <f>R52*S52</f>
        <v>23.212499999999999</v>
      </c>
      <c r="U52" s="154">
        <v>0.25</v>
      </c>
      <c r="V52" s="155">
        <f>R52*U52</f>
        <v>38.6875</v>
      </c>
      <c r="W52" s="155">
        <f>R52-T52-V52</f>
        <v>92.85</v>
      </c>
      <c r="X52" s="154">
        <v>0.15</v>
      </c>
    </row>
    <row r="53" spans="1:24" x14ac:dyDescent="0.3">
      <c r="A53" s="151"/>
      <c r="B53" s="158" t="s">
        <v>79</v>
      </c>
      <c r="C53" s="159">
        <v>1</v>
      </c>
      <c r="D53" s="151"/>
      <c r="E53" s="151"/>
      <c r="F53" s="151"/>
      <c r="G53" s="151"/>
      <c r="H53" s="151"/>
      <c r="I53" s="151"/>
      <c r="J53" s="151"/>
      <c r="K53" s="149"/>
      <c r="M53" s="158" t="s">
        <v>86</v>
      </c>
      <c r="N53" s="157">
        <v>250</v>
      </c>
      <c r="O53" s="154">
        <v>0.15</v>
      </c>
      <c r="P53" s="155">
        <f>N53*(1-O53)</f>
        <v>212.5</v>
      </c>
      <c r="Q53" s="156">
        <v>1</v>
      </c>
      <c r="R53" s="155">
        <f>P53+Q53</f>
        <v>213.5</v>
      </c>
      <c r="S53" s="154">
        <v>0.3</v>
      </c>
      <c r="T53" s="155">
        <f>R53*S53</f>
        <v>64.05</v>
      </c>
      <c r="U53" s="154">
        <v>0</v>
      </c>
      <c r="V53" s="155">
        <f>R53*U53</f>
        <v>0</v>
      </c>
      <c r="W53" s="155">
        <f>R53-T53-V53</f>
        <v>149.44999999999999</v>
      </c>
      <c r="X53" s="154">
        <v>0.1</v>
      </c>
    </row>
    <row r="54" spans="1:24" x14ac:dyDescent="0.3">
      <c r="A54" s="151"/>
      <c r="B54" s="151"/>
      <c r="C54" s="151"/>
      <c r="D54" s="151"/>
      <c r="E54" s="151"/>
      <c r="F54" s="151"/>
      <c r="G54" s="151"/>
      <c r="H54" s="151"/>
      <c r="I54" s="151"/>
      <c r="J54" s="151"/>
      <c r="K54" s="149"/>
      <c r="M54" s="158" t="s">
        <v>87</v>
      </c>
      <c r="N54" s="157">
        <v>2700</v>
      </c>
      <c r="O54" s="154">
        <v>0.1</v>
      </c>
      <c r="P54" s="155">
        <f>N54*(1-O54)</f>
        <v>2430</v>
      </c>
      <c r="Q54" s="156">
        <v>1</v>
      </c>
      <c r="R54" s="155">
        <f>P54+Q54</f>
        <v>2431</v>
      </c>
      <c r="S54" s="154">
        <v>0.2</v>
      </c>
      <c r="T54" s="155">
        <f>R54*S54</f>
        <v>486.20000000000005</v>
      </c>
      <c r="U54" s="154">
        <v>0.1</v>
      </c>
      <c r="V54" s="155">
        <f>R54*U54</f>
        <v>243.10000000000002</v>
      </c>
      <c r="W54" s="155">
        <f>R54-T54-V54</f>
        <v>1701.6999999999998</v>
      </c>
      <c r="X54" s="154">
        <v>0.05</v>
      </c>
    </row>
    <row r="55" spans="1:24" x14ac:dyDescent="0.3">
      <c r="A55" s="153" t="s">
        <v>15</v>
      </c>
      <c r="B55" s="151" t="s">
        <v>76</v>
      </c>
      <c r="C55" s="151" t="s">
        <v>88</v>
      </c>
      <c r="D55" s="151"/>
      <c r="E55" s="151"/>
      <c r="F55" s="151"/>
      <c r="G55" s="151"/>
      <c r="H55" s="151"/>
      <c r="I55" s="151"/>
      <c r="J55" s="151"/>
      <c r="K55" s="149"/>
    </row>
    <row r="56" spans="1:24" x14ac:dyDescent="0.3">
      <c r="A56" s="151"/>
      <c r="B56" s="151" t="s">
        <v>12</v>
      </c>
      <c r="C56" s="151"/>
      <c r="D56" s="151"/>
      <c r="E56" s="151"/>
      <c r="F56" s="151"/>
      <c r="G56" s="151"/>
      <c r="H56" s="151"/>
      <c r="I56" s="151"/>
      <c r="J56" s="151"/>
      <c r="K56" s="149"/>
      <c r="M56" s="152" t="s">
        <v>287</v>
      </c>
      <c r="N56" s="152"/>
      <c r="O56" s="152"/>
      <c r="P56" s="152"/>
      <c r="Q56" s="152"/>
      <c r="R56" s="152"/>
      <c r="S56" s="152"/>
      <c r="W56" s="358">
        <f>SUMPRODUCT(W51:W54,X51:X54)</f>
        <v>123.25</v>
      </c>
    </row>
    <row r="57" spans="1:24" x14ac:dyDescent="0.3">
      <c r="A57" s="151"/>
      <c r="B57" s="151"/>
      <c r="C57" s="151"/>
      <c r="D57" s="151"/>
      <c r="E57" s="151"/>
      <c r="F57" s="151"/>
      <c r="G57" s="151"/>
      <c r="H57" s="151"/>
      <c r="I57" s="151"/>
      <c r="J57" s="151"/>
      <c r="K57" s="149"/>
    </row>
    <row r="58" spans="1:24" x14ac:dyDescent="0.3">
      <c r="A58" s="150"/>
      <c r="K58" s="149"/>
    </row>
    <row r="59" spans="1:24" s="148" customFormat="1" x14ac:dyDescent="0.3">
      <c r="A59" s="148" t="s">
        <v>2</v>
      </c>
    </row>
  </sheetData>
  <mergeCells count="1">
    <mergeCell ref="M5:O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8230b39ff0a402a078cc052756d4fefa">
  <xsd:schema xmlns:xsd="http://www.w3.org/2001/XMLSchema" xmlns:xs="http://www.w3.org/2001/XMLSchema" xmlns:p="http://schemas.microsoft.com/office/2006/metadata/properties" xmlns:ns2="16a415e0-cbd2-494f-bd0b-9ec9526163e9" targetNamespace="http://schemas.microsoft.com/office/2006/metadata/properties" ma:root="true" ma:fieldsID="45ea19f2c2e4cdbd674c4f1863b66b60"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5AB6F9-BC44-4665-A5C0-7B328AB7E17F}"/>
</file>

<file path=customXml/itemProps2.xml><?xml version="1.0" encoding="utf-8"?>
<ds:datastoreItem xmlns:ds="http://schemas.openxmlformats.org/officeDocument/2006/customXml" ds:itemID="{A4024784-A657-46EA-9783-616ED06D8604}"/>
</file>

<file path=customXml/itemProps3.xml><?xml version="1.0" encoding="utf-8"?>
<ds:datastoreItem xmlns:ds="http://schemas.openxmlformats.org/officeDocument/2006/customXml" ds:itemID="{6DA785E8-0B78-4EFF-BB16-3302BD7959EE}"/>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Notes</vt:lpstr>
      <vt:lpstr>CalculationTable_A</vt:lpstr>
      <vt:lpstr>Q01</vt:lpstr>
      <vt:lpstr>Q02</vt:lpstr>
      <vt:lpstr>Q03</vt:lpstr>
      <vt:lpstr>Q04</vt:lpstr>
      <vt:lpstr>Q05</vt:lpstr>
      <vt:lpstr>Q06</vt:lpstr>
      <vt:lpstr>Q07</vt:lpstr>
      <vt:lpstr>Q08</vt:lpstr>
      <vt:lpstr>Q09</vt:lpstr>
      <vt:lpstr>Q10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Mark Dulceak</cp:lastModifiedBy>
  <dcterms:created xsi:type="dcterms:W3CDTF">2021-01-24T18:45:40Z</dcterms:created>
  <dcterms:modified xsi:type="dcterms:W3CDTF">2025-07-23T17:49:59Z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37230a-460a-4aec-98a3-ac101fb30b10_Enabled">
    <vt:lpwstr>true</vt:lpwstr>
  </property>
  <property fmtid="{D5CDD505-2E9C-101B-9397-08002B2CF9AE}" pid="3" name="MSIP_Label_7837230a-460a-4aec-98a3-ac101fb30b10_SetDate">
    <vt:lpwstr>2022-01-22T18:32:37Z</vt:lpwstr>
  </property>
  <property fmtid="{D5CDD505-2E9C-101B-9397-08002B2CF9AE}" pid="4" name="MSIP_Label_7837230a-460a-4aec-98a3-ac101fb30b10_Method">
    <vt:lpwstr>Privileged</vt:lpwstr>
  </property>
  <property fmtid="{D5CDD505-2E9C-101B-9397-08002B2CF9AE}" pid="5" name="MSIP_Label_7837230a-460a-4aec-98a3-ac101fb30b10_Name">
    <vt:lpwstr>7837230a-460a-4aec-98a3-ac101fb30b10</vt:lpwstr>
  </property>
  <property fmtid="{D5CDD505-2E9C-101B-9397-08002B2CF9AE}" pid="6" name="MSIP_Label_7837230a-460a-4aec-98a3-ac101fb30b10_SiteId">
    <vt:lpwstr>fabb61b8-3afe-4e75-b934-a47f782b8cd7</vt:lpwstr>
  </property>
  <property fmtid="{D5CDD505-2E9C-101B-9397-08002B2CF9AE}" pid="7" name="MSIP_Label_7837230a-460a-4aec-98a3-ac101fb30b10_ActionId">
    <vt:lpwstr/>
  </property>
  <property fmtid="{D5CDD505-2E9C-101B-9397-08002B2CF9AE}" pid="8" name="MSIP_Label_7837230a-460a-4aec-98a3-ac101fb30b10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0x010100A13D16CE4023BB4BB4110DFC2802C897</vt:lpwstr>
  </property>
</Properties>
</file>