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202300"/>
  <mc:AlternateContent xmlns:mc="http://schemas.openxmlformats.org/markup-compatibility/2006">
    <mc:Choice Requires="x15">
      <x15ac:absPath xmlns:x15ac="http://schemas.microsoft.com/office/spreadsheetml/2010/11/ac" url="https://societyofactuaries-my.sharepoint.com/personal/dnorris_soa_org/Documents/Documents/Projects/2025-26 Curriculum/FINAL CURATED PAST EXAMS/Fully Assembled/"/>
    </mc:Choice>
  </mc:AlternateContent>
  <xr:revisionPtr revIDLastSave="24" documentId="8_{E84A8DBD-3950-4097-9415-DF079C5A8AD1}" xr6:coauthVersionLast="47" xr6:coauthVersionMax="47" xr10:uidLastSave="{5A7D405A-F02B-478B-AB74-894C999CAD38}"/>
  <bookViews>
    <workbookView xWindow="28680" yWindow="-120" windowWidth="38640" windowHeight="21120" xr2:uid="{A1E05CDF-06CF-4D71-B333-EDBFECDAFE78}"/>
  </bookViews>
  <sheets>
    <sheet name="Cover " sheetId="14" r:id="rId1"/>
    <sheet name="RET 101 LO 1" sheetId="5" r:id="rId2"/>
    <sheet name="DAC-Fall22-Q8" sheetId="3" r:id="rId3"/>
    <sheet name="DAC-Fall22-Q8Ans" sheetId="1" r:id="rId4"/>
    <sheet name="DAU-Spring24-Q4" sheetId="4" r:id="rId5"/>
    <sheet name="DAU-Spring24-Q4Ans" sheetId="2" r:id="rId6"/>
    <sheet name="RET 101 LO 2" sheetId="6" r:id="rId7"/>
    <sheet name="DAC-Fall21-Q10" sheetId="7" r:id="rId8"/>
    <sheet name="DAC-Fall21-Q10Ans" sheetId="8" r:id="rId9"/>
    <sheet name="DAC-Spring24-Q10" sheetId="9" r:id="rId10"/>
    <sheet name="DAC-Spring24-Q10Ans" sheetId="10" r:id="rId11"/>
    <sheet name="RET 101 LO 4" sheetId="11" r:id="rId12"/>
    <sheet name="DAC-Fall21-Q4" sheetId="12" r:id="rId13"/>
    <sheet name="DAC-Fall21-Q4Ans" sheetId="13" r:id="rId14"/>
  </sheets>
  <externalReferences>
    <externalReference r:id="rId15"/>
    <externalReference r:id="rId16"/>
    <externalReference r:id="rId17"/>
    <externalReference r:id="rId18"/>
    <externalReference r:id="rId19"/>
  </externalReferences>
  <definedNames>
    <definedName name="adm_charge">'[3]S22 Question 8(a) Sol'!$C$2</definedName>
    <definedName name="Allocations">#REF!</definedName>
    <definedName name="canflag" localSheetId="7">'[1]Overview - Canada'!$N$1</definedName>
    <definedName name="canflag" localSheetId="12">'[1]Overview - Canada'!$N$1</definedName>
    <definedName name="canflag">'[2]Overview - Canada'!$N$1</definedName>
    <definedName name="CognitiveLevels">'[4]syllabus list'!$B$87:$B$90</definedName>
    <definedName name="guar_charge">'[3]S22 Question 8(a) Sol'!$C$3</definedName>
    <definedName name="Hurdle_Rate">'[5]BG-2-2020 calc'!$K$13</definedName>
    <definedName name="LOutcomeList">'[4]syllabus list'!$A$87:$A$91</definedName>
    <definedName name="Pen_demog">#REF!</definedName>
    <definedName name="Pen_provs">#REF!</definedName>
    <definedName name="Pen_valresults">#REF!</definedName>
    <definedName name="prem">'[3]S22 Question 8(a) Sol'!$C$1</definedName>
    <definedName name="Q_part">#REF!</definedName>
    <definedName name="Q_sources">'[4]BL-1-2020'!$C$9:$C$16</definedName>
    <definedName name="SyllabusListing">'[4]syllabus list'!$B$4:$B$86</definedName>
    <definedName name="Total">#REF!</definedName>
    <definedName name="wd_pct">'[3]S22 Question 8(a) Sol'!$C$4</definedName>
    <definedName name="Year">[5]Instructions!$E$2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7" i="13" l="1"/>
  <c r="AC7" i="13"/>
  <c r="P10" i="13"/>
  <c r="R13" i="13"/>
  <c r="AF14" i="13"/>
  <c r="R16" i="13"/>
  <c r="AF17" i="13"/>
  <c r="AE29" i="13" s="1"/>
  <c r="R19" i="13"/>
  <c r="R22" i="13"/>
  <c r="AE23" i="13"/>
  <c r="R25" i="13"/>
  <c r="S28" i="13" s="1"/>
  <c r="T31" i="13" s="1"/>
  <c r="S34" i="13" s="1"/>
  <c r="R37" i="13" s="1"/>
  <c r="U40" i="13" s="1"/>
  <c r="AF26" i="13"/>
  <c r="AD35" i="13"/>
  <c r="AE35" i="13"/>
  <c r="AF35" i="13"/>
  <c r="AG35" i="13"/>
  <c r="AD36" i="13"/>
  <c r="AD37" i="13" s="1"/>
  <c r="AE36" i="13"/>
  <c r="AF36" i="13"/>
  <c r="AG36" i="13"/>
  <c r="AF37" i="13"/>
  <c r="AF38" i="13"/>
  <c r="AF39" i="13"/>
  <c r="AF40" i="13"/>
  <c r="AF41" i="13"/>
  <c r="AF42" i="13"/>
  <c r="AF43" i="13"/>
  <c r="AF44" i="13"/>
  <c r="P7" i="12"/>
  <c r="AC7" i="12"/>
  <c r="P10" i="12"/>
  <c r="AE37" i="13" l="1"/>
  <c r="AG37" i="13" s="1"/>
  <c r="AD38" i="13"/>
  <c r="M12" i="10"/>
  <c r="N12" i="10" s="1"/>
  <c r="O12" i="10" s="1"/>
  <c r="P12" i="10" s="1"/>
  <c r="Q12" i="10" s="1"/>
  <c r="R12" i="10" s="1"/>
  <c r="L14" i="10"/>
  <c r="M14" i="10"/>
  <c r="N14" i="10"/>
  <c r="L34" i="10" s="1"/>
  <c r="L18" i="10"/>
  <c r="L32" i="10"/>
  <c r="N32" i="10"/>
  <c r="P32" i="10" s="1"/>
  <c r="Q32" i="10" s="1"/>
  <c r="M33" i="10" s="1"/>
  <c r="O32" i="10"/>
  <c r="K33" i="10"/>
  <c r="K34" i="10" s="1"/>
  <c r="K35" i="10" s="1"/>
  <c r="K36" i="10" s="1"/>
  <c r="K37" i="10" s="1"/>
  <c r="K38" i="10" s="1"/>
  <c r="L33" i="10"/>
  <c r="N33" i="10" s="1"/>
  <c r="O33" i="10"/>
  <c r="O18" i="8"/>
  <c r="Q18" i="8"/>
  <c r="R18" i="8"/>
  <c r="Q20" i="8" s="1"/>
  <c r="O26" i="8"/>
  <c r="R26" i="8" s="1"/>
  <c r="Q28" i="8" s="1"/>
  <c r="P26" i="8"/>
  <c r="Q26" i="8"/>
  <c r="AE38" i="13" l="1"/>
  <c r="AG38" i="13" s="1"/>
  <c r="AD39" i="13"/>
  <c r="P33" i="10"/>
  <c r="Q33" i="10" s="1"/>
  <c r="M34" i="10" s="1"/>
  <c r="N34" i="10"/>
  <c r="O34" i="10"/>
  <c r="O14" i="10"/>
  <c r="I9" i="3"/>
  <c r="H3" i="3"/>
  <c r="H2" i="3"/>
  <c r="H1" i="3"/>
  <c r="AE39" i="13" l="1"/>
  <c r="AG39" i="13" s="1"/>
  <c r="AD40" i="13"/>
  <c r="P34" i="10"/>
  <c r="Q34" i="10" s="1"/>
  <c r="M35" i="10" s="1"/>
  <c r="L35" i="10"/>
  <c r="P14" i="10"/>
  <c r="K16" i="2"/>
  <c r="K12" i="2"/>
  <c r="K13" i="2" s="1"/>
  <c r="N13" i="2" s="1"/>
  <c r="J12" i="2"/>
  <c r="AD41" i="13" l="1"/>
  <c r="AE40" i="13"/>
  <c r="AG40" i="13" s="1"/>
  <c r="L36" i="10"/>
  <c r="Q14" i="10"/>
  <c r="N35" i="10"/>
  <c r="P35" i="10" s="1"/>
  <c r="Q35" i="10" s="1"/>
  <c r="M36" i="10" s="1"/>
  <c r="O35" i="10"/>
  <c r="M12" i="2"/>
  <c r="P12" i="2" s="1"/>
  <c r="J13" i="2" s="1"/>
  <c r="N12" i="2"/>
  <c r="O12" i="2" s="1"/>
  <c r="O13" i="2" s="1"/>
  <c r="AD42" i="13" l="1"/>
  <c r="AE41" i="13"/>
  <c r="AG41" i="13" s="1"/>
  <c r="P36" i="10"/>
  <c r="L37" i="10"/>
  <c r="R14" i="10"/>
  <c r="N36" i="10"/>
  <c r="Q36" i="10" s="1"/>
  <c r="M37" i="10" s="1"/>
  <c r="O36" i="10"/>
  <c r="M13" i="2"/>
  <c r="P13" i="2" s="1"/>
  <c r="K15" i="2" s="1"/>
  <c r="K17" i="2" s="1"/>
  <c r="K19" i="2" s="1"/>
  <c r="AD43" i="13" l="1"/>
  <c r="AE42" i="13"/>
  <c r="AG42" i="13" s="1"/>
  <c r="P37" i="10"/>
  <c r="L38" i="10"/>
  <c r="L17" i="10"/>
  <c r="L19" i="10" s="1"/>
  <c r="L20" i="10" s="1"/>
  <c r="L22" i="10" s="1"/>
  <c r="L25" i="10"/>
  <c r="N37" i="10"/>
  <c r="Q37" i="10" s="1"/>
  <c r="M38" i="10" s="1"/>
  <c r="O37" i="10"/>
  <c r="H24" i="1"/>
  <c r="H25" i="1" s="1"/>
  <c r="H26" i="1" s="1"/>
  <c r="H27" i="1" s="1"/>
  <c r="H28" i="1" s="1"/>
  <c r="H29" i="1" s="1"/>
  <c r="H30" i="1" s="1"/>
  <c r="H31" i="1" s="1"/>
  <c r="H32" i="1" s="1"/>
  <c r="H33" i="1" s="1"/>
  <c r="H19" i="1"/>
  <c r="H20" i="1" s="1"/>
  <c r="H21" i="1" s="1"/>
  <c r="H22" i="1" s="1"/>
  <c r="H23" i="1" s="1"/>
  <c r="S16" i="1"/>
  <c r="I16" i="1"/>
  <c r="J15" i="1"/>
  <c r="I15" i="1"/>
  <c r="S15" i="1" s="1"/>
  <c r="H15" i="1"/>
  <c r="H16" i="1" s="1"/>
  <c r="H17" i="1" s="1"/>
  <c r="H18" i="1" s="1"/>
  <c r="S14" i="1"/>
  <c r="I14" i="1"/>
  <c r="N14" i="1" s="1"/>
  <c r="H14" i="1"/>
  <c r="S13" i="1"/>
  <c r="T13" i="1" s="1"/>
  <c r="T14" i="1" s="1"/>
  <c r="T15" i="1" s="1"/>
  <c r="T16" i="1" s="1"/>
  <c r="N13" i="1"/>
  <c r="O13" i="1" s="1"/>
  <c r="O14" i="1" s="1"/>
  <c r="J13" i="1"/>
  <c r="K13" i="1" s="1"/>
  <c r="I9" i="1"/>
  <c r="H3" i="1"/>
  <c r="H2" i="1"/>
  <c r="H1" i="1"/>
  <c r="AE43" i="13" l="1"/>
  <c r="AG43" i="13" s="1"/>
  <c r="AD44" i="13"/>
  <c r="AE44" i="13" s="1"/>
  <c r="AG44" i="13" s="1"/>
  <c r="AG46" i="13" s="1"/>
  <c r="N38" i="10"/>
  <c r="P38" i="10" s="1"/>
  <c r="O38" i="10"/>
  <c r="L13" i="1"/>
  <c r="N16" i="1"/>
  <c r="I17" i="1"/>
  <c r="J16" i="1"/>
  <c r="N15" i="1"/>
  <c r="O15" i="1" s="1"/>
  <c r="O16" i="1" s="1"/>
  <c r="J14" i="1"/>
  <c r="K14" i="1" s="1"/>
  <c r="Q38" i="10" l="1"/>
  <c r="Q40" i="10" s="1"/>
  <c r="Q41" i="10" s="1"/>
  <c r="L14" i="1"/>
  <c r="K15" i="1"/>
  <c r="I18" i="1"/>
  <c r="S17" i="1"/>
  <c r="T17" i="1" s="1"/>
  <c r="N17" i="1"/>
  <c r="O17" i="1" s="1"/>
  <c r="J17" i="1"/>
  <c r="Q13" i="1"/>
  <c r="U13" i="1" s="1"/>
  <c r="W13" i="1" s="1"/>
  <c r="T18" i="1" l="1"/>
  <c r="I19" i="1"/>
  <c r="N18" i="1"/>
  <c r="O18" i="1" s="1"/>
  <c r="J18" i="1"/>
  <c r="S18" i="1"/>
  <c r="K16" i="1"/>
  <c r="L15" i="1"/>
  <c r="Q14" i="1"/>
  <c r="U14" i="1" s="1"/>
  <c r="W14" i="1" s="1"/>
  <c r="S19" i="1" l="1"/>
  <c r="N19" i="1"/>
  <c r="O19" i="1" s="1"/>
  <c r="I20" i="1"/>
  <c r="J19" i="1"/>
  <c r="T19" i="1"/>
  <c r="Q15" i="1"/>
  <c r="U15" i="1" s="1"/>
  <c r="W15" i="1"/>
  <c r="K17" i="1"/>
  <c r="L16" i="1"/>
  <c r="N20" i="1" l="1"/>
  <c r="O20" i="1" s="1"/>
  <c r="I21" i="1"/>
  <c r="S20" i="1"/>
  <c r="J20" i="1"/>
  <c r="T20" i="1"/>
  <c r="W16" i="1"/>
  <c r="Q16" i="1"/>
  <c r="U16" i="1" s="1"/>
  <c r="K18" i="1"/>
  <c r="L17" i="1"/>
  <c r="W17" i="1" l="1"/>
  <c r="Q17" i="1"/>
  <c r="U17" i="1" s="1"/>
  <c r="L18" i="1"/>
  <c r="K19" i="1"/>
  <c r="I22" i="1"/>
  <c r="J21" i="1"/>
  <c r="N21" i="1"/>
  <c r="O21" i="1" s="1"/>
  <c r="S21" i="1"/>
  <c r="T21" i="1" s="1"/>
  <c r="O22" i="1" l="1"/>
  <c r="I23" i="1"/>
  <c r="N22" i="1"/>
  <c r="J22" i="1"/>
  <c r="S22" i="1"/>
  <c r="T22" i="1" s="1"/>
  <c r="L19" i="1"/>
  <c r="K20" i="1"/>
  <c r="Q18" i="1"/>
  <c r="U18" i="1" s="1"/>
  <c r="W18" i="1" s="1"/>
  <c r="L20" i="1" l="1"/>
  <c r="K21" i="1"/>
  <c r="Q19" i="1"/>
  <c r="U19" i="1" s="1"/>
  <c r="W19" i="1"/>
  <c r="S23" i="1"/>
  <c r="T23" i="1" s="1"/>
  <c r="N23" i="1"/>
  <c r="J23" i="1"/>
  <c r="I24" i="1"/>
  <c r="O23" i="1"/>
  <c r="N24" i="1" l="1"/>
  <c r="O24" i="1" s="1"/>
  <c r="I25" i="1"/>
  <c r="S24" i="1"/>
  <c r="T24" i="1" s="1"/>
  <c r="J24" i="1"/>
  <c r="K22" i="1"/>
  <c r="L21" i="1"/>
  <c r="W20" i="1"/>
  <c r="Q20" i="1"/>
  <c r="U20" i="1" s="1"/>
  <c r="T25" i="1" l="1"/>
  <c r="O25" i="1"/>
  <c r="Q21" i="1"/>
  <c r="U21" i="1" s="1"/>
  <c r="W21" i="1" s="1"/>
  <c r="L22" i="1"/>
  <c r="K23" i="1"/>
  <c r="I26" i="1"/>
  <c r="N25" i="1"/>
  <c r="J25" i="1"/>
  <c r="S25" i="1"/>
  <c r="W22" i="1" l="1"/>
  <c r="Q22" i="1"/>
  <c r="U22" i="1" s="1"/>
  <c r="I27" i="1"/>
  <c r="N26" i="1"/>
  <c r="O26" i="1" s="1"/>
  <c r="J26" i="1"/>
  <c r="S26" i="1"/>
  <c r="T26" i="1" s="1"/>
  <c r="L23" i="1"/>
  <c r="K24" i="1"/>
  <c r="T27" i="1" l="1"/>
  <c r="K25" i="1"/>
  <c r="L24" i="1"/>
  <c r="Q23" i="1"/>
  <c r="U23" i="1" s="1"/>
  <c r="W23" i="1"/>
  <c r="S27" i="1"/>
  <c r="N27" i="1"/>
  <c r="O27" i="1" s="1"/>
  <c r="I28" i="1"/>
  <c r="J27" i="1"/>
  <c r="N28" i="1" l="1"/>
  <c r="O28" i="1" s="1"/>
  <c r="I29" i="1"/>
  <c r="S28" i="1"/>
  <c r="T28" i="1" s="1"/>
  <c r="J28" i="1"/>
  <c r="Q24" i="1"/>
  <c r="U24" i="1" s="1"/>
  <c r="W24" i="1" s="1"/>
  <c r="K26" i="1"/>
  <c r="L25" i="1"/>
  <c r="Q25" i="1" l="1"/>
  <c r="U25" i="1" s="1"/>
  <c r="W25" i="1"/>
  <c r="L26" i="1"/>
  <c r="K27" i="1"/>
  <c r="I30" i="1"/>
  <c r="S29" i="1"/>
  <c r="T29" i="1" s="1"/>
  <c r="N29" i="1"/>
  <c r="O29" i="1" s="1"/>
  <c r="J29" i="1"/>
  <c r="Q26" i="1" l="1"/>
  <c r="U26" i="1" s="1"/>
  <c r="W26" i="1" s="1"/>
  <c r="I31" i="1"/>
  <c r="N30" i="1"/>
  <c r="O30" i="1" s="1"/>
  <c r="J30" i="1"/>
  <c r="S30" i="1"/>
  <c r="T30" i="1" s="1"/>
  <c r="L27" i="1"/>
  <c r="K28" i="1"/>
  <c r="K29" i="1" l="1"/>
  <c r="L28" i="1"/>
  <c r="Q27" i="1"/>
  <c r="U27" i="1" s="1"/>
  <c r="W27" i="1"/>
  <c r="S31" i="1"/>
  <c r="T31" i="1" s="1"/>
  <c r="N31" i="1"/>
  <c r="O31" i="1" s="1"/>
  <c r="I32" i="1"/>
  <c r="J31" i="1"/>
  <c r="N32" i="1" l="1"/>
  <c r="O32" i="1" s="1"/>
  <c r="S32" i="1"/>
  <c r="T32" i="1" s="1"/>
  <c r="J32" i="1"/>
  <c r="Q28" i="1"/>
  <c r="U28" i="1" s="1"/>
  <c r="W28" i="1" s="1"/>
  <c r="K30" i="1"/>
  <c r="L29" i="1"/>
  <c r="Q29" i="1" l="1"/>
  <c r="U29" i="1" s="1"/>
  <c r="W29" i="1" s="1"/>
  <c r="L30" i="1"/>
  <c r="K31" i="1"/>
  <c r="Q30" i="1" l="1"/>
  <c r="U30" i="1" s="1"/>
  <c r="W30" i="1"/>
  <c r="L31" i="1"/>
  <c r="K32" i="1"/>
  <c r="L32" i="1" s="1"/>
  <c r="Q32" i="1" l="1"/>
  <c r="U32" i="1" s="1"/>
  <c r="W32" i="1" s="1"/>
  <c r="Q31" i="1"/>
  <c r="U31" i="1" s="1"/>
  <c r="W31" i="1" s="1"/>
</calcChain>
</file>

<file path=xl/sharedStrings.xml><?xml version="1.0" encoding="utf-8"?>
<sst xmlns="http://schemas.openxmlformats.org/spreadsheetml/2006/main" count="472" uniqueCount="257">
  <si>
    <t>Exam RETDAC:  Fall 2022</t>
  </si>
  <si>
    <t>Design and Accounting Exam – Canada</t>
  </si>
  <si>
    <t>Question 8</t>
  </si>
  <si>
    <t xml:space="preserve">You are given the following information for a non-contributory pension plan with immediate eligibility that offers the following three options:  </t>
  </si>
  <si>
    <t>Provide answer here.  Show and label all work.</t>
  </si>
  <si>
    <t>(b)</t>
  </si>
  <si>
    <r>
      <rPr>
        <i/>
        <sz val="12"/>
        <color theme="1"/>
        <rFont val="Times New Roman"/>
        <family val="1"/>
      </rPr>
      <t>(5 points)</t>
    </r>
    <r>
      <rPr>
        <sz val="12"/>
        <color theme="1"/>
        <rFont val="Times New Roman"/>
        <family val="1"/>
      </rPr>
      <t xml:space="preserve">  Assess which option is the most advantageous for a new hire age 45 based on the assumptions provided. </t>
    </r>
  </si>
  <si>
    <t>Option</t>
  </si>
  <si>
    <t>Formula</t>
  </si>
  <si>
    <t>Defined benefit (DB)</t>
  </si>
  <si>
    <t>Career average pension of 1% of income for each year of service payable at age 65</t>
  </si>
  <si>
    <t>Defined contribution (DC)</t>
  </si>
  <si>
    <t>Accumulated contributions of 8% of salary per year</t>
  </si>
  <si>
    <t>Hybrid</t>
  </si>
  <si>
    <t>Career average pension of 0.5% of income for each year of service payable at age 65 plus accumulated contributions of 5% of salary per year before age 50 and 2% thereafter</t>
  </si>
  <si>
    <t>Defined Benefit</t>
  </si>
  <si>
    <t>Defined Contribution</t>
  </si>
  <si>
    <t>Age</t>
  </si>
  <si>
    <t>Salary</t>
  </si>
  <si>
    <t>Accrual</t>
  </si>
  <si>
    <t>Cumulative</t>
  </si>
  <si>
    <t>Value EOY</t>
  </si>
  <si>
    <t>Contribution</t>
  </si>
  <si>
    <t>Cumulative EOY</t>
  </si>
  <si>
    <t>DB Value EOY</t>
  </si>
  <si>
    <t>DC</t>
  </si>
  <si>
    <t>DC Cumulative</t>
  </si>
  <si>
    <t>Total Value</t>
  </si>
  <si>
    <t>Maximum Value</t>
  </si>
  <si>
    <t xml:space="preserve">You are provided with the following assumptions:  </t>
  </si>
  <si>
    <t>Annual investment rate of return</t>
  </si>
  <si>
    <t>Annual salary increase rate</t>
  </si>
  <si>
    <t>Annual accrual and contribution limits</t>
  </si>
  <si>
    <t>None</t>
  </si>
  <si>
    <t>Annuity factor at age 65</t>
  </si>
  <si>
    <t>Pre-retirement mortality for hybrid and DB</t>
  </si>
  <si>
    <t>Timing of hybrid and DC contributions</t>
  </si>
  <si>
    <t>End of year</t>
  </si>
  <si>
    <r>
      <rPr>
        <i/>
        <sz val="12"/>
        <color theme="1"/>
        <rFont val="Times New Roman"/>
        <family val="1"/>
      </rPr>
      <t xml:space="preserve">(5 points) </t>
    </r>
    <r>
      <rPr>
        <sz val="12"/>
        <color theme="1"/>
        <rFont val="Times New Roman"/>
        <family val="1"/>
      </rPr>
      <t xml:space="preserve"> Assess which option is the most advantageous for a new hire age 45 based on the assumptions provided. </t>
    </r>
  </si>
  <si>
    <t>Show all work and justify your response.</t>
  </si>
  <si>
    <t>The response to this part is to be provided in the Excel spreadsheet.</t>
  </si>
  <si>
    <t>Conclusion: The optimal plan depends on how long the employees intends to work</t>
  </si>
  <si>
    <t>Hybrid is best if employee terminates before age 50</t>
  </si>
  <si>
    <t>DC is best if employee terminates between ages 50 and 55</t>
  </si>
  <si>
    <t>DB is best if employees terminates at or after age 55</t>
  </si>
  <si>
    <t>Exam RETDAU:  Spring 2024</t>
  </si>
  <si>
    <t>Design and Accounting Exam – U.S.</t>
  </si>
  <si>
    <t>Question 4</t>
  </si>
  <si>
    <t>Excerpt from question:</t>
  </si>
  <si>
    <t>Provide answer here for part (c).  Show and label all work.</t>
  </si>
  <si>
    <t>Part (c)</t>
  </si>
  <si>
    <t xml:space="preserve">(c)  </t>
  </si>
  <si>
    <r>
      <t>(</t>
    </r>
    <r>
      <rPr>
        <i/>
        <sz val="12"/>
        <color theme="1"/>
        <rFont val="Times New Roman"/>
        <family val="1"/>
      </rPr>
      <t>2 points</t>
    </r>
    <r>
      <rPr>
        <sz val="12"/>
        <color theme="1"/>
        <rFont val="Times New Roman"/>
        <family val="1"/>
      </rPr>
      <t xml:space="preserve">)  Calculate the replacement ratio assuming an asset return of -15% in year 1 and 4% in year 2.  </t>
    </r>
  </si>
  <si>
    <t xml:space="preserve">Company XYZ sponsors a cash balance plan.  </t>
  </si>
  <si>
    <t xml:space="preserve">A participant will be retiring as part of a voluntary separation program in 2 years.  </t>
  </si>
  <si>
    <t>Year</t>
  </si>
  <si>
    <t>BOY Balance</t>
  </si>
  <si>
    <t>Return Rate</t>
  </si>
  <si>
    <t>Inv Credit</t>
  </si>
  <si>
    <t>Pay Credit</t>
  </si>
  <si>
    <t>Sum of Cash Balance Credits</t>
  </si>
  <si>
    <t>EOY Balance</t>
  </si>
  <si>
    <t xml:space="preserve">You are given the following information about the participant:  </t>
  </si>
  <si>
    <t>Current Cash Balance Account</t>
  </si>
  <si>
    <t>Final CB amount</t>
  </si>
  <si>
    <t>Compare balance to sum of cash balance credits at retirement</t>
  </si>
  <si>
    <t>Next Year Salary</t>
  </si>
  <si>
    <t>Annuity factor</t>
  </si>
  <si>
    <t>Final Year Salary Increase</t>
  </si>
  <si>
    <t>Annuity amount</t>
  </si>
  <si>
    <t>Cash Balance Pay Credit</t>
  </si>
  <si>
    <t>Annuity Conversion Factor</t>
  </si>
  <si>
    <t>Replacement Ratio</t>
  </si>
  <si>
    <r>
      <t>·</t>
    </r>
    <r>
      <rPr>
        <sz val="7"/>
        <color theme="1"/>
        <rFont val="Times New Roman"/>
        <family val="1"/>
      </rPr>
      <t xml:space="preserve">       </t>
    </r>
    <r>
      <rPr>
        <sz val="12"/>
        <color theme="1"/>
        <rFont val="Times New Roman"/>
        <family val="1"/>
      </rPr>
      <t xml:space="preserve">Pay credits are made at the end of the year.  </t>
    </r>
  </si>
  <si>
    <r>
      <t>·</t>
    </r>
    <r>
      <rPr>
        <sz val="7"/>
        <color theme="1"/>
        <rFont val="Times New Roman"/>
        <family val="1"/>
      </rPr>
      <t xml:space="preserve">       </t>
    </r>
    <r>
      <rPr>
        <sz val="12"/>
        <color theme="1"/>
        <rFont val="Times New Roman"/>
        <family val="1"/>
      </rPr>
      <t xml:space="preserve">The plan uses actual return on plan assets to calculate interest credits each year.  </t>
    </r>
  </si>
  <si>
    <t>Show all work.</t>
  </si>
  <si>
    <r>
      <t>(2</t>
    </r>
    <r>
      <rPr>
        <i/>
        <sz val="12"/>
        <color theme="1"/>
        <rFont val="Times New Roman"/>
        <family val="1"/>
      </rPr>
      <t xml:space="preserve"> points</t>
    </r>
    <r>
      <rPr>
        <sz val="12"/>
        <color theme="1"/>
        <rFont val="Times New Roman"/>
        <family val="1"/>
      </rPr>
      <t>)  Calculate the replacement ratio at retirement provided by the pension plan for Employee A assuming all service was earned under:
(i) Option 1
(ii) Option 2</t>
    </r>
  </si>
  <si>
    <t>(c)</t>
  </si>
  <si>
    <t>Service at retirement</t>
  </si>
  <si>
    <t>Not married</t>
  </si>
  <si>
    <t>Marital status</t>
  </si>
  <si>
    <t>Expected age at retirement</t>
  </si>
  <si>
    <t>Expected final average pensionable earnings at retirement</t>
  </si>
  <si>
    <t>Employee A</t>
  </si>
  <si>
    <t xml:space="preserve">You are given the following information about 2 employees who may participate in the pension plan:  </t>
  </si>
  <si>
    <t>If not married, single life annuity</t>
  </si>
  <si>
    <t>Joint survivor pension available on an actuarially equivalent basis</t>
  </si>
  <si>
    <t>If married, 60% joint survivor pension without reduction</t>
  </si>
  <si>
    <t>Single life annuity for all members</t>
  </si>
  <si>
    <t>Normal form of pension</t>
  </si>
  <si>
    <t xml:space="preserve">0.50% per month prior to age 65 </t>
  </si>
  <si>
    <t>0.25% per month prior to age 60</t>
  </si>
  <si>
    <t>Early retirement reduction</t>
  </si>
  <si>
    <t>Indexed at 2% per year</t>
  </si>
  <si>
    <t>Indexed at 50% of inflation</t>
  </si>
  <si>
    <t>Post-retirement indexation</t>
  </si>
  <si>
    <t>multiplied by years of pensionable service</t>
  </si>
  <si>
    <t>2.00% of final average pensionable earnings above $50,000</t>
  </si>
  <si>
    <t>1.80% of final average pensionable earnings for all earnings</t>
  </si>
  <si>
    <t xml:space="preserve">1.40% of final average pensionable earnings up to $50,000; and </t>
  </si>
  <si>
    <t>Annual lifetime pension</t>
  </si>
  <si>
    <t>Option 2</t>
  </si>
  <si>
    <t>Option 1</t>
  </si>
  <si>
    <t>Plan Provision</t>
  </si>
  <si>
    <t>(2 points)  Calculate the replacement ratio at retirement provided by the pension plan for Employee A assuming all service was earned under:
(i) Option 1
(ii) Option 2</t>
  </si>
  <si>
    <t xml:space="preserve">Company XYZ has an employer funded defined benefit pension plan and is considering two different plan options listed below:  </t>
  </si>
  <si>
    <t>Question 10</t>
  </si>
  <si>
    <t>Exam RETDAC:  Fall 2021</t>
  </si>
  <si>
    <t xml:space="preserve">   Joint survivor pension available on an actuarially equivalent basis</t>
  </si>
  <si>
    <t xml:space="preserve">   Single life annuity for all members</t>
  </si>
  <si>
    <t>per month prior to age</t>
  </si>
  <si>
    <t>per year</t>
  </si>
  <si>
    <t>Indexation</t>
  </si>
  <si>
    <t xml:space="preserve">  multipled by years of pensionable service</t>
  </si>
  <si>
    <t>of final average pensionable earnings for all earnings
multiplied by years of pensionable service</t>
  </si>
  <si>
    <t>Plan provision</t>
  </si>
  <si>
    <t xml:space="preserve">     Single life annuity if not married</t>
  </si>
  <si>
    <t>Pension</t>
  </si>
  <si>
    <t>Service</t>
  </si>
  <si>
    <t>Reduction</t>
  </si>
  <si>
    <t>Pension Accrual</t>
  </si>
  <si>
    <t>joint survivor pension without reduction if married</t>
  </si>
  <si>
    <t>(i) Option 2</t>
  </si>
  <si>
    <t>of inflation</t>
  </si>
  <si>
    <t>of final average pensionable earnings above</t>
  </si>
  <si>
    <t>of final average pensionable earnings up to</t>
  </si>
  <si>
    <t>Plan options</t>
  </si>
  <si>
    <t>(i) Option 1</t>
  </si>
  <si>
    <t>years</t>
  </si>
  <si>
    <t xml:space="preserve">       Not married</t>
  </si>
  <si>
    <t xml:space="preserve">(ii) Option 2
</t>
  </si>
  <si>
    <t>Member A</t>
  </si>
  <si>
    <t>You are given the following:</t>
  </si>
  <si>
    <t>Employee A assuming all service was earned under:</t>
  </si>
  <si>
    <r>
      <t xml:space="preserve">(2 </t>
    </r>
    <r>
      <rPr>
        <i/>
        <sz val="12"/>
        <color theme="1"/>
        <rFont val="Times New Roman"/>
        <family val="1"/>
      </rPr>
      <t>points</t>
    </r>
    <r>
      <rPr>
        <sz val="12"/>
        <color theme="1"/>
        <rFont val="Times New Roman"/>
        <family val="1"/>
      </rPr>
      <t xml:space="preserve">)  Calculate the replacement ratio provided by the pension plan as a percentage of final average earnings at retirement for </t>
    </r>
  </si>
  <si>
    <t>Design and Accounting Exam – US and Canada</t>
  </si>
  <si>
    <t>Exam RETDAUC: 2021</t>
  </si>
  <si>
    <t>Annuity factor at age 62</t>
  </si>
  <si>
    <t>Mid-year</t>
  </si>
  <si>
    <t>Timing of contributions</t>
  </si>
  <si>
    <t>Assumed annual rate of return</t>
  </si>
  <si>
    <t>3.00% of pensionable earnings</t>
  </si>
  <si>
    <t>Employee contributions</t>
  </si>
  <si>
    <t>Defined Contribution Plan</t>
  </si>
  <si>
    <t>0.25% per month prior to age 65</t>
  </si>
  <si>
    <t>0.75% of final 3-year average earnings multiplied by years of service</t>
  </si>
  <si>
    <t>Defined Benefit Plan</t>
  </si>
  <si>
    <t>Annual salary increase</t>
  </si>
  <si>
    <t>Pensionable earnings at age 55</t>
  </si>
  <si>
    <t>Age at retirement</t>
  </si>
  <si>
    <t>Current age</t>
  </si>
  <si>
    <t>Member Information</t>
  </si>
  <si>
    <t>You are provided with the following information:</t>
  </si>
  <si>
    <r>
      <t>(2</t>
    </r>
    <r>
      <rPr>
        <i/>
        <sz val="12"/>
        <color theme="1"/>
        <rFont val="Times New Roman"/>
        <family val="1"/>
      </rPr>
      <t xml:space="preserve"> points</t>
    </r>
    <r>
      <rPr>
        <sz val="12"/>
        <color theme="1"/>
        <rFont val="Times New Roman"/>
        <family val="1"/>
      </rPr>
      <t>)  Calculate the required employer contribution rate under the Defined Contribution Plan to provide the member with the same replacement ratio as a percentage of 3-year average earnings under the Defined Benefit plan.</t>
    </r>
  </si>
  <si>
    <t>Exam RETDAC:  Spring 2024</t>
  </si>
  <si>
    <t>Replacement ratio</t>
  </si>
  <si>
    <t>Annual Pension provided by Account Balance</t>
  </si>
  <si>
    <t>Return</t>
  </si>
  <si>
    <t>Employer Contribution</t>
  </si>
  <si>
    <t>Employee Contribution</t>
  </si>
  <si>
    <t>Earnings</t>
  </si>
  <si>
    <t>= BOY balance + EE &amp; ER contributions + return</t>
  </si>
  <si>
    <t>= BOY balance x Return + (EE Cont.+ER Cont) x Return/2</t>
  </si>
  <si>
    <t>= ER Cont % x Pen. Earnings</t>
  </si>
  <si>
    <t>= EE Cont % x Pen. Earnings</t>
  </si>
  <si>
    <t>to be 4.78%, same as under DB (cell L25)</t>
  </si>
  <si>
    <t xml:space="preserve">Using Goal Seek by setting replacement ratio under DC plan (cell Q41) </t>
  </si>
  <si>
    <t>Employer Contribution Rate</t>
  </si>
  <si>
    <t>Final 3-year average earnings</t>
  </si>
  <si>
    <t>(i) Defined Contribution Plan</t>
  </si>
  <si>
    <t>Annual Pension at Retirement (age 62)</t>
  </si>
  <si>
    <t>Pension accrual</t>
  </si>
  <si>
    <t>Reduction at age 62</t>
  </si>
  <si>
    <t>(i) Defined Benefit Plan</t>
  </si>
  <si>
    <t>Pensionable Earnings</t>
  </si>
  <si>
    <r>
      <t>(</t>
    </r>
    <r>
      <rPr>
        <i/>
        <sz val="12"/>
        <color theme="1"/>
        <rFont val="Times New Roman"/>
        <family val="1"/>
      </rPr>
      <t>4 points</t>
    </r>
    <r>
      <rPr>
        <sz val="12"/>
        <color theme="1"/>
        <rFont val="Times New Roman"/>
        <family val="1"/>
      </rPr>
      <t>)  Calculate the flat DC contribution as a percentage of base pay for the average participant necessary to restore the lump sum value lost due to the DB plan freeze. 
Show all work.</t>
    </r>
  </si>
  <si>
    <r>
      <t>(</t>
    </r>
    <r>
      <rPr>
        <i/>
        <sz val="12"/>
        <color theme="1"/>
        <rFont val="Times New Roman"/>
        <family val="1"/>
      </rPr>
      <t>2 points</t>
    </r>
    <r>
      <rPr>
        <sz val="12"/>
        <color theme="1"/>
        <rFont val="Times New Roman"/>
        <family val="1"/>
      </rPr>
      <t xml:space="preserve">)  Calculate the Service Cost under International Accounting Standard IAS 19, Rev 2011 as a percentage of base pay for the existing DB plan for the average participant. </t>
    </r>
  </si>
  <si>
    <t xml:space="preserve">(a)  </t>
  </si>
  <si>
    <t>beginning of year</t>
  </si>
  <si>
    <t>Contribution timing</t>
  </si>
  <si>
    <t>Discount Rate</t>
  </si>
  <si>
    <t>Lump sum conversion factor at age 60</t>
  </si>
  <si>
    <t>none</t>
  </si>
  <si>
    <t>Pre-retirement decrements</t>
  </si>
  <si>
    <t>100% lump sum</t>
  </si>
  <si>
    <t>Form of payment at retirement</t>
  </si>
  <si>
    <t>Return on assets for future DC contributions</t>
  </si>
  <si>
    <t>Future salary increases</t>
  </si>
  <si>
    <t>All employees retire at age</t>
  </si>
  <si>
    <t xml:space="preserve">Company ABC has instructed you to use following assumptions for this analysis:  </t>
  </si>
  <si>
    <t>Average participant base pay</t>
  </si>
  <si>
    <t>Average participant service</t>
  </si>
  <si>
    <t>Average participant age</t>
  </si>
  <si>
    <t>Number of active plan participants</t>
  </si>
  <si>
    <t>Reduced 3% per year for retirement before age 65</t>
  </si>
  <si>
    <t>Early Retirement</t>
  </si>
  <si>
    <t xml:space="preserve">2% of final year base pay for each year of service </t>
  </si>
  <si>
    <t>Defined Benefit Plan formula</t>
  </si>
  <si>
    <t xml:space="preserve">You are given the following information:  </t>
  </si>
  <si>
    <t>• Provide the same lump sum value at retirement that the DB plan would provide if it was not frozen  
• Provide the same DC contribution for all employees equal to a flat percent of pay over an employee’s career
• Does not increase the accounting cost of annual accruals of the DB plan, as a percentage of base pay</t>
  </si>
  <si>
    <t>Company ABC wants to close and freeze their defined benefit (DB) plan.  They want to replace future DB plan accruals with a new defined contribution (DC) plan.  Company ABC has stated the following goals for the new DC plan:</t>
  </si>
  <si>
    <t>The Required level DC Contribution Per Year to Make Participants Whole in the DB Plan is 18.25% Per Year.</t>
  </si>
  <si>
    <t>can use goal seek to set value in Cell AG46 to value in cell AE29 by changing AG31</t>
  </si>
  <si>
    <t>Lump Sum Value of DC Plan at Age 60</t>
  </si>
  <si>
    <t xml:space="preserve">Service Cost as Percentage of Base Pay for Average Participant = </t>
  </si>
  <si>
    <t>Service Cost as Percentage of Base Pay for Average Participant = Service Cost for Plan / Number of Participants in the Plan /Average Participant Base Pay</t>
  </si>
  <si>
    <r>
      <t>(</t>
    </r>
    <r>
      <rPr>
        <i/>
        <sz val="12"/>
        <color theme="1"/>
        <rFont val="Times New Roman"/>
        <family val="1"/>
      </rPr>
      <t>2 points</t>
    </r>
    <r>
      <rPr>
        <sz val="12"/>
        <color theme="1"/>
        <rFont val="Times New Roman"/>
        <family val="1"/>
      </rPr>
      <t xml:space="preserve">)  Calculate the Service Cost under International Accounting Standard IAS 19, Rev 2011 as a percentage of base pay for the existing DB plan for the average participant.  </t>
    </r>
  </si>
  <si>
    <t xml:space="preserve">Service Cost for Plan = </t>
  </si>
  <si>
    <t>Service Cost for Plan = Service Cost for Average Participant * Number of Active Participants</t>
  </si>
  <si>
    <t>Accumulated Value of Contribution</t>
  </si>
  <si>
    <t>Accumulation with Interest to Retirement (Age 60)</t>
  </si>
  <si>
    <t>DC Contributions</t>
  </si>
  <si>
    <t>Base Pay</t>
  </si>
  <si>
    <t xml:space="preserve">Service Cost for Average Participant = </t>
  </si>
  <si>
    <t>Service Cost for Average Participant = Present Value of Benefit Accrual = Benefit Accrual Payable at 60 as a Lump Sum / (1 + DR) ^ (Early Retirement Age - Current Age)</t>
  </si>
  <si>
    <t>DC Plan contributions made at Beginning of Year and Earn 6% interest</t>
  </si>
  <si>
    <t>Required DC Contribution</t>
  </si>
  <si>
    <t>New DC Plan needs to Accumulate $255,000 by Age 60 to make participants whole</t>
  </si>
  <si>
    <t xml:space="preserve">Benefit Accrual Payable as Lump Sum at Age 60 = </t>
  </si>
  <si>
    <t>Benefit Accrual Payable as Lump Sum at Age 60 = Benefit Accrual Payable at 60 * Lump sum Conversion Factor</t>
  </si>
  <si>
    <t xml:space="preserve">Lost Lump Sum Value due to Plan Freeze (Payable at Age 60) = </t>
  </si>
  <si>
    <t>Lost Lump Sum Value due to Plan Freeze (Payable at Age 60) = Lump Sum Value ongoing DB Plan - Lump Sum Value of Frozen Plan</t>
  </si>
  <si>
    <t xml:space="preserve">Benefit Accrual (Payable at 60) = </t>
  </si>
  <si>
    <t>Benefit Accrual (Payable at 60) = AB EOY Payable at 60 - AB BOY Payable at 60</t>
  </si>
  <si>
    <t xml:space="preserve">Lump Sum Benefit Payable at Retirement (Age 60) for Average Participant Assuming Plan Freeze at Age 50 = </t>
  </si>
  <si>
    <t>Lump Sum Benefit Payable at Retirement for Average Participant Assuming Plan Freeze at Age 50 = Accrued Benefit Payable at Normal Retirement Age * (1 - Early Retirement factor * (Normal Retirement Age - Actual Retirement Age)) * Lump Sum Conversion Factor At Actual Retirement Age</t>
  </si>
  <si>
    <t xml:space="preserve">AB EOY Payable at 60 = </t>
  </si>
  <si>
    <t>AB EOY Payable at Early Retirement (Age 60) = AB EOY * (1 - ((Normal Retirement Age - Assumed Retirement Age)* Early Retirement Factor))</t>
  </si>
  <si>
    <t>Accrued Benefit At Age 50 (Payable at 65) =</t>
  </si>
  <si>
    <t>Accrued Benefit At Age 50 (Payable at 65) = 2% * base pay * (Current Service)</t>
  </si>
  <si>
    <t xml:space="preserve">AB BOY Payable at 60 = </t>
  </si>
  <si>
    <t>Lump Sum Value Payable at Retirement under Plan Freeze:</t>
  </si>
  <si>
    <t>AB BOY Payable at Early Retirement (Age 60) = AB BOY * (1 - ((Normal Retirement Age - Assumed Retirement Age)* Early Retirement Factor))</t>
  </si>
  <si>
    <t>Assume DB Plan is Frozen at Age 50 - Have 10 years of DC Accruals to make up lost value of Lump Sum</t>
  </si>
  <si>
    <t>Benefit Accrual During Year =</t>
  </si>
  <si>
    <t>Benefit Accrual During Year = AB EOY - AB BOY</t>
  </si>
  <si>
    <t xml:space="preserve">Lump Sum Benefit Payable at Retirement (Age 60) for Average Participant = </t>
  </si>
  <si>
    <t>Lump Sum Benefit Payable at Retirement for Average Participant = Accrued Benefit Payable at Normal Retirement Age * (1 - Early Retirement factor * (Normal Retirement Age - Actual Retirement Age)) * Lump Sum Conversion Factor At Actual Retirement Age</t>
  </si>
  <si>
    <t>AB EOY (Age 51) =</t>
  </si>
  <si>
    <t>Accrued Benefit (AB) End of Year (EOY) Payable at Age 65 = 2% * base  pay * (1 + salary scale) * (service BOY + 1)</t>
  </si>
  <si>
    <t>Accrued Benefit At Age 60 (Payable at 65) =</t>
  </si>
  <si>
    <t>Accrued Benefit At Age 60 (Payable at 65) = 2% * base pay * (1 + salary scale) ^ (Retirement Age - Current Age) * (Service at Retirement)</t>
  </si>
  <si>
    <t>AB BOY (Age 50) =</t>
  </si>
  <si>
    <t>Assumed Retirement Age is 60</t>
  </si>
  <si>
    <t>Accrued Benefit (AB) Beginning of Year (BOY) Payable at Age 65 = 2% * base  pay * service BOY</t>
  </si>
  <si>
    <t>Exam RETDAU:  Fall 2021</t>
  </si>
  <si>
    <t>CURATED PAST EXAM EXCEL FILES</t>
  </si>
  <si>
    <t>o</t>
  </si>
  <si>
    <t xml:space="preserve">These curated past exam items are intended to allow candidates to focus on past SOA fellowship assessments. These items are organized by topic and learning objective with relevant learning outcomes, source materials, and candidate commentary identified. We have included items that are relevant in the new course structure, and where feasible we have made updates to questions to make them relevant. </t>
  </si>
  <si>
    <t>This file contains the Excel components of the curated past exam questions and solution as applicable.  Candidates should start with the PDF files associated with this course's curated past exams.</t>
  </si>
  <si>
    <t>Candidate solutions other than those presented in this material, if appropriate for the context, could receive full marks. For interpretation items, solutions presented in these documents are not necessarily the only valid solutions.</t>
  </si>
  <si>
    <t>Learning Outcome Statements and supporting syllabus materials may have changed since each exam was administered. New assessment items are developed from the current Learning Outcome Statements and syllabus materials. The inclusion in these curated past exam questions of material that is no longer current does not bring such material into scope for current assessments.</t>
  </si>
  <si>
    <t>Thus, while we have made our best effort and conducted multiple reviews, alignment with the current system or choice of classification may not be perfect. Candidates with questions or ideas for improvement may reach out to education@soa.org.  We expect to make updates annually.</t>
  </si>
  <si>
    <t>Version 2025-1</t>
  </si>
  <si>
    <t>Updated: July 8, 2025</t>
  </si>
  <si>
    <t xml:space="preserve">Copyright © Society of Actuaries </t>
  </si>
  <si>
    <t>RET 101 - Retirement Plan Design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</si>
</sst>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5" formatCode="&quot;$&quot;#,##0_);\(&quot;$&quot;#,##0\)"/>
    <numFmt numFmtId="6" formatCode="&quot;$&quot;#,##0_);[Red]\(&quot;$&quot;#,##0\)"/>
    <numFmt numFmtId="44" formatCode="_(&quot;$&quot;* #,##0.00_);_(&quot;$&quot;* \(#,##0.00\);_(&quot;$&quot;* &quot;-&quot;??_);_(@_)"/>
    <numFmt numFmtId="43" formatCode="_(* #,##0.00_);_(* \(#,##0.00\);_(* &quot;-&quot;??_);_(@_)"/>
    <numFmt numFmtId="164" formatCode="_(* #,##0_);_(* \(#,##0\);_(* &quot;-&quot;??_);_(@_)"/>
    <numFmt numFmtId="165" formatCode="_(* #,##0.00_);_(* \(#,##0.00\);_(* &quot;-&quot;???_);_(@_)"/>
    <numFmt numFmtId="166" formatCode="0.0"/>
    <numFmt numFmtId="167" formatCode="_(&quot;$&quot;* #,##0_);_(&quot;$&quot;* \(#,##0\);_(&quot;$&quot;* &quot;-&quot;??_);_(@_)"/>
    <numFmt numFmtId="168" formatCode="&quot;$&quot;#,##0"/>
    <numFmt numFmtId="169" formatCode="0.0%"/>
  </numFmts>
  <fonts count="21" x14ac:knownFonts="1">
    <font>
      <sz val="11"/>
      <color theme="1"/>
      <name val="Aptos Narrow"/>
      <family val="2"/>
      <scheme val="minor"/>
    </font>
    <font>
      <sz val="11"/>
      <color theme="1"/>
      <name val="Aptos Narrow"/>
      <family val="2"/>
      <scheme val="minor"/>
    </font>
    <font>
      <sz val="11"/>
      <color rgb="FFFF0000"/>
      <name val="Aptos Narrow"/>
      <family val="2"/>
      <scheme val="minor"/>
    </font>
    <font>
      <b/>
      <sz val="11"/>
      <color theme="1"/>
      <name val="Aptos Narrow"/>
      <family val="2"/>
      <scheme val="minor"/>
    </font>
    <font>
      <b/>
      <sz val="12"/>
      <color theme="1"/>
      <name val="Times New Roman"/>
      <family val="1"/>
    </font>
    <font>
      <sz val="12"/>
      <color theme="1"/>
      <name val="Times New Roman"/>
      <family val="1"/>
    </font>
    <font>
      <b/>
      <i/>
      <sz val="12"/>
      <color theme="1"/>
      <name val="Times New Roman"/>
      <family val="1"/>
    </font>
    <font>
      <i/>
      <sz val="12"/>
      <color theme="1"/>
      <name val="Times New Roman"/>
      <family val="1"/>
    </font>
    <font>
      <sz val="12"/>
      <color theme="1"/>
      <name val="Symbol"/>
      <family val="1"/>
      <charset val="2"/>
    </font>
    <font>
      <sz val="7"/>
      <color theme="1"/>
      <name val="Times New Roman"/>
      <family val="1"/>
    </font>
    <font>
      <sz val="10"/>
      <color theme="1"/>
      <name val="Aptos Narrow"/>
      <family val="2"/>
      <scheme val="minor"/>
    </font>
    <font>
      <u val="singleAccounting"/>
      <sz val="12"/>
      <color theme="1"/>
      <name val="Times New Roman"/>
      <family val="1"/>
    </font>
    <font>
      <sz val="12"/>
      <color rgb="FFFF0000"/>
      <name val="Times New Roman"/>
      <family val="1"/>
    </font>
    <font>
      <sz val="11"/>
      <name val="Aptos Narrow"/>
      <family val="2"/>
      <scheme val="minor"/>
    </font>
    <font>
      <sz val="12"/>
      <name val="Times New Roman"/>
      <family val="1"/>
    </font>
    <font>
      <b/>
      <sz val="11"/>
      <name val="Aptos Narrow"/>
      <family val="2"/>
      <scheme val="minor"/>
    </font>
    <font>
      <b/>
      <sz val="26"/>
      <color theme="4"/>
      <name val="Calibri Light"/>
      <family val="2"/>
    </font>
    <font>
      <sz val="11"/>
      <color theme="4"/>
      <name val="Aptos Narrow"/>
      <family val="2"/>
      <scheme val="minor"/>
    </font>
    <font>
      <sz val="16"/>
      <color theme="4"/>
      <name val="Aptos Display"/>
      <family val="2"/>
      <scheme val="major"/>
    </font>
    <font>
      <sz val="11"/>
      <name val="Aptos Narrow"/>
      <family val="2"/>
    </font>
    <font>
      <u/>
      <sz val="11"/>
      <color theme="10"/>
      <name val="Aptos Narrow"/>
      <family val="2"/>
      <scheme val="minor"/>
    </font>
  </fonts>
  <fills count="4">
    <fill>
      <patternFill patternType="none"/>
    </fill>
    <fill>
      <patternFill patternType="gray125"/>
    </fill>
    <fill>
      <patternFill patternType="solid">
        <fgColor theme="0" tint="-4.9989318521683403E-2"/>
        <bgColor indexed="64"/>
      </patternFill>
    </fill>
    <fill>
      <patternFill patternType="solid">
        <fgColor theme="0" tint="-0.249977111117893"/>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s>
  <cellStyleXfs count="7">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0" fontId="1" fillId="0" borderId="0"/>
    <xf numFmtId="0" fontId="20" fillId="0" borderId="0" applyNumberFormat="0" applyFill="0" applyBorder="0" applyAlignment="0" applyProtection="0"/>
  </cellStyleXfs>
  <cellXfs count="273">
    <xf numFmtId="0" fontId="0" fillId="0" borderId="0" xfId="0"/>
    <xf numFmtId="0" fontId="4" fillId="2" borderId="0" xfId="0" applyFont="1" applyFill="1"/>
    <xf numFmtId="0" fontId="5" fillId="2" borderId="0" xfId="0" applyFont="1" applyFill="1"/>
    <xf numFmtId="0" fontId="5" fillId="3" borderId="0" xfId="0" applyFont="1" applyFill="1"/>
    <xf numFmtId="0" fontId="5" fillId="0" borderId="0" xfId="0" applyFont="1"/>
    <xf numFmtId="0" fontId="6" fillId="2" borderId="0" xfId="0" applyFont="1" applyFill="1"/>
    <xf numFmtId="0" fontId="5" fillId="2" borderId="0" xfId="0" applyFont="1" applyFill="1" applyAlignment="1">
      <alignment wrapText="1"/>
    </xf>
    <xf numFmtId="0" fontId="5" fillId="2" borderId="0" xfId="0" applyFont="1" applyFill="1" applyAlignment="1">
      <alignment vertical="top"/>
    </xf>
    <xf numFmtId="0" fontId="5" fillId="2" borderId="0" xfId="0" applyFont="1" applyFill="1" applyAlignment="1">
      <alignment vertical="top" wrapText="1"/>
    </xf>
    <xf numFmtId="0" fontId="4" fillId="2" borderId="1" xfId="0" applyFont="1" applyFill="1" applyBorder="1" applyAlignment="1">
      <alignment vertical="center" wrapText="1"/>
    </xf>
    <xf numFmtId="0" fontId="4" fillId="2" borderId="2" xfId="0" applyFont="1" applyFill="1" applyBorder="1" applyAlignment="1">
      <alignment vertical="center" wrapText="1"/>
    </xf>
    <xf numFmtId="0" fontId="5" fillId="2" borderId="3" xfId="0" applyFont="1" applyFill="1" applyBorder="1" applyAlignment="1">
      <alignment vertical="center" wrapText="1"/>
    </xf>
    <xf numFmtId="0" fontId="5" fillId="2" borderId="1" xfId="0" applyFont="1" applyFill="1" applyBorder="1" applyAlignment="1">
      <alignment vertical="center" wrapText="1"/>
    </xf>
    <xf numFmtId="0" fontId="5" fillId="2" borderId="0" xfId="0" applyFont="1" applyFill="1" applyAlignment="1">
      <alignment horizontal="left" vertical="top" wrapText="1"/>
    </xf>
    <xf numFmtId="0" fontId="0" fillId="0" borderId="0" xfId="0" applyProtection="1">
      <protection locked="0"/>
    </xf>
    <xf numFmtId="0" fontId="5" fillId="2" borderId="0" xfId="0" applyFont="1" applyFill="1" applyAlignment="1">
      <alignment horizontal="left" vertical="center" indent="4"/>
    </xf>
    <xf numFmtId="0" fontId="0" fillId="2" borderId="0" xfId="0" applyFill="1"/>
    <xf numFmtId="164" fontId="0" fillId="0" borderId="0" xfId="1" applyNumberFormat="1" applyFont="1" applyProtection="1">
      <protection locked="0"/>
    </xf>
    <xf numFmtId="43" fontId="0" fillId="0" borderId="0" xfId="0" applyNumberFormat="1" applyProtection="1">
      <protection locked="0"/>
    </xf>
    <xf numFmtId="165" fontId="0" fillId="0" borderId="0" xfId="0" applyNumberFormat="1" applyProtection="1">
      <protection locked="0"/>
    </xf>
    <xf numFmtId="43" fontId="0" fillId="0" borderId="0" xfId="0" applyNumberFormat="1"/>
    <xf numFmtId="164" fontId="0" fillId="0" borderId="0" xfId="0" applyNumberFormat="1" applyProtection="1">
      <protection locked="0"/>
    </xf>
    <xf numFmtId="0" fontId="5" fillId="2" borderId="1" xfId="0" applyFont="1" applyFill="1" applyBorder="1" applyAlignment="1">
      <alignment horizontal="left" vertical="center" wrapText="1" indent="2"/>
    </xf>
    <xf numFmtId="9" fontId="5" fillId="2" borderId="1" xfId="0" applyNumberFormat="1" applyFont="1" applyFill="1" applyBorder="1" applyAlignment="1">
      <alignment horizontal="center" vertical="center" wrapText="1"/>
    </xf>
    <xf numFmtId="0" fontId="5" fillId="2" borderId="1" xfId="0" applyFont="1" applyFill="1" applyBorder="1" applyAlignment="1">
      <alignment horizontal="center" vertical="center" wrapText="1"/>
    </xf>
    <xf numFmtId="166" fontId="5" fillId="2" borderId="1" xfId="0" applyNumberFormat="1" applyFont="1" applyFill="1" applyBorder="1" applyAlignment="1">
      <alignment horizontal="center" vertical="center" wrapText="1"/>
    </xf>
    <xf numFmtId="43" fontId="2" fillId="0" borderId="0" xfId="0" applyNumberFormat="1" applyFont="1"/>
    <xf numFmtId="5" fontId="5" fillId="2" borderId="0" xfId="2" applyNumberFormat="1" applyFont="1" applyFill="1" applyBorder="1" applyAlignment="1">
      <alignment horizontal="center"/>
    </xf>
    <xf numFmtId="43" fontId="2" fillId="0" borderId="0" xfId="0" applyNumberFormat="1" applyFont="1" applyProtection="1">
      <protection locked="0"/>
    </xf>
    <xf numFmtId="0" fontId="5" fillId="2" borderId="0" xfId="0" applyFont="1" applyFill="1" applyAlignment="1">
      <alignment horizontal="left" vertical="top"/>
    </xf>
    <xf numFmtId="0" fontId="6" fillId="2" borderId="0" xfId="0" applyFont="1" applyFill="1" applyAlignment="1">
      <alignment horizontal="left" vertical="top"/>
    </xf>
    <xf numFmtId="43" fontId="0" fillId="0" borderId="0" xfId="1" applyFont="1" applyProtection="1">
      <protection locked="0"/>
    </xf>
    <xf numFmtId="14" fontId="0" fillId="0" borderId="0" xfId="0" applyNumberFormat="1" applyProtection="1">
      <protection locked="0"/>
    </xf>
    <xf numFmtId="13" fontId="0" fillId="0" borderId="0" xfId="1" applyNumberFormat="1" applyFont="1" applyProtection="1">
      <protection locked="0"/>
    </xf>
    <xf numFmtId="167" fontId="0" fillId="0" borderId="0" xfId="0" applyNumberFormat="1" applyProtection="1">
      <protection locked="0"/>
    </xf>
    <xf numFmtId="167" fontId="0" fillId="0" borderId="0" xfId="2" applyNumberFormat="1" applyFont="1" applyProtection="1">
      <protection locked="0"/>
    </xf>
    <xf numFmtId="44" fontId="0" fillId="0" borderId="0" xfId="2" applyFont="1" applyProtection="1">
      <protection locked="0"/>
    </xf>
    <xf numFmtId="16" fontId="0" fillId="0" borderId="0" xfId="0" quotePrefix="1" applyNumberFormat="1" applyProtection="1">
      <protection locked="0"/>
    </xf>
    <xf numFmtId="16" fontId="0" fillId="0" borderId="0" xfId="0" applyNumberFormat="1" applyAlignment="1" applyProtection="1">
      <alignment wrapText="1"/>
      <protection locked="0"/>
    </xf>
    <xf numFmtId="10" fontId="0" fillId="0" borderId="0" xfId="3" applyNumberFormat="1" applyFont="1" applyProtection="1">
      <protection locked="0"/>
    </xf>
    <xf numFmtId="13" fontId="0" fillId="0" borderId="0" xfId="1" applyNumberFormat="1" applyFont="1" applyFill="1" applyProtection="1">
      <protection locked="0"/>
    </xf>
    <xf numFmtId="0" fontId="0" fillId="0" borderId="0" xfId="0" applyAlignment="1" applyProtection="1">
      <alignment horizontal="center"/>
      <protection locked="0"/>
    </xf>
    <xf numFmtId="0" fontId="2" fillId="0" borderId="0" xfId="0" applyFont="1" applyProtection="1">
      <protection locked="0"/>
    </xf>
    <xf numFmtId="0" fontId="5" fillId="3" borderId="0" xfId="0" applyFont="1" applyFill="1" applyProtection="1">
      <protection locked="0"/>
    </xf>
    <xf numFmtId="0" fontId="4" fillId="2" borderId="0" xfId="0" applyFont="1" applyFill="1" applyProtection="1">
      <protection locked="0"/>
    </xf>
    <xf numFmtId="0" fontId="5" fillId="2" borderId="0" xfId="0" applyFont="1" applyFill="1" applyProtection="1">
      <protection locked="0"/>
    </xf>
    <xf numFmtId="0" fontId="6" fillId="2" borderId="0" xfId="0" applyFont="1" applyFill="1" applyProtection="1">
      <protection locked="0"/>
    </xf>
    <xf numFmtId="0" fontId="7" fillId="2" borderId="0" xfId="0" applyFont="1" applyFill="1"/>
    <xf numFmtId="0" fontId="5" fillId="2" borderId="0" xfId="0" applyFont="1" applyFill="1" applyAlignment="1" applyProtection="1">
      <alignment horizontal="left" vertical="center"/>
      <protection locked="0"/>
    </xf>
    <xf numFmtId="0" fontId="5" fillId="2" borderId="0" xfId="0" applyFont="1" applyFill="1" applyAlignment="1" applyProtection="1">
      <alignment vertical="top"/>
      <protection locked="0"/>
    </xf>
    <xf numFmtId="0" fontId="5" fillId="2" borderId="0" xfId="0" applyFont="1" applyFill="1" applyAlignment="1" applyProtection="1">
      <alignment horizontal="left" indent="3"/>
      <protection locked="0"/>
    </xf>
    <xf numFmtId="10" fontId="5" fillId="2" borderId="0" xfId="0" applyNumberFormat="1" applyFont="1" applyFill="1" applyProtection="1">
      <protection locked="0"/>
    </xf>
    <xf numFmtId="0" fontId="5" fillId="2" borderId="0" xfId="0" applyFont="1" applyFill="1" applyAlignment="1" applyProtection="1">
      <alignment vertical="top" wrapText="1"/>
      <protection locked="0"/>
    </xf>
    <xf numFmtId="0" fontId="5" fillId="2" borderId="0" xfId="0" applyFont="1" applyFill="1" applyAlignment="1">
      <alignment vertical="center"/>
    </xf>
    <xf numFmtId="0" fontId="5" fillId="2" borderId="0" xfId="0" applyFont="1" applyFill="1" applyAlignment="1">
      <alignment horizontal="left" vertical="center"/>
    </xf>
    <xf numFmtId="0" fontId="5" fillId="0" borderId="0" xfId="0" applyFont="1" applyProtection="1">
      <protection locked="0"/>
    </xf>
    <xf numFmtId="0" fontId="5" fillId="0" borderId="0" xfId="0" applyFont="1" applyAlignment="1" applyProtection="1">
      <alignment horizontal="left" indent="3"/>
      <protection locked="0"/>
    </xf>
    <xf numFmtId="10" fontId="5" fillId="0" borderId="0" xfId="0" applyNumberFormat="1" applyFont="1" applyProtection="1">
      <protection locked="0"/>
    </xf>
    <xf numFmtId="0" fontId="5" fillId="0" borderId="0" xfId="0" applyFont="1" applyAlignment="1" applyProtection="1">
      <alignment vertical="top" wrapText="1"/>
      <protection locked="0"/>
    </xf>
    <xf numFmtId="0" fontId="5" fillId="2" borderId="0" xfId="0" applyFont="1" applyFill="1" applyAlignment="1">
      <alignment horizontal="left" vertical="center" indent="10"/>
    </xf>
    <xf numFmtId="9" fontId="5" fillId="0" borderId="0" xfId="0" applyNumberFormat="1" applyFont="1" applyProtection="1">
      <protection locked="0"/>
    </xf>
    <xf numFmtId="0" fontId="5" fillId="2" borderId="0" xfId="0" applyFont="1" applyFill="1" applyAlignment="1">
      <alignment vertical="center" wrapText="1"/>
    </xf>
    <xf numFmtId="6" fontId="5" fillId="0" borderId="0" xfId="0" applyNumberFormat="1" applyFont="1" applyProtection="1">
      <protection locked="0"/>
    </xf>
    <xf numFmtId="9" fontId="5" fillId="0" borderId="0" xfId="0" applyNumberFormat="1" applyFont="1" applyAlignment="1" applyProtection="1">
      <alignment horizontal="center"/>
      <protection locked="0"/>
    </xf>
    <xf numFmtId="168" fontId="5" fillId="2" borderId="0" xfId="0" applyNumberFormat="1" applyFont="1" applyFill="1" applyAlignment="1">
      <alignment vertical="center" wrapText="1"/>
    </xf>
    <xf numFmtId="9" fontId="5" fillId="0" borderId="0" xfId="0" applyNumberFormat="1" applyFont="1" applyAlignment="1" applyProtection="1">
      <alignment horizontal="center" vertical="top" wrapText="1"/>
      <protection locked="0"/>
    </xf>
    <xf numFmtId="0" fontId="5" fillId="0" borderId="0" xfId="0" applyFont="1" applyAlignment="1" applyProtection="1">
      <alignment horizontal="left" vertical="top" wrapText="1"/>
      <protection locked="0"/>
    </xf>
    <xf numFmtId="0" fontId="5" fillId="2" borderId="4" xfId="0" applyFont="1" applyFill="1" applyBorder="1" applyAlignment="1">
      <alignment vertical="center" wrapText="1"/>
    </xf>
    <xf numFmtId="6" fontId="5" fillId="2" borderId="5" xfId="0" applyNumberFormat="1" applyFont="1" applyFill="1" applyBorder="1" applyAlignment="1">
      <alignment horizontal="right" vertical="center" wrapText="1"/>
    </xf>
    <xf numFmtId="0" fontId="5" fillId="0" borderId="0" xfId="0" applyFont="1" applyAlignment="1" applyProtection="1">
      <alignment horizontal="left" vertical="top"/>
      <protection locked="0"/>
    </xf>
    <xf numFmtId="0" fontId="5" fillId="2" borderId="6" xfId="0" applyFont="1" applyFill="1" applyBorder="1" applyAlignment="1">
      <alignment vertical="center" wrapText="1"/>
    </xf>
    <xf numFmtId="6" fontId="5" fillId="2" borderId="7" xfId="0" applyNumberFormat="1" applyFont="1" applyFill="1" applyBorder="1" applyAlignment="1">
      <alignment horizontal="right" vertical="center" wrapText="1"/>
    </xf>
    <xf numFmtId="9" fontId="5" fillId="2" borderId="7" xfId="0" applyNumberFormat="1" applyFont="1" applyFill="1" applyBorder="1" applyAlignment="1">
      <alignment horizontal="right" vertical="center" wrapText="1"/>
    </xf>
    <xf numFmtId="0" fontId="5" fillId="2" borderId="7" xfId="0" applyFont="1" applyFill="1" applyBorder="1" applyAlignment="1">
      <alignment horizontal="right" vertical="center" wrapText="1"/>
    </xf>
    <xf numFmtId="169" fontId="5" fillId="0" borderId="0" xfId="3" applyNumberFormat="1" applyFont="1" applyProtection="1">
      <protection locked="0"/>
    </xf>
    <xf numFmtId="0" fontId="5" fillId="2" borderId="0" xfId="0" applyFont="1" applyFill="1" applyAlignment="1">
      <alignment horizontal="left" indent="3"/>
    </xf>
    <xf numFmtId="0" fontId="8" fillId="2" borderId="0" xfId="0" applyFont="1" applyFill="1" applyAlignment="1">
      <alignment horizontal="left" vertical="center"/>
    </xf>
    <xf numFmtId="164" fontId="0" fillId="0" borderId="8" xfId="0" applyNumberFormat="1" applyBorder="1" applyProtection="1">
      <protection locked="0"/>
    </xf>
    <xf numFmtId="0" fontId="0" fillId="0" borderId="9" xfId="0" applyBorder="1" applyProtection="1">
      <protection locked="0"/>
    </xf>
    <xf numFmtId="164" fontId="0" fillId="0" borderId="10" xfId="0" applyNumberFormat="1" applyBorder="1" applyProtection="1">
      <protection locked="0"/>
    </xf>
    <xf numFmtId="0" fontId="0" fillId="0" borderId="0" xfId="0" quotePrefix="1" applyAlignment="1" applyProtection="1">
      <alignment horizontal="center"/>
      <protection locked="0"/>
    </xf>
    <xf numFmtId="0" fontId="5" fillId="2" borderId="0" xfId="0" applyFont="1" applyFill="1" applyAlignment="1">
      <alignment horizontal="center" vertical="center" wrapText="1"/>
    </xf>
    <xf numFmtId="0" fontId="5" fillId="2" borderId="12" xfId="0" applyFont="1" applyFill="1" applyBorder="1" applyAlignment="1">
      <alignment vertical="center" wrapText="1"/>
    </xf>
    <xf numFmtId="0" fontId="5" fillId="2" borderId="2" xfId="0" applyFont="1" applyFill="1" applyBorder="1" applyAlignment="1">
      <alignment vertical="center" wrapText="1"/>
    </xf>
    <xf numFmtId="0" fontId="10" fillId="2" borderId="1" xfId="0" applyFont="1" applyFill="1" applyBorder="1" applyAlignment="1">
      <alignment vertical="top" wrapText="1"/>
    </xf>
    <xf numFmtId="0" fontId="5" fillId="2" borderId="13" xfId="0" applyFont="1" applyFill="1" applyBorder="1" applyAlignment="1">
      <alignment vertical="center" wrapText="1"/>
    </xf>
    <xf numFmtId="0" fontId="5" fillId="2" borderId="12" xfId="0" applyFont="1" applyFill="1" applyBorder="1" applyAlignment="1">
      <alignment horizontal="left" vertical="center" wrapText="1"/>
    </xf>
    <xf numFmtId="0" fontId="5" fillId="2" borderId="13" xfId="0" applyFont="1" applyFill="1" applyBorder="1" applyAlignment="1">
      <alignment horizontal="left" vertical="center" wrapText="1"/>
    </xf>
    <xf numFmtId="0" fontId="4" fillId="2" borderId="14" xfId="0" applyFont="1" applyFill="1" applyBorder="1" applyAlignment="1">
      <alignment vertical="center" wrapText="1"/>
    </xf>
    <xf numFmtId="0" fontId="4" fillId="2" borderId="3" xfId="0" applyFont="1" applyFill="1" applyBorder="1" applyAlignment="1">
      <alignment vertical="center" wrapText="1"/>
    </xf>
    <xf numFmtId="0" fontId="0" fillId="2" borderId="0" xfId="0" quotePrefix="1" applyFill="1"/>
    <xf numFmtId="44" fontId="5" fillId="2" borderId="0" xfId="4" applyFont="1" applyFill="1" applyProtection="1">
      <protection locked="0"/>
    </xf>
    <xf numFmtId="168" fontId="5" fillId="2" borderId="0" xfId="0" applyNumberFormat="1" applyFont="1" applyFill="1" applyProtection="1">
      <protection locked="0"/>
    </xf>
    <xf numFmtId="44" fontId="0" fillId="2" borderId="0" xfId="0" applyNumberFormat="1" applyFill="1"/>
    <xf numFmtId="44" fontId="0" fillId="2" borderId="0" xfId="4" applyFont="1" applyFill="1"/>
    <xf numFmtId="43" fontId="11" fillId="2" borderId="0" xfId="1" applyFont="1" applyFill="1" applyProtection="1">
      <protection locked="0"/>
    </xf>
    <xf numFmtId="0" fontId="4" fillId="2" borderId="0" xfId="0" applyFont="1" applyFill="1" applyAlignment="1" applyProtection="1">
      <alignment horizontal="left" vertical="center" indent="4"/>
      <protection locked="0"/>
    </xf>
    <xf numFmtId="43" fontId="5" fillId="2" borderId="0" xfId="1" applyFont="1" applyFill="1" applyProtection="1">
      <protection locked="0"/>
    </xf>
    <xf numFmtId="0" fontId="4" fillId="2" borderId="0" xfId="0" applyFont="1" applyFill="1" applyAlignment="1">
      <alignment horizontal="left" indent="3"/>
    </xf>
    <xf numFmtId="43" fontId="5" fillId="2" borderId="0" xfId="0" applyNumberFormat="1" applyFont="1" applyFill="1" applyProtection="1">
      <protection locked="0"/>
    </xf>
    <xf numFmtId="0" fontId="5" fillId="2" borderId="0" xfId="0" applyFont="1" applyFill="1" applyAlignment="1" applyProtection="1">
      <alignment horizontal="right"/>
      <protection locked="0"/>
    </xf>
    <xf numFmtId="44" fontId="5" fillId="2" borderId="0" xfId="0" applyNumberFormat="1" applyFont="1" applyFill="1" applyProtection="1">
      <protection locked="0"/>
    </xf>
    <xf numFmtId="9" fontId="0" fillId="2" borderId="0" xfId="0" applyNumberFormat="1" applyFill="1"/>
    <xf numFmtId="167" fontId="0" fillId="2" borderId="0" xfId="4" applyNumberFormat="1" applyFont="1" applyFill="1"/>
    <xf numFmtId="0" fontId="0" fillId="2" borderId="0" xfId="0" applyFill="1" applyAlignment="1">
      <alignment wrapText="1"/>
    </xf>
    <xf numFmtId="0" fontId="5" fillId="2" borderId="0" xfId="0" quotePrefix="1" applyFont="1" applyFill="1" applyAlignment="1" applyProtection="1">
      <alignment wrapText="1"/>
      <protection locked="0"/>
    </xf>
    <xf numFmtId="0" fontId="0" fillId="2" borderId="0" xfId="0" quotePrefix="1" applyFill="1" applyAlignment="1">
      <alignment wrapText="1"/>
    </xf>
    <xf numFmtId="0" fontId="4" fillId="2" borderId="0" xfId="0" applyFont="1" applyFill="1" applyAlignment="1" applyProtection="1">
      <alignment horizontal="left" vertical="center"/>
      <protection locked="0"/>
    </xf>
    <xf numFmtId="0" fontId="5" fillId="2" borderId="0" xfId="0" applyFont="1" applyFill="1" applyAlignment="1" applyProtection="1">
      <alignment horizontal="right" wrapText="1"/>
      <protection locked="0"/>
    </xf>
    <xf numFmtId="0" fontId="5" fillId="2" borderId="0" xfId="0" quotePrefix="1" applyFont="1" applyFill="1" applyProtection="1">
      <protection locked="0"/>
    </xf>
    <xf numFmtId="0" fontId="5" fillId="2" borderId="8" xfId="0" applyFont="1" applyFill="1" applyBorder="1"/>
    <xf numFmtId="0" fontId="5" fillId="2" borderId="9" xfId="0" applyFont="1" applyFill="1" applyBorder="1"/>
    <xf numFmtId="0" fontId="5" fillId="2" borderId="15" xfId="0" applyFont="1" applyFill="1" applyBorder="1"/>
    <xf numFmtId="0" fontId="5" fillId="2" borderId="14" xfId="0" applyFont="1" applyFill="1" applyBorder="1" applyAlignment="1">
      <alignment horizontal="left" indent="3"/>
    </xf>
    <xf numFmtId="0" fontId="5" fillId="2" borderId="16" xfId="0" applyFont="1" applyFill="1" applyBorder="1" applyAlignment="1">
      <alignment horizontal="left" indent="3"/>
    </xf>
    <xf numFmtId="0" fontId="5" fillId="2" borderId="16" xfId="0" applyFont="1" applyFill="1" applyBorder="1" applyAlignment="1">
      <alignment horizontal="left"/>
    </xf>
    <xf numFmtId="9" fontId="5" fillId="2" borderId="16" xfId="0" applyNumberFormat="1" applyFont="1" applyFill="1" applyBorder="1" applyAlignment="1">
      <alignment horizontal="center"/>
    </xf>
    <xf numFmtId="0" fontId="5" fillId="2" borderId="17" xfId="0" applyFont="1" applyFill="1" applyBorder="1" applyAlignment="1">
      <alignment horizontal="left"/>
    </xf>
    <xf numFmtId="0" fontId="5" fillId="2" borderId="18" xfId="0" applyFont="1" applyFill="1" applyBorder="1" applyAlignment="1">
      <alignment horizontal="left" indent="3"/>
    </xf>
    <xf numFmtId="0" fontId="5" fillId="2" borderId="19" xfId="0" applyFont="1" applyFill="1" applyBorder="1" applyAlignment="1">
      <alignment horizontal="left" indent="3"/>
    </xf>
    <xf numFmtId="0" fontId="5" fillId="2" borderId="19" xfId="0" applyFont="1" applyFill="1" applyBorder="1" applyAlignment="1">
      <alignment horizontal="left"/>
    </xf>
    <xf numFmtId="10" fontId="5" fillId="2" borderId="3" xfId="3" applyNumberFormat="1" applyFont="1" applyFill="1" applyBorder="1" applyAlignment="1" applyProtection="1">
      <alignment vertical="center" wrapText="1"/>
    </xf>
    <xf numFmtId="0" fontId="5" fillId="2" borderId="18" xfId="0" applyFont="1" applyFill="1" applyBorder="1"/>
    <xf numFmtId="0" fontId="5" fillId="2" borderId="19" xfId="0" applyFont="1" applyFill="1" applyBorder="1"/>
    <xf numFmtId="10" fontId="5" fillId="2" borderId="19" xfId="0" applyNumberFormat="1" applyFont="1" applyFill="1" applyBorder="1" applyAlignment="1">
      <alignment horizontal="center"/>
    </xf>
    <xf numFmtId="10" fontId="5" fillId="2" borderId="3" xfId="0" applyNumberFormat="1" applyFont="1" applyFill="1" applyBorder="1" applyAlignment="1">
      <alignment horizontal="right" vertical="center" wrapText="1"/>
    </xf>
    <xf numFmtId="0" fontId="5" fillId="2" borderId="14" xfId="0" applyFont="1" applyFill="1" applyBorder="1"/>
    <xf numFmtId="10" fontId="5" fillId="2" borderId="17" xfId="0" applyNumberFormat="1" applyFont="1" applyFill="1" applyBorder="1" applyAlignment="1">
      <alignment vertical="center" wrapText="1"/>
    </xf>
    <xf numFmtId="10" fontId="5" fillId="2" borderId="0" xfId="3" applyNumberFormat="1" applyFont="1" applyFill="1" applyProtection="1">
      <protection locked="0"/>
    </xf>
    <xf numFmtId="164" fontId="5" fillId="2" borderId="0" xfId="0" applyNumberFormat="1" applyFont="1" applyFill="1" applyProtection="1">
      <protection locked="0"/>
    </xf>
    <xf numFmtId="9" fontId="5" fillId="2" borderId="0" xfId="0" applyNumberFormat="1" applyFont="1" applyFill="1" applyProtection="1">
      <protection locked="0"/>
    </xf>
    <xf numFmtId="9" fontId="5" fillId="2" borderId="17" xfId="0" applyNumberFormat="1" applyFont="1" applyFill="1" applyBorder="1" applyAlignment="1">
      <alignment horizontal="right" vertical="center" wrapText="1"/>
    </xf>
    <xf numFmtId="0" fontId="0" fillId="2" borderId="0" xfId="0" applyFill="1" applyAlignment="1">
      <alignment horizontal="center" wrapText="1"/>
    </xf>
    <xf numFmtId="0" fontId="4" fillId="2" borderId="0" xfId="0" applyFont="1" applyFill="1" applyAlignment="1">
      <alignment horizontal="left" vertical="top"/>
    </xf>
    <xf numFmtId="9" fontId="5" fillId="2" borderId="19" xfId="0" applyNumberFormat="1" applyFont="1" applyFill="1" applyBorder="1" applyAlignment="1">
      <alignment horizontal="center"/>
    </xf>
    <xf numFmtId="9" fontId="5" fillId="2" borderId="3" xfId="0" applyNumberFormat="1" applyFont="1" applyFill="1" applyBorder="1" applyAlignment="1">
      <alignment horizontal="right" vertical="center" wrapText="1"/>
    </xf>
    <xf numFmtId="167" fontId="5" fillId="2" borderId="9" xfId="4" applyNumberFormat="1" applyFont="1" applyFill="1" applyBorder="1" applyAlignment="1" applyProtection="1">
      <alignment vertical="center" wrapText="1"/>
    </xf>
    <xf numFmtId="0" fontId="0" fillId="2" borderId="9" xfId="0" applyFill="1" applyBorder="1"/>
    <xf numFmtId="0" fontId="5" fillId="2" borderId="9" xfId="0" applyFont="1" applyFill="1" applyBorder="1" applyAlignment="1">
      <alignment vertical="center" wrapText="1"/>
    </xf>
    <xf numFmtId="10" fontId="5" fillId="2" borderId="15" xfId="0" applyNumberFormat="1" applyFont="1" applyFill="1" applyBorder="1" applyAlignment="1">
      <alignment vertical="center"/>
    </xf>
    <xf numFmtId="0" fontId="5" fillId="2" borderId="10" xfId="0" applyFont="1" applyFill="1" applyBorder="1"/>
    <xf numFmtId="167" fontId="5" fillId="2" borderId="0" xfId="4" applyNumberFormat="1" applyFont="1" applyFill="1" applyBorder="1" applyAlignment="1" applyProtection="1">
      <alignment vertical="center" wrapText="1"/>
    </xf>
    <xf numFmtId="10" fontId="5" fillId="2" borderId="11" xfId="0" applyNumberFormat="1" applyFont="1" applyFill="1" applyBorder="1" applyAlignment="1">
      <alignment vertical="center" wrapText="1"/>
    </xf>
    <xf numFmtId="167" fontId="5" fillId="2" borderId="16" xfId="4" applyNumberFormat="1" applyFont="1" applyFill="1" applyBorder="1" applyAlignment="1" applyProtection="1">
      <alignment vertical="center" wrapText="1"/>
    </xf>
    <xf numFmtId="10" fontId="5" fillId="2" borderId="0" xfId="0" applyNumberFormat="1" applyFont="1" applyFill="1"/>
    <xf numFmtId="0" fontId="5" fillId="2" borderId="0" xfId="0" applyFont="1" applyFill="1" applyAlignment="1">
      <alignment horizontal="right"/>
    </xf>
    <xf numFmtId="0" fontId="4" fillId="2" borderId="0" xfId="0" applyFont="1" applyFill="1" applyAlignment="1">
      <alignment horizontal="left"/>
    </xf>
    <xf numFmtId="9" fontId="5" fillId="2" borderId="0" xfId="0" applyNumberFormat="1" applyFont="1" applyFill="1"/>
    <xf numFmtId="0" fontId="5" fillId="2" borderId="18" xfId="0" applyFont="1" applyFill="1" applyBorder="1" applyAlignment="1">
      <alignment vertical="center" wrapText="1"/>
    </xf>
    <xf numFmtId="164" fontId="5" fillId="2" borderId="3" xfId="1" applyNumberFormat="1" applyFont="1" applyFill="1" applyBorder="1" applyAlignment="1" applyProtection="1">
      <alignment vertical="center" wrapText="1"/>
    </xf>
    <xf numFmtId="0" fontId="5" fillId="2" borderId="0" xfId="0" applyFont="1" applyFill="1" applyAlignment="1">
      <alignment horizontal="left"/>
    </xf>
    <xf numFmtId="10" fontId="5" fillId="2" borderId="0" xfId="0" applyNumberFormat="1" applyFont="1" applyFill="1" applyAlignment="1">
      <alignment vertical="center" wrapText="1"/>
    </xf>
    <xf numFmtId="0" fontId="5" fillId="2" borderId="0" xfId="0" applyFont="1" applyFill="1" applyAlignment="1">
      <alignment horizontal="left" vertical="center" indent="3"/>
    </xf>
    <xf numFmtId="0" fontId="5" fillId="2" borderId="1" xfId="0" applyFont="1" applyFill="1" applyBorder="1" applyAlignment="1">
      <alignment horizontal="left" vertical="center" wrapText="1"/>
    </xf>
    <xf numFmtId="10" fontId="5" fillId="2" borderId="1" xfId="0" applyNumberFormat="1" applyFont="1" applyFill="1" applyBorder="1" applyAlignment="1">
      <alignment horizontal="left" vertical="center" wrapText="1"/>
    </xf>
    <xf numFmtId="169" fontId="5" fillId="2" borderId="1" xfId="0" applyNumberFormat="1" applyFont="1" applyFill="1" applyBorder="1" applyAlignment="1">
      <alignment horizontal="left" vertical="center" wrapText="1"/>
    </xf>
    <xf numFmtId="6" fontId="5" fillId="2" borderId="1" xfId="0" applyNumberFormat="1" applyFont="1" applyFill="1" applyBorder="1" applyAlignment="1">
      <alignment horizontal="left" vertical="center" wrapText="1"/>
    </xf>
    <xf numFmtId="0" fontId="5" fillId="0" borderId="0" xfId="0" applyFont="1" applyAlignment="1">
      <alignment vertical="top" wrapText="1"/>
    </xf>
    <xf numFmtId="9" fontId="5" fillId="0" borderId="0" xfId="0" applyNumberFormat="1" applyFont="1"/>
    <xf numFmtId="0" fontId="5" fillId="0" borderId="0" xfId="0" applyFont="1" applyAlignment="1">
      <alignment horizontal="left" indent="3"/>
    </xf>
    <xf numFmtId="0" fontId="5" fillId="0" borderId="0" xfId="0" applyFont="1" applyAlignment="1">
      <alignment horizontal="left" vertical="top" wrapText="1"/>
    </xf>
    <xf numFmtId="0" fontId="12" fillId="0" borderId="0" xfId="0" applyFont="1" applyAlignment="1" applyProtection="1">
      <alignment horizontal="right"/>
      <protection locked="0"/>
    </xf>
    <xf numFmtId="10" fontId="5" fillId="0" borderId="0" xfId="3" applyNumberFormat="1" applyFont="1" applyFill="1" applyProtection="1">
      <protection locked="0"/>
    </xf>
    <xf numFmtId="44" fontId="5" fillId="0" borderId="0" xfId="4" applyFont="1" applyFill="1" applyProtection="1">
      <protection locked="0"/>
    </xf>
    <xf numFmtId="6" fontId="5" fillId="0" borderId="0" xfId="4" applyNumberFormat="1" applyFont="1" applyFill="1" applyProtection="1">
      <protection locked="0"/>
    </xf>
    <xf numFmtId="167" fontId="5" fillId="0" borderId="0" xfId="0" applyNumberFormat="1" applyFont="1" applyProtection="1">
      <protection locked="0"/>
    </xf>
    <xf numFmtId="44" fontId="5" fillId="0" borderId="0" xfId="0" applyNumberFormat="1" applyFont="1" applyProtection="1">
      <protection locked="0"/>
    </xf>
    <xf numFmtId="167" fontId="5" fillId="0" borderId="0" xfId="4" applyNumberFormat="1" applyFont="1" applyFill="1" applyProtection="1">
      <protection locked="0"/>
    </xf>
    <xf numFmtId="0" fontId="5" fillId="0" borderId="0" xfId="0" quotePrefix="1" applyFont="1" applyAlignment="1" applyProtection="1">
      <alignment wrapText="1"/>
      <protection locked="0"/>
    </xf>
    <xf numFmtId="10" fontId="4" fillId="0" borderId="0" xfId="0" applyNumberFormat="1" applyFont="1" applyProtection="1">
      <protection locked="0"/>
    </xf>
    <xf numFmtId="0" fontId="4" fillId="0" borderId="0" xfId="0" applyFont="1" applyAlignment="1" applyProtection="1">
      <alignment horizontal="right"/>
      <protection locked="0"/>
    </xf>
    <xf numFmtId="0" fontId="4" fillId="0" borderId="0" xfId="0" applyFont="1" applyAlignment="1" applyProtection="1">
      <alignment horizontal="left" vertical="top"/>
      <protection locked="0"/>
    </xf>
    <xf numFmtId="0" fontId="4" fillId="0" borderId="0" xfId="0" applyFont="1" applyProtection="1">
      <protection locked="0"/>
    </xf>
    <xf numFmtId="0" fontId="5" fillId="0" borderId="0" xfId="0" applyFont="1" applyAlignment="1" applyProtection="1">
      <alignment horizontal="right"/>
      <protection locked="0"/>
    </xf>
    <xf numFmtId="0" fontId="12" fillId="0" borderId="0" xfId="0" applyFont="1" applyAlignment="1">
      <alignment vertical="top" wrapText="1"/>
    </xf>
    <xf numFmtId="6" fontId="5" fillId="0" borderId="1" xfId="0" applyNumberFormat="1" applyFont="1" applyBorder="1" applyAlignment="1">
      <alignment horizontal="center" vertical="center" wrapText="1"/>
    </xf>
    <xf numFmtId="0" fontId="5" fillId="0" borderId="1" xfId="0" applyFont="1" applyBorder="1" applyAlignment="1">
      <alignment vertical="center" wrapText="1"/>
    </xf>
    <xf numFmtId="0" fontId="5" fillId="0" borderId="1" xfId="0" applyFont="1" applyBorder="1" applyAlignment="1">
      <alignment horizontal="center" vertical="center" wrapText="1"/>
    </xf>
    <xf numFmtId="0" fontId="13" fillId="0" borderId="0" xfId="0" applyFont="1" applyProtection="1">
      <protection locked="0"/>
    </xf>
    <xf numFmtId="0" fontId="5" fillId="2" borderId="0" xfId="0" applyFont="1" applyFill="1" applyAlignment="1">
      <alignment horizontal="center"/>
    </xf>
    <xf numFmtId="0" fontId="5" fillId="2" borderId="1" xfId="0" applyFont="1" applyFill="1" applyBorder="1" applyAlignment="1">
      <alignment horizontal="left"/>
    </xf>
    <xf numFmtId="0" fontId="5" fillId="2" borderId="1" xfId="0" applyFont="1" applyFill="1" applyBorder="1"/>
    <xf numFmtId="167" fontId="0" fillId="0" borderId="0" xfId="4" applyNumberFormat="1" applyFont="1" applyProtection="1">
      <protection locked="0"/>
    </xf>
    <xf numFmtId="44" fontId="0" fillId="0" borderId="0" xfId="4" applyFont="1" applyProtection="1">
      <protection locked="0"/>
    </xf>
    <xf numFmtId="0" fontId="3" fillId="0" borderId="5" xfId="0" applyFont="1" applyBorder="1" applyProtection="1">
      <protection locked="0"/>
    </xf>
    <xf numFmtId="0" fontId="15" fillId="0" borderId="20" xfId="0" applyFont="1" applyBorder="1" applyProtection="1">
      <protection locked="0"/>
    </xf>
    <xf numFmtId="0" fontId="15" fillId="0" borderId="21" xfId="0" applyFont="1" applyBorder="1" applyProtection="1">
      <protection locked="0"/>
    </xf>
    <xf numFmtId="164" fontId="13" fillId="0" borderId="0" xfId="1" applyNumberFormat="1" applyFont="1" applyProtection="1">
      <protection locked="0"/>
    </xf>
    <xf numFmtId="0" fontId="3" fillId="0" borderId="7" xfId="0" applyFont="1" applyBorder="1" applyProtection="1">
      <protection locked="0"/>
    </xf>
    <xf numFmtId="0" fontId="3" fillId="0" borderId="22" xfId="0" applyFont="1" applyBorder="1" applyProtection="1">
      <protection locked="0"/>
    </xf>
    <xf numFmtId="10" fontId="3" fillId="0" borderId="22" xfId="3" applyNumberFormat="1" applyFont="1" applyBorder="1" applyProtection="1">
      <protection locked="0"/>
    </xf>
    <xf numFmtId="164" fontId="3" fillId="0" borderId="22" xfId="0" applyNumberFormat="1" applyFont="1" applyBorder="1" applyProtection="1">
      <protection locked="0"/>
    </xf>
    <xf numFmtId="0" fontId="3" fillId="0" borderId="23" xfId="0" applyFont="1" applyBorder="1" applyProtection="1">
      <protection locked="0"/>
    </xf>
    <xf numFmtId="0" fontId="3" fillId="0" borderId="24" xfId="0" applyFont="1" applyBorder="1" applyProtection="1">
      <protection locked="0"/>
    </xf>
    <xf numFmtId="0" fontId="3" fillId="0" borderId="25" xfId="0" applyFont="1" applyBorder="1" applyProtection="1">
      <protection locked="0"/>
    </xf>
    <xf numFmtId="164" fontId="3" fillId="0" borderId="25" xfId="0" applyNumberFormat="1" applyFont="1" applyBorder="1" applyProtection="1">
      <protection locked="0"/>
    </xf>
    <xf numFmtId="0" fontId="3" fillId="0" borderId="26" xfId="0" applyFont="1" applyBorder="1" applyProtection="1">
      <protection locked="0"/>
    </xf>
    <xf numFmtId="0" fontId="0" fillId="0" borderId="0" xfId="0" applyAlignment="1" applyProtection="1">
      <alignment horizontal="center" wrapText="1"/>
      <protection locked="0"/>
    </xf>
    <xf numFmtId="0" fontId="13" fillId="0" borderId="0" xfId="0" applyFont="1" applyAlignment="1" applyProtection="1">
      <alignment horizontal="center"/>
      <protection locked="0"/>
    </xf>
    <xf numFmtId="10" fontId="3" fillId="0" borderId="5" xfId="0" applyNumberFormat="1" applyFont="1" applyBorder="1" applyProtection="1">
      <protection locked="0"/>
    </xf>
    <xf numFmtId="0" fontId="3" fillId="0" borderId="21" xfId="0" applyFont="1" applyBorder="1" applyProtection="1">
      <protection locked="0"/>
    </xf>
    <xf numFmtId="0" fontId="5" fillId="2" borderId="0" xfId="0" applyFont="1" applyFill="1" applyAlignment="1">
      <alignment horizontal="left" wrapText="1"/>
    </xf>
    <xf numFmtId="0" fontId="5" fillId="2" borderId="0" xfId="0" applyFont="1" applyFill="1" applyAlignment="1">
      <alignment horizontal="left" vertical="top" wrapText="1"/>
    </xf>
    <xf numFmtId="0" fontId="3" fillId="0" borderId="0" xfId="0" applyFont="1" applyAlignment="1" applyProtection="1">
      <alignment horizontal="center"/>
      <protection locked="0"/>
    </xf>
    <xf numFmtId="0" fontId="5" fillId="2" borderId="0" xfId="0" applyFont="1" applyFill="1" applyAlignment="1">
      <alignment wrapText="1"/>
    </xf>
    <xf numFmtId="0" fontId="5" fillId="2" borderId="2" xfId="0" applyFont="1" applyFill="1" applyBorder="1" applyAlignment="1">
      <alignment vertical="center" wrapText="1"/>
    </xf>
    <xf numFmtId="0" fontId="5" fillId="2" borderId="13" xfId="0" applyFont="1" applyFill="1" applyBorder="1" applyAlignment="1">
      <alignment vertical="center" wrapText="1"/>
    </xf>
    <xf numFmtId="0" fontId="5" fillId="2" borderId="12" xfId="0" applyFont="1" applyFill="1" applyBorder="1" applyAlignment="1">
      <alignment vertical="center" wrapText="1"/>
    </xf>
    <xf numFmtId="0" fontId="5" fillId="2" borderId="13" xfId="0" applyFont="1" applyFill="1" applyBorder="1" applyAlignment="1">
      <alignment horizontal="left" vertical="center" wrapText="1"/>
    </xf>
    <xf numFmtId="0" fontId="5" fillId="2" borderId="2" xfId="0" applyFont="1" applyFill="1" applyBorder="1" applyAlignment="1">
      <alignment horizontal="center" vertical="center" wrapText="1"/>
    </xf>
    <xf numFmtId="0" fontId="5" fillId="2" borderId="12" xfId="0" applyFont="1" applyFill="1" applyBorder="1" applyAlignment="1">
      <alignment horizontal="center" vertical="center" wrapText="1"/>
    </xf>
    <xf numFmtId="6" fontId="5" fillId="2" borderId="2" xfId="0" applyNumberFormat="1" applyFont="1" applyFill="1" applyBorder="1" applyAlignment="1">
      <alignment horizontal="center" vertical="center" wrapText="1"/>
    </xf>
    <xf numFmtId="6" fontId="5" fillId="2" borderId="12" xfId="0" applyNumberFormat="1" applyFont="1" applyFill="1" applyBorder="1" applyAlignment="1">
      <alignment horizontal="center" vertical="center" wrapText="1"/>
    </xf>
    <xf numFmtId="6" fontId="5" fillId="2" borderId="11" xfId="0" applyNumberFormat="1" applyFont="1" applyFill="1" applyBorder="1" applyAlignment="1">
      <alignment horizontal="center" vertical="center" wrapText="1"/>
    </xf>
    <xf numFmtId="0" fontId="0" fillId="0" borderId="13" xfId="0" applyBorder="1" applyAlignment="1">
      <alignment vertical="center" wrapText="1"/>
    </xf>
    <xf numFmtId="0" fontId="0" fillId="0" borderId="12" xfId="0" applyBorder="1" applyAlignment="1">
      <alignment vertical="center" wrapText="1"/>
    </xf>
    <xf numFmtId="0" fontId="5" fillId="2" borderId="16" xfId="0" applyFont="1" applyFill="1" applyBorder="1" applyAlignment="1">
      <alignment vertical="center" wrapText="1"/>
    </xf>
    <xf numFmtId="0" fontId="0" fillId="0" borderId="16" xfId="0" applyBorder="1"/>
    <xf numFmtId="0" fontId="5" fillId="2" borderId="0" xfId="0" applyFont="1" applyFill="1" applyAlignment="1">
      <alignment vertical="center" wrapText="1"/>
    </xf>
    <xf numFmtId="0" fontId="0" fillId="0" borderId="0" xfId="0"/>
    <xf numFmtId="0" fontId="5" fillId="2" borderId="19" xfId="0" applyFont="1" applyFill="1" applyBorder="1" applyAlignment="1">
      <alignment vertical="center" wrapText="1"/>
    </xf>
    <xf numFmtId="0" fontId="0" fillId="0" borderId="19" xfId="0" applyBorder="1"/>
    <xf numFmtId="0" fontId="5" fillId="2" borderId="15" xfId="0" applyFont="1" applyFill="1" applyBorder="1" applyAlignment="1">
      <alignment vertical="center" wrapText="1"/>
    </xf>
    <xf numFmtId="0" fontId="0" fillId="0" borderId="9" xfId="0" applyBorder="1"/>
    <xf numFmtId="0" fontId="0" fillId="0" borderId="8" xfId="0" applyBorder="1"/>
    <xf numFmtId="0" fontId="4" fillId="2" borderId="3" xfId="0" applyFont="1" applyFill="1" applyBorder="1" applyAlignment="1">
      <alignment horizontal="center" vertical="center" wrapText="1"/>
    </xf>
    <xf numFmtId="0" fontId="4" fillId="2" borderId="19" xfId="0" applyFont="1" applyFill="1" applyBorder="1" applyAlignment="1">
      <alignment horizontal="center" vertical="center" wrapText="1"/>
    </xf>
    <xf numFmtId="0" fontId="0" fillId="0" borderId="19" xfId="0" applyBorder="1" applyAlignment="1">
      <alignment horizontal="center"/>
    </xf>
    <xf numFmtId="0" fontId="0" fillId="0" borderId="18" xfId="0" applyBorder="1"/>
    <xf numFmtId="168" fontId="5" fillId="2" borderId="3" xfId="0" applyNumberFormat="1" applyFont="1" applyFill="1" applyBorder="1" applyAlignment="1">
      <alignment horizontal="center" vertical="center" wrapText="1"/>
    </xf>
    <xf numFmtId="168" fontId="5" fillId="2" borderId="18" xfId="0" applyNumberFormat="1" applyFont="1" applyFill="1" applyBorder="1" applyAlignment="1">
      <alignment horizontal="center" vertical="center" wrapText="1"/>
    </xf>
    <xf numFmtId="168" fontId="5" fillId="2" borderId="11" xfId="0" applyNumberFormat="1" applyFont="1" applyFill="1" applyBorder="1" applyAlignment="1">
      <alignment horizontal="right" vertical="center" wrapText="1"/>
    </xf>
    <xf numFmtId="168" fontId="5" fillId="2" borderId="0" xfId="0" applyNumberFormat="1" applyFont="1" applyFill="1" applyAlignment="1">
      <alignment horizontal="right" vertical="center" wrapText="1"/>
    </xf>
    <xf numFmtId="0" fontId="5" fillId="2" borderId="3" xfId="0" applyFont="1" applyFill="1" applyBorder="1" applyAlignment="1">
      <alignment horizontal="left" vertical="center" wrapText="1"/>
    </xf>
    <xf numFmtId="0" fontId="0" fillId="0" borderId="18" xfId="0" applyBorder="1" applyAlignment="1">
      <alignment horizontal="left" vertical="center" wrapText="1"/>
    </xf>
    <xf numFmtId="0" fontId="0" fillId="0" borderId="0" xfId="0" applyAlignment="1">
      <alignment horizontal="left" vertical="top" wrapText="1"/>
    </xf>
    <xf numFmtId="0" fontId="5" fillId="2" borderId="3" xfId="0" applyFont="1" applyFill="1" applyBorder="1" applyAlignment="1">
      <alignment horizontal="center" vertical="center" wrapText="1"/>
    </xf>
    <xf numFmtId="0" fontId="5" fillId="2" borderId="18" xfId="0" applyFont="1" applyFill="1" applyBorder="1" applyAlignment="1">
      <alignment horizontal="center" vertical="center" wrapText="1"/>
    </xf>
    <xf numFmtId="0" fontId="5" fillId="2" borderId="11" xfId="0" applyFont="1" applyFill="1" applyBorder="1" applyAlignment="1">
      <alignment horizontal="right" vertical="center" wrapText="1"/>
    </xf>
    <xf numFmtId="0" fontId="5" fillId="2" borderId="0" xfId="0" applyFont="1" applyFill="1" applyAlignment="1">
      <alignment horizontal="right" vertical="center" wrapText="1"/>
    </xf>
    <xf numFmtId="0" fontId="0" fillId="0" borderId="0" xfId="0" applyAlignment="1">
      <alignment wrapText="1"/>
    </xf>
    <xf numFmtId="0" fontId="5" fillId="2" borderId="0" xfId="0" applyFont="1" applyFill="1" applyAlignment="1">
      <alignment horizontal="left" vertical="center"/>
    </xf>
    <xf numFmtId="0" fontId="0" fillId="0" borderId="0" xfId="0" applyAlignment="1">
      <alignment horizontal="left" vertical="center"/>
    </xf>
    <xf numFmtId="0" fontId="5" fillId="2" borderId="2" xfId="0" applyFont="1" applyFill="1" applyBorder="1" applyAlignment="1">
      <alignment horizontal="left" vertical="center" wrapText="1"/>
    </xf>
    <xf numFmtId="0" fontId="5" fillId="2" borderId="12" xfId="0" applyFont="1" applyFill="1" applyBorder="1" applyAlignment="1">
      <alignment horizontal="left" vertical="center" wrapText="1"/>
    </xf>
    <xf numFmtId="0" fontId="5" fillId="2" borderId="2" xfId="0" applyFont="1" applyFill="1" applyBorder="1"/>
    <xf numFmtId="0" fontId="5" fillId="2" borderId="12" xfId="0" applyFont="1" applyFill="1" applyBorder="1"/>
    <xf numFmtId="0" fontId="5" fillId="2" borderId="17" xfId="0" applyFont="1" applyFill="1" applyBorder="1" applyAlignment="1">
      <alignment horizontal="center" wrapText="1"/>
    </xf>
    <xf numFmtId="0" fontId="5" fillId="2" borderId="14" xfId="0" applyFont="1" applyFill="1" applyBorder="1" applyAlignment="1">
      <alignment horizontal="center" wrapText="1"/>
    </xf>
    <xf numFmtId="0" fontId="5" fillId="2" borderId="15" xfId="0" applyFont="1" applyFill="1" applyBorder="1" applyAlignment="1">
      <alignment horizontal="center" wrapText="1"/>
    </xf>
    <xf numFmtId="0" fontId="5" fillId="2" borderId="8" xfId="0" applyFont="1" applyFill="1" applyBorder="1" applyAlignment="1">
      <alignment horizontal="center" wrapText="1"/>
    </xf>
    <xf numFmtId="0" fontId="5" fillId="2" borderId="1" xfId="0" applyFont="1" applyFill="1" applyBorder="1" applyAlignment="1">
      <alignment horizontal="center"/>
    </xf>
    <xf numFmtId="10" fontId="5" fillId="2" borderId="3" xfId="0" applyNumberFormat="1" applyFont="1" applyFill="1" applyBorder="1" applyAlignment="1">
      <alignment horizontal="center"/>
    </xf>
    <xf numFmtId="0" fontId="5" fillId="2" borderId="18" xfId="0" applyFont="1" applyFill="1" applyBorder="1" applyAlignment="1">
      <alignment horizontal="center"/>
    </xf>
    <xf numFmtId="166" fontId="14" fillId="2" borderId="3" xfId="3" applyNumberFormat="1" applyFont="1" applyFill="1" applyBorder="1" applyAlignment="1">
      <alignment horizontal="center"/>
    </xf>
    <xf numFmtId="166" fontId="14" fillId="2" borderId="18" xfId="3" applyNumberFormat="1" applyFont="1" applyFill="1" applyBorder="1" applyAlignment="1">
      <alignment horizontal="center"/>
    </xf>
    <xf numFmtId="10" fontId="5" fillId="2" borderId="3" xfId="3" applyNumberFormat="1" applyFont="1" applyFill="1" applyBorder="1" applyAlignment="1">
      <alignment horizontal="center"/>
    </xf>
    <xf numFmtId="10" fontId="5" fillId="2" borderId="18" xfId="3" applyNumberFormat="1" applyFont="1" applyFill="1" applyBorder="1" applyAlignment="1">
      <alignment horizontal="center"/>
    </xf>
    <xf numFmtId="166" fontId="5" fillId="2" borderId="3" xfId="3" applyNumberFormat="1" applyFont="1" applyFill="1" applyBorder="1" applyAlignment="1">
      <alignment horizontal="center"/>
    </xf>
    <xf numFmtId="166" fontId="5" fillId="2" borderId="18" xfId="3" applyNumberFormat="1" applyFont="1" applyFill="1" applyBorder="1" applyAlignment="1">
      <alignment horizontal="center"/>
    </xf>
    <xf numFmtId="5" fontId="5" fillId="2" borderId="1" xfId="2" applyNumberFormat="1" applyFont="1" applyFill="1" applyBorder="1" applyAlignment="1">
      <alignment horizontal="center"/>
    </xf>
    <xf numFmtId="5" fontId="5" fillId="2" borderId="1" xfId="4" applyNumberFormat="1" applyFont="1" applyFill="1" applyBorder="1" applyAlignment="1">
      <alignment horizontal="center"/>
    </xf>
    <xf numFmtId="0" fontId="16" fillId="0" borderId="0" xfId="5" applyFont="1" applyAlignment="1">
      <alignment horizontal="center"/>
    </xf>
    <xf numFmtId="0" fontId="1" fillId="0" borderId="0" xfId="5"/>
    <xf numFmtId="0" fontId="17" fillId="0" borderId="0" xfId="5" applyFont="1"/>
    <xf numFmtId="0" fontId="18" fillId="0" borderId="0" xfId="5" applyFont="1" applyAlignment="1">
      <alignment horizontal="center"/>
    </xf>
    <xf numFmtId="0" fontId="1" fillId="0" borderId="0" xfId="5" applyAlignment="1">
      <alignment horizontal="right" vertical="top" indent="1"/>
    </xf>
    <xf numFmtId="0" fontId="19" fillId="0" borderId="0" xfId="5" applyFont="1" applyAlignment="1">
      <alignment horizontal="left" wrapText="1"/>
    </xf>
    <xf numFmtId="0" fontId="19" fillId="0" borderId="0" xfId="5" applyFont="1"/>
    <xf numFmtId="0" fontId="20" fillId="0" borderId="0" xfId="6"/>
    <xf numFmtId="0" fontId="10" fillId="0" borderId="0" xfId="5" applyFont="1" applyAlignment="1">
      <alignment horizontal="left"/>
    </xf>
    <xf numFmtId="0" fontId="10" fillId="0" borderId="0" xfId="5" applyFont="1" applyAlignment="1">
      <alignment horizontal="center"/>
    </xf>
    <xf numFmtId="0" fontId="10" fillId="0" borderId="0" xfId="5" applyFont="1" applyAlignment="1">
      <alignment horizontal="right"/>
    </xf>
  </cellXfs>
  <cellStyles count="7">
    <cellStyle name="Comma" xfId="1" builtinId="3"/>
    <cellStyle name="Currency" xfId="2" builtinId="4"/>
    <cellStyle name="Currency 2" xfId="4" xr:uid="{919A5D0F-0574-442F-AEF4-CE0F84408169}"/>
    <cellStyle name="Hyperlink" xfId="6" builtinId="8"/>
    <cellStyle name="Normal" xfId="0" builtinId="0"/>
    <cellStyle name="Normal 4" xfId="5" xr:uid="{F8351D99-AD21-47C4-BCB8-7DC9ABE3BD7B}"/>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4.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externalLink" Target="externalLinks/externalLink1.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190501</xdr:colOff>
      <xdr:row>0</xdr:row>
      <xdr:rowOff>171451</xdr:rowOff>
    </xdr:from>
    <xdr:to>
      <xdr:col>2</xdr:col>
      <xdr:colOff>495301</xdr:colOff>
      <xdr:row>3</xdr:row>
      <xdr:rowOff>129827</xdr:rowOff>
    </xdr:to>
    <xdr:pic>
      <xdr:nvPicPr>
        <xdr:cNvPr id="2" name="Picture 1">
          <a:extLst>
            <a:ext uri="{FF2B5EF4-FFF2-40B4-BE49-F238E27FC236}">
              <a16:creationId xmlns:a16="http://schemas.microsoft.com/office/drawing/2014/main" id="{D04E8E07-A3DD-4084-B961-11E6D171D34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501" y="167641"/>
          <a:ext cx="1524000" cy="508921"/>
        </a:xfrm>
        <a:prstGeom prst="rect">
          <a:avLst/>
        </a:prstGeom>
      </xdr:spPr>
    </xdr:pic>
    <xdr:clientData/>
  </xdr:twoCellAnchor>
  <xdr:twoCellAnchor>
    <xdr:from>
      <xdr:col>0</xdr:col>
      <xdr:colOff>285750</xdr:colOff>
      <xdr:row>8</xdr:row>
      <xdr:rowOff>57150</xdr:rowOff>
    </xdr:from>
    <xdr:to>
      <xdr:col>9</xdr:col>
      <xdr:colOff>590550</xdr:colOff>
      <xdr:row>8</xdr:row>
      <xdr:rowOff>66675</xdr:rowOff>
    </xdr:to>
    <xdr:cxnSp macro="">
      <xdr:nvCxnSpPr>
        <xdr:cNvPr id="3" name="Straight Connector 2">
          <a:extLst>
            <a:ext uri="{FF2B5EF4-FFF2-40B4-BE49-F238E27FC236}">
              <a16:creationId xmlns:a16="http://schemas.microsoft.com/office/drawing/2014/main" id="{17DD5971-55B5-4F27-8A6F-8490D877DC77}"/>
            </a:ext>
          </a:extLst>
        </xdr:cNvPr>
        <xdr:cNvCxnSpPr/>
      </xdr:nvCxnSpPr>
      <xdr:spPr>
        <a:xfrm>
          <a:off x="281940" y="1729740"/>
          <a:ext cx="5791200" cy="11430"/>
        </a:xfrm>
        <a:prstGeom prst="line">
          <a:avLst/>
        </a:prstGeom>
        <a:ln w="12700" cap="rnd">
          <a:solidFill>
            <a:schemeClr val="tx2">
              <a:lumMod val="75000"/>
              <a:lumOff val="25000"/>
            </a:schemeClr>
          </a:solidFill>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0</xdr:col>
      <xdr:colOff>295275</xdr:colOff>
      <xdr:row>4</xdr:row>
      <xdr:rowOff>152400</xdr:rowOff>
    </xdr:from>
    <xdr:to>
      <xdr:col>9</xdr:col>
      <xdr:colOff>600075</xdr:colOff>
      <xdr:row>4</xdr:row>
      <xdr:rowOff>161925</xdr:rowOff>
    </xdr:to>
    <xdr:cxnSp macro="">
      <xdr:nvCxnSpPr>
        <xdr:cNvPr id="4" name="Straight Connector 3">
          <a:extLst>
            <a:ext uri="{FF2B5EF4-FFF2-40B4-BE49-F238E27FC236}">
              <a16:creationId xmlns:a16="http://schemas.microsoft.com/office/drawing/2014/main" id="{8914F625-0EAD-47B9-97C1-CECB6E6399BC}"/>
            </a:ext>
          </a:extLst>
        </xdr:cNvPr>
        <xdr:cNvCxnSpPr/>
      </xdr:nvCxnSpPr>
      <xdr:spPr>
        <a:xfrm>
          <a:off x="293370" y="876300"/>
          <a:ext cx="5791200" cy="11430"/>
        </a:xfrm>
        <a:prstGeom prst="line">
          <a:avLst/>
        </a:prstGeom>
        <a:ln w="12700" cap="rnd">
          <a:solidFill>
            <a:schemeClr val="tx2">
              <a:lumMod val="75000"/>
              <a:lumOff val="25000"/>
            </a:schemeClr>
          </a:solidFill>
        </a:ln>
      </xdr:spPr>
      <xdr:style>
        <a:lnRef idx="2">
          <a:schemeClr val="accent1"/>
        </a:lnRef>
        <a:fillRef idx="0">
          <a:schemeClr val="accent1"/>
        </a:fillRef>
        <a:effectRef idx="1">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Paul/Dropbox/Documents/Paul/SOA%20Exam%20Committee/2017/Dec%202017%20-%20San%20Francisco/DA_Retirement_Case_Study_2018%20FINAL%2012182017.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Paul\Dropbox\Documents\Paul\SOA%20Exam%20Committee\2017\Dec%202017%20-%20San%20Francisco\DA_Retirement_Case_Study_2018%20FINAL%2012182017.xlsm"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https://societyofactuaries-my.sharepoint.com/personal/dnorris_soa_org/Documents/Documents/Projects/2025-26%20Curriculum/FINAL%20CURATED%20PAST%20EXAMS/Fully%20Assembled/ILA101%20Curated%20Past%20Exam%20Excel%20Files.xlsx" TargetMode="External"/><Relationship Id="rId1" Type="http://schemas.openxmlformats.org/officeDocument/2006/relationships/externalLinkPath" Target="ILA101%20Curated%20Past%20Exam%20Excel%20Files.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jbrennan.INSCONST\Downloads\ILA-LPM%20Spring%202021%20Exam%20Rubric%20with%20Calibration%20Notes%20(6).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sunlifefinancial-my.sharepoint.com/personal/al_na_sunlife_com/Documents/Documents/Personal%20Documents/SOA%20Volunteer/2022%20Spring%20CG/ILA-LPM%20Spring%202022%20Rubric%20Final.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verview - Canada"/>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verview - Canada"/>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ver "/>
      <sheetName val="F20 Question 6 (b) Quest"/>
      <sheetName val="F20 Question 6 (b) Sol"/>
      <sheetName val="S21 Question 2 (a) Quest"/>
      <sheetName val="S21 Question 2(a) Sol"/>
      <sheetName val="S21 Question 3 (d) Quest"/>
      <sheetName val="S21 Question 3(d) Sol"/>
      <sheetName val="S21 Question 5 (b) Quest"/>
      <sheetName val="S21 Question 5 (b) Sol"/>
      <sheetName val="S22 Question 8(a) Quest"/>
      <sheetName val="S22 Question 8(a) Sol"/>
      <sheetName val="S23 Question 5 (a) (ii) Quest"/>
      <sheetName val="S23 Question 5 (a) (ii) Sol"/>
      <sheetName val="F24 Question 2 (c) Quest"/>
      <sheetName val="F24 Question 2 (c) Sol"/>
      <sheetName val="F24 Question 5 (c) Quest"/>
      <sheetName val="F24 Question 5 (c) Sol"/>
      <sheetName val="F24 Question 5 (d) Quest"/>
      <sheetName val="F24 Question 5 (d) So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ow r="1">
          <cell r="C1">
            <v>100000</v>
          </cell>
        </row>
        <row r="2">
          <cell r="C2">
            <v>5.0000000000000001E-3</v>
          </cell>
        </row>
        <row r="3">
          <cell r="C3">
            <v>1.2E-2</v>
          </cell>
        </row>
        <row r="4">
          <cell r="C4">
            <v>0.05</v>
          </cell>
        </row>
      </sheetData>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Summary"/>
      <sheetName val="All"/>
      <sheetName val="Coverage"/>
      <sheetName val="BP-1-2020"/>
      <sheetName val="AA-1-2020"/>
      <sheetName val="Spring 2021 LPM Q2 Calibration"/>
      <sheetName val="Part a"/>
      <sheetName val="Part b"/>
      <sheetName val="Part c"/>
      <sheetName val="AA-1-2020 calc"/>
      <sheetName val="AA-1-2020 calc corrected"/>
      <sheetName val="DF-1-2020"/>
      <sheetName val="JR-1-2020"/>
      <sheetName val="JR-1-2020 calc"/>
      <sheetName val="KW-1-2020"/>
      <sheetName val="MD-1-2020"/>
      <sheetName val="MD-1-2020 calc"/>
      <sheetName val="SM-1-2019"/>
      <sheetName val="SM-1-2019 Calc"/>
      <sheetName val="SR-1-2020"/>
      <sheetName val="TL-1-2020"/>
      <sheetName val="TL-2-2020"/>
      <sheetName val="TL-Calc's"/>
      <sheetName val="Rubric Template"/>
      <sheetName val="BL-1-2020"/>
      <sheetName val="syllabus list"/>
      <sheetName val="ILA Prod Mgmt LOs and Mapping"/>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ow r="9">
          <cell r="C9" t="str">
            <v xml:space="preserve">LO#3-2, </v>
          </cell>
        </row>
        <row r="10">
          <cell r="C10" t="str">
            <v xml:space="preserve">LO#3-9, </v>
          </cell>
        </row>
        <row r="11">
          <cell r="C11" t="str">
            <v xml:space="preserve">LO#3-10, </v>
          </cell>
        </row>
        <row r="12">
          <cell r="C12" t="e">
            <v>#N/A</v>
          </cell>
        </row>
        <row r="13">
          <cell r="C13" t="e">
            <v>#N/A</v>
          </cell>
        </row>
        <row r="14">
          <cell r="C14" t="e">
            <v>#N/A</v>
          </cell>
        </row>
        <row r="15">
          <cell r="C15" t="e">
            <v>#N/A</v>
          </cell>
        </row>
        <row r="16">
          <cell r="C16" t="e">
            <v>#N/A</v>
          </cell>
        </row>
      </sheetData>
      <sheetData sheetId="26">
        <row r="4">
          <cell r="B4" t="str">
            <v>LPM-107-07: Experience Assumptions for Individual Life Insurance and Annuities</v>
          </cell>
        </row>
        <row r="5">
          <cell r="B5" t="str">
            <v>LPM-121-13: Life Insurance and Annuity Non-forfeiture Practices</v>
          </cell>
        </row>
        <row r="6">
          <cell r="B6" t="str">
            <v>LPM-134-15: Digital Distribution in Insurance: A Quiet Revolution</v>
          </cell>
        </row>
        <row r="7">
          <cell r="B7" t="str">
            <v>LPM-142-16: Malcolm Life Enhances Its Variable Annuities, 2010</v>
          </cell>
        </row>
        <row r="8">
          <cell r="B8" t="str">
            <v>LPM-147-17: Life Insurance: Focusing on the Consumer (excluding Appendices)</v>
          </cell>
        </row>
        <row r="9">
          <cell r="B9" t="str">
            <v>LPM-148-19: Ch. 9 of Life Insurance Products and Finance, Atkinson and Dallas</v>
          </cell>
        </row>
        <row r="10">
          <cell r="B10" t="str">
            <v>LPM-149-19: Ch. 11, pp. 499-502 of Life Insurance Products and Finance, Atkinson and Dallas</v>
          </cell>
        </row>
        <row r="11">
          <cell r="B11" t="str">
            <v>LPM-150-19: Tax Reform Impacts on Life Insurance Pricing and Profitability, 2018</v>
          </cell>
        </row>
        <row r="12">
          <cell r="B12" t="str">
            <v>LPM-151-19: Transamerica Term Life: Understanding Post-Level Experience</v>
          </cell>
        </row>
        <row r="13">
          <cell r="B13" t="str">
            <v>LPM-152-19: Lapse Supported Insurance Analysis</v>
          </cell>
        </row>
        <row r="14">
          <cell r="B14" t="str">
            <v>LPM-165-19: Life Products and Features, ILA Committee, 2019</v>
          </cell>
        </row>
        <row r="15">
          <cell r="B15" t="str">
            <v>LPM-166-19: Annuity Product and Features, ILA Committee, 2019</v>
          </cell>
        </row>
        <row r="16">
          <cell r="B16" t="str">
            <v>ASOP 2: Non-guaranteed Charges or Benefits for Life Insurance Policies and Annuity Contracts, May 2011 (excluding Appendices)</v>
          </cell>
        </row>
        <row r="17">
          <cell r="B17" t="str">
            <v>ASOP 54: Pricing of Life and Annuity Products, Jun 2018</v>
          </cell>
        </row>
        <row r="18">
          <cell r="B18" t="str">
            <v>Impact of VM-20 on Life Insurance Product Development, SOA Research, Nov 2016, pp. 1-31 (excluding discussion of 20-year term)</v>
          </cell>
        </row>
        <row r="19">
          <cell r="B19" t="str">
            <v>The Use of Predictive Analytics in the Development of Experience Studies, The Actuary, 2015, pp. 26-34</v>
          </cell>
        </row>
        <row r="20">
          <cell r="B20" t="str">
            <v>Variable Annuity Guaranteed Living Benefits Utilization, SOA LIMRA Research, 2018, Executive Summary only (pp. 19-32)</v>
          </cell>
        </row>
        <row r="21">
          <cell r="B21" t="str">
            <v>Predictive Modeling for Life Insurance: Ways Life Insurers Can Participate in the Business Analytics Revolution, Product Matters, 2018</v>
          </cell>
        </row>
        <row r="22">
          <cell r="B22" t="str">
            <v>Macro-Pricing, Product Development Monograph, pp. 11-41</v>
          </cell>
        </row>
        <row r="23">
          <cell r="B23" t="str">
            <v>Life Insurance Acceleration Riders, SOA Reinsurance News, 2013, pp. 35-38</v>
          </cell>
        </row>
        <row r="24">
          <cell r="B24" t="str">
            <v>The Response of Life Insurance Pricing to Life Settlements, Product Matters, Sep 2006</v>
          </cell>
        </row>
        <row r="25">
          <cell r="B25" t="str">
            <v>Risk Based Pricing – Risk Management at Point of Sale, Product Matters, Jun 2009</v>
          </cell>
        </row>
        <row r="26">
          <cell r="B26" t="str">
            <v>Report on Pricing Using Market Consistent Embedded Value (MCEV), Jun 2012 (excluding Appendix 2)</v>
          </cell>
        </row>
        <row r="27">
          <cell r="B27" t="str">
            <v>Life Insurance for the Digital Age:  An End-to-End View, Product Matters, Nov 2017</v>
          </cell>
        </row>
        <row r="28">
          <cell r="B28" t="str">
            <v>Term Conversions: Pricing and Reserving, Product Matters, Mar 2017</v>
          </cell>
        </row>
        <row r="29">
          <cell r="B29" t="str">
            <v>Term Conversions - A Reinsurers Perspective, Product Matters, Jun 2012</v>
          </cell>
        </row>
        <row r="30">
          <cell r="B30" t="str">
            <v>Setting Assumptions, Exposure Draft, ASOP, Dec 2016</v>
          </cell>
        </row>
        <row r="31">
          <cell r="B31" t="str">
            <v>Term Mortality and Lapses, Product Matters, Aug 2005</v>
          </cell>
        </row>
        <row r="32">
          <cell r="B32" t="str">
            <v>Ending the Mortality Table, Living to 100 Symposium</v>
          </cell>
        </row>
        <row r="33">
          <cell r="B33" t="str">
            <v>Post Level Term Experience Results, 2014, pp. 21-44</v>
          </cell>
        </row>
        <row r="34">
          <cell r="B34" t="str">
            <v>Level Term Lapse Rates – Lessons Learned Here and in Canada, Product Matters, Oct 2011, pp. 11-14</v>
          </cell>
        </row>
        <row r="35">
          <cell r="B35" t="str">
            <v>Modeling of Policyholder Behavior for Life and Annuity Products, SOA, 2014, pp. 6, 9-16 &amp; 19-73</v>
          </cell>
        </row>
        <row r="36">
          <cell r="B36" t="str">
            <v>Report on Premium Persistency Assumptions Study of Flexible Premium Universal Life Products, May 2012, pp. 9-15</v>
          </cell>
        </row>
        <row r="37">
          <cell r="B37" t="str">
            <v>Understanding the Volatility Experience and Pricing Assumptions in Long-Term Care Insurance, 2014, pp. 4-46</v>
          </cell>
        </row>
        <row r="38">
          <cell r="B38" t="str">
            <v>Report on the Conversion Experience Study for the Level Premium Term Plans, 2016, pp. 6-9, 39-40 &amp; Appendix B</v>
          </cell>
        </row>
        <row r="39">
          <cell r="B39" t="str">
            <v>Long-Term Care Insurance: The SOA Pricing Project, 2016</v>
          </cell>
        </row>
        <row r="40">
          <cell r="B40" t="str">
            <v>Table Development, Feb 2018 (excluding Appendices C, D, F, G &amp; H)</v>
          </cell>
        </row>
        <row r="41">
          <cell r="B41" t="str">
            <v>LPM-113-09: Economics of Insurance: How Insurers Create Value for Shareholders, pp. 4-31</v>
          </cell>
        </row>
        <row r="42">
          <cell r="B42" t="str">
            <v>LPM-153-19: Life in-force Management: Improving Consumer Value and Long-Term Profitability</v>
          </cell>
        </row>
        <row r="43">
          <cell r="B43" t="str">
            <v xml:space="preserve">LPM-154-19: Introduction to Source of Earnings Analysis, 2015, Exclude Appendix </v>
          </cell>
        </row>
        <row r="44">
          <cell r="B44" t="str">
            <v>LPM-155-19: Understanding Profitability in Life Insurance</v>
          </cell>
        </row>
        <row r="45">
          <cell r="B45" t="str">
            <v>Earnings Emergence Insurance Accounting under Multiple Financial Reporting Bases, 2015, pp. 4-6, 10-24 &amp; 45-53</v>
          </cell>
        </row>
        <row r="46">
          <cell r="B46" t="str">
            <v>Relationship of IRR to ROI on a Level Term Life Insurance Policy, Product Matters, Jun 2013, pp. 18-21</v>
          </cell>
        </row>
        <row r="47">
          <cell r="B47" t="str">
            <v>Evolving Strategies to Improve Inforce Post-Level Term Profitability, Product Matters, Feb 2015, pp. 23-29</v>
          </cell>
        </row>
        <row r="48">
          <cell r="B48" t="str">
            <v>LPM-110-07: Policyholder Dividends</v>
          </cell>
        </row>
        <row r="49">
          <cell r="B49" t="str">
            <v>LPM-133-16: Testing for Adverse Selection in Life Settlements: The Secondary Market for Life Insurance Policies, pp. 2-18</v>
          </cell>
        </row>
        <row r="50">
          <cell r="B50" t="str">
            <v>LPM-156-19: The Impact of Stochastic Volatility on Pricing, Hedging and Hedge Efficiency of Withdrawal Benefit Guarantees in Variable Annuities (Note: Candidates not responsible for mathematical derivations or detailed results, but should understand concepts and methodology)</v>
          </cell>
        </row>
        <row r="51">
          <cell r="B51" t="str">
            <v>LPM-157-19: Diversification of Longevity and Mortality Risk</v>
          </cell>
        </row>
        <row r="52">
          <cell r="B52" t="str">
            <v>LPM-159-19: New York State Department of Financial Services 11 NYCRR 48 (Insurance Regulation 210), pp. 4-9</v>
          </cell>
        </row>
        <row r="53">
          <cell r="B53" t="str">
            <v>Transition to a High Interest Rate Environment: Preparing for Uncertainty, SOA Research, Jul 2015, Executive Summary, section IV: parts C (1-4 &amp; 8-11 only), D, E &amp; H</v>
          </cell>
        </row>
        <row r="54">
          <cell r="B54" t="str">
            <v>Experience Study Calculations, Oct 2016, sections 2-4, 11, 12, 15, 17 &amp; 18 (excluding 18.2, 18.8 &amp; 18.9)</v>
          </cell>
        </row>
        <row r="55">
          <cell r="B55" t="str">
            <v>Credibility Theory Practices, 2009 (excluding Appendices and formula derivations)</v>
          </cell>
        </row>
        <row r="56">
          <cell r="B56" t="str">
            <v>TransUnion’s TrueRisk Life Creation and Validation of the Industry’s Leading Credit-Based Insurance Score, RGA, 2019</v>
          </cell>
        </row>
        <row r="57">
          <cell r="B57" t="str">
            <v>LexisNexis® Risk Classifier – stratifying mortality risk using alternative data sources</v>
          </cell>
        </row>
        <row r="58">
          <cell r="B58" t="str">
            <v>Life, Health &amp; Annuity Reinsurance, Tiller, John E. and Tiller, Denise, 4th Edition, 2015 - Ch. 4: Basic Methods of Reinsurance</v>
          </cell>
        </row>
        <row r="59">
          <cell r="B59" t="str">
            <v>Life, Health &amp; Annuity Reinsurance, Tiller, John E. and Tiller, Denise, 4th Edition, 2015 - Ch. 5: Advanced Methods and Structures of Reinsurance</v>
          </cell>
        </row>
        <row r="60">
          <cell r="B60" t="str">
            <v>Life, Health &amp; Annuity Reinsurance, Tiller, John E. and Tiller, Denise, 4th Edition, 2015 - Ch. 6: Assumption</v>
          </cell>
        </row>
        <row r="61">
          <cell r="B61" t="str">
            <v>Life, Health &amp; Annuity Reinsurance, Tiller, John E. and Tiller, Denise, 4th Edition, 2015 - Ch. 7: Reinsurance of Inforce Risks</v>
          </cell>
        </row>
        <row r="62">
          <cell r="B62" t="str">
            <v>Life, Health &amp; Annuity Reinsurance, Tiller, John E. and Tiller, Denise, 4th Edition, 2015 - Ch. 9: Risk Transfer Considerations (pp. 269-280)</v>
          </cell>
        </row>
        <row r="63">
          <cell r="B63" t="str">
            <v xml:space="preserve">Life, Health &amp; Annuity Reinsurance, Tiller, John E. and Tiller, Denise, 4th Edition, 2015 - Ch. 17: Nonproportional Reinsurance </v>
          </cell>
        </row>
        <row r="64">
          <cell r="B64" t="str">
            <v>LPM-160-19: Strategic Reinsurance and Insurance: The Increasing Trend of Customized Solutions, pp. 1-4, 14-15 &amp; 18-31</v>
          </cell>
        </row>
        <row r="65">
          <cell r="B65" t="str">
            <v>Managing Investment Portfolios, Maginn, John L. and Tuttle, Donald L., 3rd Edition, 2007 - Ch. 3: Managing Institutional Investor Portfolios (section 4.1)</v>
          </cell>
        </row>
        <row r="66">
          <cell r="B66" t="str">
            <v>Managing Investment Portfolios, Maginn, John L. and Tuttle, Donald L., 3rd Edition, 2007 - Ch. 5: Asset Allocation (sections 2-4)</v>
          </cell>
        </row>
        <row r="67">
          <cell r="B67" t="str">
            <v>Managing Investment Portfolios, Maginn, John L. and Tuttle, Donald L., 3rd Edition, 2007 - Ch. 6: Fixed-Income Portfolio Management (sections 1-5)</v>
          </cell>
        </row>
        <row r="68">
          <cell r="B68" t="str">
            <v>Managing Investment Portfolios, Maginn, John L. and Tuttle, Donald L., 3rd Edition, 2007 - Ch. 8: Alternative Investments Portfolio Management (section 3)</v>
          </cell>
        </row>
        <row r="69">
          <cell r="B69" t="str">
            <v>Managing Investment Portfolios, Maginn, John L. and Tuttle, Donald L., 3rd Edition, 2007 - Ch.12: Evaluating Portfolio Performance (section 4)</v>
          </cell>
        </row>
        <row r="70">
          <cell r="B70" t="str">
            <v>Handbook of Fixed Income Securities, Fabozzi, Frank J., 8th Edition, 2012 - Ch. 6: Bond Pricing, Yield Measures and Total Return (pp. 102-120)</v>
          </cell>
        </row>
        <row r="71">
          <cell r="B71" t="str">
            <v>Handbook of Fixed Income Securities, Fabozzi, Frank J., 8th Edition, 2012 - Ch. 9: U.S. Treasury Securities (pp. 194-205)</v>
          </cell>
        </row>
        <row r="72">
          <cell r="B72" t="str">
            <v>Handbook of Fixed Income Securities, Fabozzi, Frank J., 8th Edition, 2012 - Ch. 10: Agency Debt Securities (pp. 207-220)</v>
          </cell>
        </row>
        <row r="73">
          <cell r="B73" t="str">
            <v>Handbook of Fixed Income Securities, Fabozzi, Frank J., 8th Edition, 2012 - Ch. 11: Municipal Bonds (pp. 225-230 &amp; 234-246)</v>
          </cell>
        </row>
        <row r="74">
          <cell r="B74" t="str">
            <v>Handbook of Fixed Income Securities, Fabozzi, Frank J., 8th Edition, 2012 - Ch. 12: Corporate Bonds (pp. 259-287, excluding exhibits 12-1 &amp; 12-2)</v>
          </cell>
        </row>
        <row r="75">
          <cell r="B75" t="str">
            <v>Handbook of Fixed Income Securities, Fabozzi, Frank J., 8th Edition, 2012 - Ch. 16: Private Money Market Instruments (pp. 337-340 &amp; 345-351)</v>
          </cell>
        </row>
        <row r="76">
          <cell r="B76" t="str">
            <v>Handbook of Fixed Income Securities, Fabozzi, Frank J., 8th Edition, 2012 - Ch. 17: Floating-Rate Securities</v>
          </cell>
        </row>
        <row r="77">
          <cell r="B77" t="str">
            <v>Handbook of Fixed Income Securities, Fabozzi, Frank J., 8th Edition, 2012 - Ch. 24: An Overview of Mortgages and the Mortgage Market</v>
          </cell>
        </row>
        <row r="78">
          <cell r="B78" t="str">
            <v>Handbook of Fixed Income Securities, Fabozzi, Frank J., 8th Edition, 2012 - Ch. 25: Agency Mortgage-Backed Securities</v>
          </cell>
        </row>
        <row r="79">
          <cell r="B79" t="str">
            <v>Handbook of Fixed Income Securities, Fabozzi, Frank J., 8th Edition, 2012 - Ch. 26: Agency Collateralized Mortgage Obligations</v>
          </cell>
        </row>
        <row r="80">
          <cell r="B80" t="str">
            <v>Handbook of Fixed Income Securities, Fabozzi, Frank J., 8th Edition, 2012 - Ch. 62: Interest-Rate Swaps and Swaptions</v>
          </cell>
        </row>
        <row r="81">
          <cell r="B81" t="str">
            <v>Handbook of Fixed Income Securities, Fabozzi, Frank J., 8th Edition, 2012 - Ch. 66: Credit Derivatives (pp. 1541-1559)</v>
          </cell>
        </row>
        <row r="82">
          <cell r="B82" t="str">
            <v>LPM-161-19: High-Yield Bond Market Primer</v>
          </cell>
        </row>
        <row r="83">
          <cell r="B83" t="str">
            <v>LPM-162-19: Liquidity Risk Management: Best Risk Management Practices</v>
          </cell>
        </row>
        <row r="84">
          <cell r="B84" t="str">
            <v>LPM-163-19: Managing your Advisor: A Guide to Getting the Most Out of the Portfolio Management Process</v>
          </cell>
        </row>
        <row r="85">
          <cell r="B85" t="str">
            <v>LPM-164-19: Ch. 7 (sections 7.2-7.5 &amp; 7A) and Ch. 8 (sections 8.3-8.6) of Derivatives Markets, McDonald, 3rd Edition</v>
          </cell>
        </row>
        <row r="86">
          <cell r="B86" t="str">
            <v>LIBOR and SOFR, 2019</v>
          </cell>
        </row>
        <row r="87">
          <cell r="A87" t="str">
            <v>LO#1</v>
          </cell>
          <cell r="B87" t="str">
            <v>Retrieval</v>
          </cell>
        </row>
        <row r="88">
          <cell r="A88" t="str">
            <v>LO#2</v>
          </cell>
          <cell r="B88" t="str">
            <v>Comprehension</v>
          </cell>
        </row>
        <row r="89">
          <cell r="A89" t="str">
            <v>LO#3</v>
          </cell>
          <cell r="B89" t="str">
            <v>Analysis</v>
          </cell>
        </row>
        <row r="90">
          <cell r="A90" t="str">
            <v>LO#4</v>
          </cell>
          <cell r="B90" t="str">
            <v>Knowledge Utilization</v>
          </cell>
        </row>
        <row r="91">
          <cell r="A91" t="str">
            <v>LO#5</v>
          </cell>
        </row>
      </sheetData>
      <sheetData sheetId="27"/>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Exec Instructions"/>
      <sheetName val="Summary"/>
      <sheetName val="Coverage"/>
      <sheetName val="BG-2-2020"/>
      <sheetName val="BG-2-2020 calc"/>
      <sheetName val="BL-2-2021"/>
      <sheetName val="CB-2-2019"/>
      <sheetName val="FF-2-2019"/>
      <sheetName val="JL-1-2020"/>
      <sheetName val="JS-1-2020"/>
      <sheetName val="JS-1-2020 Calc"/>
      <sheetName val="JS-1-20201"/>
      <sheetName val="JS-1-2020 Calc1"/>
      <sheetName val="JW-1-2021"/>
      <sheetName val="JW-1-2021 Calc (b)(i)"/>
      <sheetName val="JW-1-2021 Calc (b)(ii)"/>
      <sheetName val="JW-1-2021 Table"/>
      <sheetName val="JW-2-2021"/>
      <sheetName val="JW-2-2021calc(b)(i)"/>
      <sheetName val="JeW-1-2021"/>
      <sheetName val="JeW-2-2021"/>
      <sheetName val="KG-1-2021"/>
      <sheetName val="KG-2-2021"/>
      <sheetName val="MC-1-2021"/>
      <sheetName val="MC-1-2021 Calc"/>
      <sheetName val="MD-1-2021_old"/>
      <sheetName val="MD-1-2021"/>
      <sheetName val="MD-1-2021 Calc"/>
      <sheetName val="MG-1-2019"/>
      <sheetName val="RF-1-2021"/>
      <sheetName val="RHa-1-2019"/>
      <sheetName val="RHa-1-2019 Calc"/>
      <sheetName val="SC-1-2021"/>
      <sheetName val="SM-1-2021"/>
      <sheetName val="SM-1-2021 Calc"/>
      <sheetName val="WD-1-2021"/>
      <sheetName val="WD-1-2021 Calc"/>
      <sheetName val="&lt;- Rubrics"/>
      <sheetName val="Rubric Template"/>
      <sheetName val="syllabus list"/>
      <sheetName val="LO"/>
      <sheetName val="BANKED---&gt;"/>
      <sheetName val="BL-1-2021"/>
      <sheetName val="CKB-1-2021"/>
      <sheetName val="KW-1-2019"/>
    </sheetNames>
    <sheetDataSet>
      <sheetData sheetId="0">
        <row r="2">
          <cell r="E2">
            <v>2021</v>
          </cell>
        </row>
      </sheetData>
      <sheetData sheetId="1"/>
      <sheetData sheetId="2"/>
      <sheetData sheetId="3"/>
      <sheetData sheetId="4"/>
      <sheetData sheetId="5">
        <row r="13">
          <cell r="K13">
            <v>7.0000000000000007E-2</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ow r="9">
          <cell r="C9" t="e">
            <v>#N/A</v>
          </cell>
        </row>
      </sheetData>
      <sheetData sheetId="40">
        <row r="4">
          <cell r="B4" t="str">
            <v>LPM-107-07: Experience Assumptions for Individual Life Insurance and Annuities</v>
          </cell>
        </row>
      </sheetData>
      <sheetData sheetId="41"/>
      <sheetData sheetId="42"/>
      <sheetData sheetId="43"/>
      <sheetData sheetId="44"/>
      <sheetData sheetId="4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172170-8D90-40C5-9DF6-D7D7C4779E64}">
  <sheetPr>
    <tabColor rgb="FF0070C0"/>
    <pageSetUpPr autoPageBreaks="0"/>
  </sheetPr>
  <dimension ref="A6:K21"/>
  <sheetViews>
    <sheetView showGridLines="0" tabSelected="1" zoomScale="115" zoomScaleNormal="115" workbookViewId="0">
      <selection activeCell="A9" sqref="A9"/>
    </sheetView>
  </sheetViews>
  <sheetFormatPr defaultRowHeight="14.4" x14ac:dyDescent="0.3"/>
  <cols>
    <col min="1" max="16384" width="8.88671875" style="263"/>
  </cols>
  <sheetData>
    <row r="6" spans="1:10" ht="33.6" x14ac:dyDescent="0.65">
      <c r="A6" s="262" t="s">
        <v>246</v>
      </c>
      <c r="B6" s="262"/>
      <c r="C6" s="262"/>
      <c r="D6" s="262"/>
      <c r="E6" s="262"/>
      <c r="F6" s="262"/>
      <c r="G6" s="262"/>
      <c r="H6" s="262"/>
      <c r="I6" s="262"/>
      <c r="J6" s="262"/>
    </row>
    <row r="7" spans="1:10" ht="6" customHeight="1" x14ac:dyDescent="0.3">
      <c r="A7" s="264"/>
      <c r="B7" s="264"/>
      <c r="C7" s="264"/>
      <c r="D7" s="264"/>
      <c r="E7" s="264"/>
      <c r="F7" s="264"/>
      <c r="G7" s="264"/>
      <c r="H7" s="264"/>
      <c r="I7" s="264"/>
      <c r="J7" s="264"/>
    </row>
    <row r="8" spans="1:10" ht="21" x14ac:dyDescent="0.4">
      <c r="A8" s="265" t="s">
        <v>256</v>
      </c>
      <c r="B8" s="265"/>
      <c r="C8" s="265"/>
      <c r="D8" s="265"/>
      <c r="E8" s="265"/>
      <c r="F8" s="265"/>
      <c r="G8" s="265"/>
      <c r="H8" s="265"/>
      <c r="I8" s="265"/>
      <c r="J8" s="265"/>
    </row>
    <row r="10" spans="1:10" ht="75" customHeight="1" x14ac:dyDescent="0.3">
      <c r="A10" s="266" t="s">
        <v>247</v>
      </c>
      <c r="B10" s="267" t="s">
        <v>248</v>
      </c>
      <c r="C10" s="267"/>
      <c r="D10" s="267"/>
      <c r="E10" s="267"/>
      <c r="F10" s="267"/>
      <c r="G10" s="267"/>
      <c r="H10" s="267"/>
      <c r="I10" s="267"/>
      <c r="J10" s="267"/>
    </row>
    <row r="11" spans="1:10" x14ac:dyDescent="0.3">
      <c r="B11" s="268"/>
      <c r="C11" s="268"/>
      <c r="D11" s="268"/>
      <c r="E11" s="268"/>
      <c r="F11" s="268"/>
      <c r="G11" s="268"/>
      <c r="H11" s="268"/>
      <c r="I11" s="268"/>
      <c r="J11" s="268"/>
    </row>
    <row r="12" spans="1:10" ht="45" customHeight="1" x14ac:dyDescent="0.3">
      <c r="A12" s="266" t="s">
        <v>247</v>
      </c>
      <c r="B12" s="267" t="s">
        <v>249</v>
      </c>
      <c r="C12" s="267"/>
      <c r="D12" s="267"/>
      <c r="E12" s="267"/>
      <c r="F12" s="267"/>
      <c r="G12" s="267"/>
      <c r="H12" s="267"/>
      <c r="I12" s="267"/>
      <c r="J12" s="267"/>
    </row>
    <row r="13" spans="1:10" x14ac:dyDescent="0.3">
      <c r="B13" s="268"/>
      <c r="C13" s="268"/>
      <c r="D13" s="268"/>
      <c r="E13" s="268"/>
      <c r="F13" s="268"/>
      <c r="G13" s="268"/>
      <c r="H13" s="268"/>
      <c r="I13" s="268"/>
      <c r="J13" s="268"/>
    </row>
    <row r="14" spans="1:10" ht="45.6" customHeight="1" x14ac:dyDescent="0.3">
      <c r="A14" s="266" t="s">
        <v>247</v>
      </c>
      <c r="B14" s="267" t="s">
        <v>250</v>
      </c>
      <c r="C14" s="267"/>
      <c r="D14" s="267"/>
      <c r="E14" s="267"/>
      <c r="F14" s="267"/>
      <c r="G14" s="267"/>
      <c r="H14" s="267"/>
      <c r="I14" s="267"/>
      <c r="J14" s="267"/>
    </row>
    <row r="15" spans="1:10" x14ac:dyDescent="0.3">
      <c r="B15" s="268"/>
      <c r="C15" s="268"/>
      <c r="D15" s="268"/>
      <c r="E15" s="268"/>
      <c r="F15" s="268"/>
      <c r="G15" s="268"/>
      <c r="H15" s="268"/>
      <c r="I15" s="268"/>
      <c r="J15" s="268"/>
    </row>
    <row r="16" spans="1:10" ht="72.599999999999994" customHeight="1" x14ac:dyDescent="0.3">
      <c r="A16" s="266" t="s">
        <v>247</v>
      </c>
      <c r="B16" s="267" t="s">
        <v>251</v>
      </c>
      <c r="C16" s="267"/>
      <c r="D16" s="267"/>
      <c r="E16" s="267"/>
      <c r="F16" s="267"/>
      <c r="G16" s="267"/>
      <c r="H16" s="267"/>
      <c r="I16" s="267"/>
      <c r="J16" s="267"/>
    </row>
    <row r="17" spans="1:11" x14ac:dyDescent="0.3">
      <c r="B17" s="268"/>
      <c r="C17" s="268"/>
      <c r="D17" s="268"/>
      <c r="E17" s="268"/>
      <c r="F17" s="268"/>
      <c r="G17" s="268"/>
      <c r="H17" s="268"/>
      <c r="I17" s="268"/>
      <c r="J17" s="268"/>
      <c r="K17" s="269"/>
    </row>
    <row r="18" spans="1:11" ht="44.4" customHeight="1" x14ac:dyDescent="0.3">
      <c r="A18" s="266" t="s">
        <v>247</v>
      </c>
      <c r="B18" s="267" t="s">
        <v>252</v>
      </c>
      <c r="C18" s="267"/>
      <c r="D18" s="267"/>
      <c r="E18" s="267"/>
      <c r="F18" s="267"/>
      <c r="G18" s="267"/>
      <c r="H18" s="267"/>
      <c r="I18" s="267"/>
      <c r="J18" s="267"/>
    </row>
    <row r="21" spans="1:11" x14ac:dyDescent="0.3">
      <c r="B21" s="270" t="s">
        <v>253</v>
      </c>
      <c r="C21" s="270"/>
      <c r="D21" s="271" t="s">
        <v>254</v>
      </c>
      <c r="E21" s="271"/>
      <c r="F21" s="271"/>
      <c r="G21" s="271"/>
      <c r="H21" s="272" t="s">
        <v>255</v>
      </c>
      <c r="I21" s="272"/>
      <c r="J21" s="272"/>
    </row>
  </sheetData>
  <mergeCells count="10">
    <mergeCell ref="B18:J18"/>
    <mergeCell ref="B21:C21"/>
    <mergeCell ref="D21:G21"/>
    <mergeCell ref="H21:J21"/>
    <mergeCell ref="A6:J6"/>
    <mergeCell ref="A8:J8"/>
    <mergeCell ref="B10:J10"/>
    <mergeCell ref="B12:J12"/>
    <mergeCell ref="B14:J14"/>
    <mergeCell ref="B16:J16"/>
  </mergeCells>
  <pageMargins left="0.7" right="0.7" top="0.75" bottom="0.75" header="0.3" footer="0.3"/>
  <pageSetup orientation="portrait"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C88D5B-F282-47FA-986E-137BEF7724A0}">
  <dimension ref="A1:V27"/>
  <sheetViews>
    <sheetView zoomScale="74" zoomScaleNormal="85" workbookViewId="0">
      <selection activeCell="B36" sqref="B36:E42"/>
    </sheetView>
  </sheetViews>
  <sheetFormatPr defaultColWidth="9.33203125" defaultRowHeight="15.6" x14ac:dyDescent="0.3"/>
  <cols>
    <col min="1" max="1" width="3.6640625" style="2" customWidth="1"/>
    <col min="2" max="2" width="28.6640625" style="2" customWidth="1"/>
    <col min="3" max="3" width="35.44140625" style="2" customWidth="1"/>
    <col min="4" max="8" width="2.5546875" style="2" customWidth="1"/>
    <col min="9" max="9" width="1" style="3" customWidth="1"/>
    <col min="10" max="10" width="4" style="55" customWidth="1"/>
    <col min="11" max="21" width="9.33203125" style="55"/>
    <col min="22" max="22" width="1" style="43" customWidth="1"/>
    <col min="23" max="16384" width="9.33203125" style="55"/>
  </cols>
  <sheetData>
    <row r="1" spans="1:21" x14ac:dyDescent="0.3">
      <c r="A1" s="1" t="s">
        <v>154</v>
      </c>
      <c r="J1" s="1" t="s">
        <v>154</v>
      </c>
      <c r="K1" s="2"/>
      <c r="L1" s="2"/>
      <c r="M1" s="2"/>
      <c r="N1" s="2"/>
      <c r="O1" s="2"/>
      <c r="P1" s="2"/>
      <c r="Q1" s="2"/>
      <c r="R1" s="2"/>
      <c r="S1" s="2"/>
      <c r="T1" s="2"/>
      <c r="U1" s="2"/>
    </row>
    <row r="2" spans="1:21" x14ac:dyDescent="0.3">
      <c r="A2" s="1" t="s">
        <v>1</v>
      </c>
      <c r="J2" s="1" t="s">
        <v>1</v>
      </c>
      <c r="K2" s="2"/>
      <c r="L2" s="2"/>
      <c r="M2" s="2"/>
      <c r="N2" s="2"/>
      <c r="O2" s="2"/>
      <c r="P2" s="2"/>
      <c r="Q2" s="2"/>
      <c r="R2" s="2"/>
      <c r="S2" s="2"/>
      <c r="T2" s="2"/>
      <c r="U2" s="2"/>
    </row>
    <row r="3" spans="1:21" x14ac:dyDescent="0.3">
      <c r="A3" s="1" t="s">
        <v>106</v>
      </c>
      <c r="J3" s="1" t="s">
        <v>106</v>
      </c>
      <c r="K3" s="2"/>
      <c r="L3" s="2"/>
      <c r="M3" s="2"/>
      <c r="N3" s="2"/>
      <c r="O3" s="2"/>
      <c r="P3" s="2"/>
      <c r="Q3" s="2"/>
      <c r="R3" s="2"/>
      <c r="S3" s="2"/>
      <c r="T3" s="2"/>
      <c r="U3" s="2"/>
    </row>
    <row r="4" spans="1:21" x14ac:dyDescent="0.3">
      <c r="J4" s="2"/>
      <c r="K4" s="2"/>
      <c r="L4" s="2"/>
      <c r="M4" s="2"/>
      <c r="N4" s="2"/>
      <c r="O4" s="2"/>
      <c r="P4" s="2"/>
      <c r="Q4" s="2"/>
      <c r="R4" s="2"/>
      <c r="S4" s="2"/>
      <c r="T4" s="2"/>
      <c r="U4" s="2"/>
    </row>
    <row r="5" spans="1:21" ht="16.2" x14ac:dyDescent="0.35">
      <c r="A5" s="5" t="s">
        <v>48</v>
      </c>
      <c r="J5" s="5" t="s">
        <v>49</v>
      </c>
      <c r="K5" s="2"/>
      <c r="L5" s="2"/>
      <c r="M5" s="2"/>
      <c r="N5" s="2"/>
      <c r="O5" s="2"/>
      <c r="P5" s="2"/>
      <c r="Q5" s="2"/>
      <c r="R5" s="2"/>
      <c r="S5" s="2"/>
      <c r="T5" s="2"/>
      <c r="U5" s="2"/>
    </row>
    <row r="6" spans="1:21" x14ac:dyDescent="0.3">
      <c r="A6" s="47"/>
      <c r="J6" s="2"/>
      <c r="K6" s="2"/>
      <c r="L6" s="2"/>
      <c r="M6" s="2"/>
      <c r="N6" s="2"/>
      <c r="O6" s="2"/>
      <c r="P6" s="2"/>
      <c r="Q6" s="2"/>
      <c r="R6" s="2"/>
      <c r="S6" s="2"/>
      <c r="T6" s="2"/>
      <c r="U6" s="2"/>
    </row>
    <row r="7" spans="1:21" ht="15.75" customHeight="1" x14ac:dyDescent="0.3">
      <c r="A7" s="47" t="s">
        <v>50</v>
      </c>
      <c r="J7" s="2" t="s">
        <v>51</v>
      </c>
      <c r="K7" s="202" t="s">
        <v>153</v>
      </c>
      <c r="L7" s="202"/>
      <c r="M7" s="202"/>
      <c r="N7" s="202"/>
      <c r="O7" s="202"/>
      <c r="P7" s="202"/>
      <c r="Q7" s="202"/>
      <c r="R7" s="202"/>
      <c r="S7" s="202"/>
      <c r="T7" s="202"/>
      <c r="U7" s="202"/>
    </row>
    <row r="8" spans="1:21" x14ac:dyDescent="0.3">
      <c r="J8" s="2"/>
      <c r="K8" s="240"/>
      <c r="L8" s="240"/>
      <c r="M8" s="240"/>
      <c r="N8" s="240"/>
      <c r="O8" s="240"/>
      <c r="P8" s="240"/>
      <c r="Q8" s="240"/>
      <c r="R8" s="240"/>
      <c r="S8" s="240"/>
      <c r="T8" s="240"/>
      <c r="U8" s="240"/>
    </row>
    <row r="9" spans="1:21" x14ac:dyDescent="0.3">
      <c r="B9" s="241" t="s">
        <v>152</v>
      </c>
      <c r="C9" s="242"/>
      <c r="D9" s="54"/>
      <c r="E9" s="54"/>
      <c r="F9" s="54"/>
      <c r="G9" s="54"/>
      <c r="J9" s="2"/>
      <c r="K9" s="75"/>
      <c r="L9" s="2"/>
      <c r="M9" s="2"/>
      <c r="N9" s="2"/>
      <c r="O9" s="2"/>
      <c r="P9" s="144"/>
      <c r="Q9" s="8"/>
      <c r="R9" s="8"/>
      <c r="S9" s="8"/>
      <c r="T9" s="8"/>
      <c r="U9" s="8"/>
    </row>
    <row r="10" spans="1:21" x14ac:dyDescent="0.3">
      <c r="B10" s="59"/>
      <c r="C10" s="59"/>
      <c r="D10" s="59"/>
      <c r="E10" s="59"/>
      <c r="F10" s="59"/>
      <c r="G10" s="59"/>
      <c r="J10" s="2"/>
      <c r="K10" s="29" t="s">
        <v>75</v>
      </c>
      <c r="L10" s="2"/>
      <c r="M10" s="2"/>
      <c r="N10" s="2"/>
      <c r="O10" s="2"/>
      <c r="P10" s="147"/>
      <c r="Q10" s="8"/>
      <c r="R10" s="8"/>
      <c r="S10" s="8"/>
      <c r="T10" s="8"/>
      <c r="U10" s="8"/>
    </row>
    <row r="11" spans="1:21" x14ac:dyDescent="0.3">
      <c r="B11" s="1" t="s">
        <v>151</v>
      </c>
      <c r="J11" s="2"/>
      <c r="K11" s="75"/>
      <c r="L11" s="2"/>
      <c r="M11" s="2"/>
      <c r="N11" s="2"/>
      <c r="O11" s="2"/>
      <c r="P11" s="147"/>
      <c r="Q11" s="8"/>
      <c r="R11" s="8"/>
      <c r="S11" s="8"/>
      <c r="T11" s="8"/>
      <c r="U11" s="8"/>
    </row>
    <row r="12" spans="1:21" ht="15.75" customHeight="1" x14ac:dyDescent="0.3">
      <c r="B12" s="12" t="s">
        <v>150</v>
      </c>
      <c r="C12" s="153">
        <v>55</v>
      </c>
      <c r="D12" s="59"/>
      <c r="E12" s="59"/>
      <c r="F12" s="59"/>
      <c r="G12" s="59"/>
      <c r="J12" s="4"/>
      <c r="K12" s="160"/>
      <c r="L12" s="160"/>
      <c r="M12" s="160"/>
      <c r="N12" s="160"/>
      <c r="O12" s="160"/>
      <c r="P12" s="160"/>
      <c r="Q12" s="160"/>
      <c r="R12" s="160"/>
      <c r="S12" s="160"/>
      <c r="T12" s="160"/>
      <c r="U12" s="160"/>
    </row>
    <row r="13" spans="1:21" x14ac:dyDescent="0.3">
      <c r="B13" s="12" t="s">
        <v>149</v>
      </c>
      <c r="C13" s="153">
        <v>62</v>
      </c>
      <c r="D13" s="59"/>
      <c r="E13" s="59"/>
      <c r="F13" s="59"/>
      <c r="G13" s="59"/>
      <c r="J13" s="4"/>
      <c r="K13" s="160"/>
      <c r="L13" s="160"/>
      <c r="M13" s="160"/>
      <c r="N13" s="160"/>
      <c r="O13" s="160"/>
      <c r="P13" s="160"/>
      <c r="Q13" s="160"/>
      <c r="R13" s="160"/>
      <c r="S13" s="160"/>
      <c r="T13" s="160"/>
      <c r="U13" s="160"/>
    </row>
    <row r="14" spans="1:21" x14ac:dyDescent="0.3">
      <c r="B14" s="12" t="s">
        <v>78</v>
      </c>
      <c r="C14" s="153">
        <v>7</v>
      </c>
      <c r="D14" s="59"/>
      <c r="E14" s="59"/>
      <c r="F14" s="59"/>
      <c r="G14" s="59"/>
      <c r="J14" s="4"/>
      <c r="K14" s="159"/>
      <c r="L14" s="4"/>
      <c r="M14" s="4"/>
      <c r="N14" s="4"/>
      <c r="O14" s="4"/>
      <c r="P14" s="158"/>
      <c r="Q14" s="157"/>
      <c r="R14" s="157"/>
      <c r="S14" s="157"/>
      <c r="T14" s="157"/>
      <c r="U14" s="157"/>
    </row>
    <row r="15" spans="1:21" x14ac:dyDescent="0.3">
      <c r="B15" s="12" t="s">
        <v>148</v>
      </c>
      <c r="C15" s="156">
        <v>100000</v>
      </c>
      <c r="D15" s="59"/>
      <c r="E15" s="59"/>
      <c r="F15" s="59"/>
      <c r="G15" s="59"/>
    </row>
    <row r="16" spans="1:21" x14ac:dyDescent="0.3">
      <c r="B16" s="12" t="s">
        <v>147</v>
      </c>
      <c r="C16" s="155">
        <v>0.02</v>
      </c>
      <c r="D16" s="59"/>
      <c r="E16" s="59"/>
      <c r="F16" s="59"/>
      <c r="G16" s="59"/>
    </row>
    <row r="18" spans="1:22" s="4" customFormat="1" x14ac:dyDescent="0.3">
      <c r="A18" s="2"/>
      <c r="B18" s="1" t="s">
        <v>146</v>
      </c>
      <c r="C18" s="2"/>
      <c r="D18" s="2"/>
      <c r="E18" s="2"/>
      <c r="F18" s="2"/>
      <c r="G18" s="2"/>
      <c r="H18" s="2"/>
      <c r="I18" s="3"/>
      <c r="J18" s="55"/>
      <c r="K18" s="55"/>
      <c r="L18" s="55"/>
      <c r="M18" s="55"/>
      <c r="N18" s="55"/>
      <c r="O18" s="55"/>
      <c r="P18" s="55"/>
      <c r="Q18" s="55"/>
      <c r="R18" s="55"/>
      <c r="S18" s="55"/>
      <c r="T18" s="55"/>
      <c r="U18" s="55"/>
      <c r="V18" s="43"/>
    </row>
    <row r="19" spans="1:22" s="4" customFormat="1" x14ac:dyDescent="0.3">
      <c r="A19" s="2"/>
      <c r="B19" s="243" t="s">
        <v>100</v>
      </c>
      <c r="C19" s="243" t="s">
        <v>145</v>
      </c>
      <c r="D19" s="75"/>
      <c r="E19" s="75"/>
      <c r="F19" s="75"/>
      <c r="G19" s="75"/>
      <c r="H19" s="2"/>
      <c r="I19" s="3"/>
      <c r="J19" s="55"/>
      <c r="K19" s="55"/>
      <c r="L19" s="55"/>
      <c r="M19" s="55"/>
      <c r="N19" s="55"/>
      <c r="O19" s="55"/>
      <c r="P19" s="55"/>
      <c r="Q19" s="55"/>
      <c r="R19" s="55"/>
      <c r="S19" s="55"/>
      <c r="T19" s="55"/>
      <c r="U19" s="55"/>
      <c r="V19" s="43"/>
    </row>
    <row r="20" spans="1:22" s="4" customFormat="1" x14ac:dyDescent="0.3">
      <c r="A20" s="2"/>
      <c r="B20" s="244"/>
      <c r="C20" s="244"/>
      <c r="D20" s="75"/>
      <c r="E20" s="75"/>
      <c r="F20" s="75"/>
      <c r="G20" s="75"/>
      <c r="H20" s="2"/>
      <c r="I20" s="3"/>
      <c r="J20" s="55"/>
      <c r="K20" s="55"/>
      <c r="L20" s="55"/>
      <c r="M20" s="55"/>
      <c r="N20" s="55"/>
      <c r="O20" s="55"/>
      <c r="P20" s="55"/>
      <c r="Q20" s="55"/>
      <c r="R20" s="55"/>
      <c r="S20" s="55"/>
      <c r="T20" s="55"/>
      <c r="U20" s="55"/>
      <c r="V20" s="43"/>
    </row>
    <row r="21" spans="1:22" s="4" customFormat="1" x14ac:dyDescent="0.3">
      <c r="A21" s="2"/>
      <c r="B21" s="12" t="s">
        <v>92</v>
      </c>
      <c r="C21" s="153" t="s">
        <v>144</v>
      </c>
      <c r="D21" s="75"/>
      <c r="E21" s="75"/>
      <c r="F21" s="75"/>
      <c r="G21" s="75"/>
      <c r="H21" s="2"/>
      <c r="I21" s="3"/>
      <c r="J21" s="55"/>
      <c r="K21" s="55"/>
      <c r="L21" s="55"/>
      <c r="M21" s="55"/>
      <c r="N21" s="55"/>
      <c r="O21" s="55"/>
      <c r="P21" s="55"/>
      <c r="Q21" s="55"/>
      <c r="R21" s="55"/>
      <c r="S21" s="55"/>
      <c r="T21" s="55"/>
      <c r="U21" s="55"/>
      <c r="V21" s="43"/>
    </row>
    <row r="23" spans="1:22" s="4" customFormat="1" x14ac:dyDescent="0.3">
      <c r="A23" s="2"/>
      <c r="B23" s="1" t="s">
        <v>143</v>
      </c>
      <c r="C23" s="2"/>
      <c r="D23" s="2"/>
      <c r="E23" s="2"/>
      <c r="F23" s="2"/>
      <c r="G23" s="2"/>
      <c r="H23" s="2"/>
      <c r="I23" s="3"/>
      <c r="J23" s="55"/>
      <c r="K23" s="55"/>
      <c r="L23" s="55"/>
      <c r="M23" s="55"/>
      <c r="N23" s="55"/>
      <c r="O23" s="55"/>
      <c r="P23" s="55"/>
      <c r="Q23" s="55"/>
      <c r="R23" s="55"/>
      <c r="S23" s="55"/>
      <c r="T23" s="55"/>
      <c r="U23" s="55"/>
      <c r="V23" s="43"/>
    </row>
    <row r="24" spans="1:22" s="4" customFormat="1" x14ac:dyDescent="0.3">
      <c r="A24" s="2"/>
      <c r="B24" s="12" t="s">
        <v>142</v>
      </c>
      <c r="C24" s="153" t="s">
        <v>141</v>
      </c>
      <c r="D24" s="2"/>
      <c r="E24" s="2"/>
      <c r="F24" s="2"/>
      <c r="G24" s="2"/>
      <c r="H24" s="2"/>
      <c r="I24" s="3"/>
      <c r="J24" s="55"/>
      <c r="K24" s="55"/>
      <c r="L24" s="55"/>
      <c r="M24" s="55"/>
      <c r="N24" s="55"/>
      <c r="O24" s="55"/>
      <c r="P24" s="55"/>
      <c r="Q24" s="55"/>
      <c r="R24" s="55"/>
      <c r="S24" s="55"/>
      <c r="T24" s="55"/>
      <c r="U24" s="55"/>
      <c r="V24" s="43"/>
    </row>
    <row r="25" spans="1:22" s="4" customFormat="1" x14ac:dyDescent="0.3">
      <c r="A25" s="2"/>
      <c r="B25" s="12" t="s">
        <v>140</v>
      </c>
      <c r="C25" s="154">
        <v>0.06</v>
      </c>
      <c r="D25" s="2"/>
      <c r="E25" s="2"/>
      <c r="F25" s="2"/>
      <c r="G25" s="2"/>
      <c r="H25" s="2"/>
      <c r="I25" s="3"/>
      <c r="J25" s="55"/>
      <c r="K25" s="55"/>
      <c r="L25" s="55"/>
      <c r="M25" s="55"/>
      <c r="N25" s="55"/>
      <c r="O25" s="55"/>
      <c r="P25" s="55"/>
      <c r="Q25" s="55"/>
      <c r="R25" s="55"/>
      <c r="S25" s="55"/>
      <c r="T25" s="55"/>
      <c r="U25" s="55"/>
      <c r="V25" s="43"/>
    </row>
    <row r="26" spans="1:22" s="4" customFormat="1" x14ac:dyDescent="0.3">
      <c r="A26" s="2"/>
      <c r="B26" s="12" t="s">
        <v>139</v>
      </c>
      <c r="C26" s="153" t="s">
        <v>138</v>
      </c>
      <c r="D26" s="2"/>
      <c r="E26" s="2"/>
      <c r="F26" s="2"/>
      <c r="G26" s="2"/>
      <c r="H26" s="2"/>
      <c r="I26" s="3"/>
      <c r="J26" s="55"/>
      <c r="K26" s="55"/>
      <c r="L26" s="55"/>
      <c r="M26" s="55"/>
      <c r="N26" s="55"/>
      <c r="O26" s="55"/>
      <c r="P26" s="55"/>
      <c r="Q26" s="55"/>
      <c r="R26" s="55"/>
      <c r="S26" s="55"/>
      <c r="T26" s="55"/>
      <c r="U26" s="55"/>
      <c r="V26" s="43"/>
    </row>
    <row r="27" spans="1:22" s="4" customFormat="1" x14ac:dyDescent="0.3">
      <c r="A27" s="2"/>
      <c r="B27" s="12" t="s">
        <v>137</v>
      </c>
      <c r="C27" s="153">
        <v>17</v>
      </c>
      <c r="D27" s="2"/>
      <c r="E27" s="2"/>
      <c r="F27" s="2"/>
      <c r="G27" s="2"/>
      <c r="H27" s="2"/>
      <c r="I27" s="3"/>
      <c r="J27" s="55"/>
      <c r="K27" s="55"/>
      <c r="L27" s="55"/>
      <c r="M27" s="55"/>
      <c r="N27" s="55"/>
      <c r="O27" s="55"/>
      <c r="P27" s="55"/>
      <c r="Q27" s="55"/>
      <c r="R27" s="55"/>
      <c r="S27" s="55"/>
      <c r="T27" s="55"/>
      <c r="U27" s="55"/>
      <c r="V27" s="43"/>
    </row>
  </sheetData>
  <sheetProtection algorithmName="SHA-512" hashValue="/X6Xf3mPma3b+RYIQYn/xYtP5Hha35HZfFYoEqhDVLI3rpkkDAd4esF2+nnbbgJ/y9zN5vthvz7ZW+VqW2IZDw==" saltValue="95USrTakbx7ZOoQtxxq4vA==" spinCount="100000" sheet="1" formatCells="0" formatColumns="0" formatRows="0" insertColumns="0" insertRows="0"/>
  <protectedRanges>
    <protectedRange sqref="J1:U1048576" name="Range1"/>
  </protectedRanges>
  <mergeCells count="4">
    <mergeCell ref="K7:U8"/>
    <mergeCell ref="B9:C9"/>
    <mergeCell ref="B19:B20"/>
    <mergeCell ref="C19:C20"/>
  </mergeCells>
  <pageMargins left="0.7" right="0.7" top="0.75" bottom="0.75" header="0.3" footer="0.3"/>
  <pageSetup scale="84" orientation="portrait" horizontalDpi="4294967293" verticalDpi="300" r:id="rId1"/>
  <colBreaks count="1" manualBreakCount="1">
    <brk id="9"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1D18C6-4C03-445D-B319-4C5816EE169D}">
  <dimension ref="A1:V41"/>
  <sheetViews>
    <sheetView zoomScale="74" zoomScaleNormal="85" workbookViewId="0">
      <selection activeCell="B36" sqref="B36:E42"/>
    </sheetView>
  </sheetViews>
  <sheetFormatPr defaultColWidth="9.33203125" defaultRowHeight="15.6" x14ac:dyDescent="0.3"/>
  <cols>
    <col min="1" max="1" width="3.6640625" style="2" customWidth="1"/>
    <col min="2" max="2" width="28.6640625" style="2" customWidth="1"/>
    <col min="3" max="3" width="35.44140625" style="2" customWidth="1"/>
    <col min="4" max="8" width="2.5546875" style="2" customWidth="1"/>
    <col min="9" max="9" width="1" style="3" customWidth="1"/>
    <col min="10" max="10" width="4" style="55" customWidth="1"/>
    <col min="11" max="11" width="36.109375" style="55" bestFit="1" customWidth="1"/>
    <col min="12" max="19" width="13.6640625" style="55" customWidth="1"/>
    <col min="20" max="21" width="9.33203125" style="55"/>
    <col min="22" max="22" width="1" style="43" customWidth="1"/>
    <col min="23" max="16384" width="9.33203125" style="55"/>
  </cols>
  <sheetData>
    <row r="1" spans="1:21" x14ac:dyDescent="0.3">
      <c r="A1" s="1" t="s">
        <v>154</v>
      </c>
      <c r="J1" s="1" t="s">
        <v>154</v>
      </c>
      <c r="K1" s="2"/>
      <c r="L1" s="2"/>
      <c r="M1" s="2"/>
      <c r="N1" s="2"/>
      <c r="O1" s="2"/>
      <c r="P1" s="2"/>
      <c r="Q1" s="2"/>
      <c r="R1" s="2"/>
      <c r="S1" s="2"/>
      <c r="T1" s="2"/>
      <c r="U1" s="2"/>
    </row>
    <row r="2" spans="1:21" x14ac:dyDescent="0.3">
      <c r="A2" s="1" t="s">
        <v>1</v>
      </c>
      <c r="J2" s="1" t="s">
        <v>1</v>
      </c>
      <c r="K2" s="2"/>
      <c r="L2" s="2"/>
      <c r="M2" s="2"/>
      <c r="N2" s="2"/>
      <c r="O2" s="2"/>
      <c r="P2" s="2"/>
      <c r="Q2" s="2"/>
      <c r="R2" s="2"/>
      <c r="S2" s="2"/>
      <c r="T2" s="2"/>
      <c r="U2" s="2"/>
    </row>
    <row r="3" spans="1:21" x14ac:dyDescent="0.3">
      <c r="A3" s="1" t="s">
        <v>106</v>
      </c>
      <c r="J3" s="1" t="s">
        <v>106</v>
      </c>
      <c r="K3" s="2"/>
      <c r="L3" s="2"/>
      <c r="M3" s="2"/>
      <c r="N3" s="2"/>
      <c r="O3" s="2"/>
      <c r="P3" s="2"/>
      <c r="Q3" s="2"/>
      <c r="R3" s="2"/>
      <c r="S3" s="2"/>
      <c r="T3" s="2"/>
      <c r="U3" s="2"/>
    </row>
    <row r="4" spans="1:21" x14ac:dyDescent="0.3">
      <c r="J4" s="2"/>
      <c r="K4" s="2"/>
      <c r="L4" s="2"/>
      <c r="M4" s="2"/>
      <c r="N4" s="2"/>
      <c r="O4" s="2"/>
      <c r="P4" s="2"/>
      <c r="Q4" s="2"/>
      <c r="R4" s="2"/>
      <c r="S4" s="2"/>
      <c r="T4" s="2"/>
      <c r="U4" s="2"/>
    </row>
    <row r="5" spans="1:21" ht="16.2" x14ac:dyDescent="0.35">
      <c r="A5" s="5" t="s">
        <v>48</v>
      </c>
      <c r="J5" s="5" t="s">
        <v>49</v>
      </c>
      <c r="K5" s="2"/>
      <c r="L5" s="2"/>
      <c r="M5" s="2"/>
      <c r="N5" s="2"/>
      <c r="O5" s="2"/>
      <c r="P5" s="2"/>
      <c r="Q5" s="2"/>
      <c r="R5" s="2"/>
      <c r="S5" s="2"/>
      <c r="T5" s="2"/>
      <c r="U5" s="2"/>
    </row>
    <row r="6" spans="1:21" x14ac:dyDescent="0.3">
      <c r="A6" s="47"/>
      <c r="J6" s="2"/>
      <c r="K6" s="2"/>
      <c r="L6" s="2"/>
      <c r="M6" s="2"/>
      <c r="N6" s="2"/>
      <c r="O6" s="2"/>
      <c r="P6" s="2"/>
      <c r="Q6" s="2"/>
      <c r="R6" s="2"/>
      <c r="S6" s="2"/>
      <c r="T6" s="2"/>
      <c r="U6" s="2"/>
    </row>
    <row r="7" spans="1:21" ht="15.75" customHeight="1" x14ac:dyDescent="0.3">
      <c r="A7" s="47" t="s">
        <v>50</v>
      </c>
      <c r="J7" s="2" t="s">
        <v>51</v>
      </c>
      <c r="K7" s="202" t="s">
        <v>153</v>
      </c>
      <c r="L7" s="202"/>
      <c r="M7" s="202"/>
      <c r="N7" s="202"/>
      <c r="O7" s="202"/>
      <c r="P7" s="202"/>
      <c r="Q7" s="202"/>
      <c r="R7" s="202"/>
      <c r="S7" s="202"/>
      <c r="T7" s="202"/>
      <c r="U7" s="202"/>
    </row>
    <row r="8" spans="1:21" x14ac:dyDescent="0.3">
      <c r="J8" s="2"/>
      <c r="K8" s="240"/>
      <c r="L8" s="240"/>
      <c r="M8" s="240"/>
      <c r="N8" s="240"/>
      <c r="O8" s="240"/>
      <c r="P8" s="240"/>
      <c r="Q8" s="240"/>
      <c r="R8" s="240"/>
      <c r="S8" s="240"/>
      <c r="T8" s="240"/>
      <c r="U8" s="240"/>
    </row>
    <row r="9" spans="1:21" x14ac:dyDescent="0.3">
      <c r="B9" s="241" t="s">
        <v>152</v>
      </c>
      <c r="C9" s="242"/>
      <c r="D9" s="54"/>
      <c r="E9" s="54"/>
      <c r="F9" s="54"/>
      <c r="G9" s="54"/>
      <c r="J9" s="2"/>
      <c r="K9" s="75"/>
      <c r="L9" s="2"/>
      <c r="M9" s="2"/>
      <c r="N9" s="2"/>
      <c r="O9" s="2"/>
      <c r="P9" s="144"/>
      <c r="Q9" s="8"/>
      <c r="R9" s="8"/>
      <c r="S9" s="8"/>
      <c r="T9" s="8"/>
      <c r="U9" s="8"/>
    </row>
    <row r="10" spans="1:21" x14ac:dyDescent="0.3">
      <c r="B10" s="59"/>
      <c r="C10" s="59"/>
      <c r="D10" s="59"/>
      <c r="E10" s="59"/>
      <c r="F10" s="59"/>
      <c r="G10" s="59"/>
      <c r="J10" s="2"/>
      <c r="K10" s="29" t="s">
        <v>75</v>
      </c>
      <c r="L10" s="2"/>
      <c r="M10" s="2"/>
      <c r="N10" s="2"/>
      <c r="O10" s="2"/>
      <c r="P10" s="147"/>
      <c r="Q10" s="8"/>
      <c r="R10" s="8"/>
      <c r="S10" s="8"/>
      <c r="T10" s="8"/>
      <c r="U10" s="8"/>
    </row>
    <row r="11" spans="1:21" x14ac:dyDescent="0.3">
      <c r="B11" s="1" t="s">
        <v>151</v>
      </c>
      <c r="J11" s="2"/>
      <c r="K11" s="75"/>
      <c r="L11" s="2"/>
      <c r="M11" s="2"/>
      <c r="N11" s="2"/>
      <c r="O11" s="2"/>
      <c r="P11" s="147"/>
      <c r="Q11" s="8"/>
      <c r="R11" s="8"/>
      <c r="S11" s="8"/>
      <c r="T11" s="8"/>
      <c r="U11" s="8"/>
    </row>
    <row r="12" spans="1:21" ht="15.75" customHeight="1" x14ac:dyDescent="0.3">
      <c r="B12" s="12" t="s">
        <v>150</v>
      </c>
      <c r="C12" s="153">
        <v>55</v>
      </c>
      <c r="D12" s="59"/>
      <c r="E12" s="59"/>
      <c r="F12" s="59"/>
      <c r="G12" s="59"/>
      <c r="J12" s="4"/>
      <c r="K12" s="176" t="s">
        <v>17</v>
      </c>
      <c r="L12" s="177">
        <v>55</v>
      </c>
      <c r="M12" s="177">
        <f t="shared" ref="M12:R12" si="0">+L12+1</f>
        <v>56</v>
      </c>
      <c r="N12" s="177">
        <f t="shared" si="0"/>
        <v>57</v>
      </c>
      <c r="O12" s="177">
        <f t="shared" si="0"/>
        <v>58</v>
      </c>
      <c r="P12" s="177">
        <f t="shared" si="0"/>
        <v>59</v>
      </c>
      <c r="Q12" s="177">
        <f t="shared" si="0"/>
        <v>60</v>
      </c>
      <c r="R12" s="177">
        <f t="shared" si="0"/>
        <v>61</v>
      </c>
      <c r="S12" s="160"/>
      <c r="T12" s="160"/>
      <c r="U12" s="160"/>
    </row>
    <row r="13" spans="1:21" x14ac:dyDescent="0.3">
      <c r="B13" s="12" t="s">
        <v>149</v>
      </c>
      <c r="C13" s="153">
        <v>62</v>
      </c>
      <c r="D13" s="59"/>
      <c r="E13" s="59"/>
      <c r="F13" s="59"/>
      <c r="G13" s="59"/>
      <c r="J13" s="4"/>
      <c r="K13" s="176" t="s">
        <v>55</v>
      </c>
      <c r="L13" s="177">
        <v>1</v>
      </c>
      <c r="M13" s="177">
        <v>2</v>
      </c>
      <c r="N13" s="177">
        <v>3</v>
      </c>
      <c r="O13" s="177">
        <v>4</v>
      </c>
      <c r="P13" s="177">
        <v>5</v>
      </c>
      <c r="Q13" s="177">
        <v>6</v>
      </c>
      <c r="R13" s="177">
        <v>7</v>
      </c>
      <c r="S13" s="157"/>
      <c r="T13" s="157"/>
      <c r="U13" s="157"/>
    </row>
    <row r="14" spans="1:21" x14ac:dyDescent="0.3">
      <c r="B14" s="12" t="s">
        <v>78</v>
      </c>
      <c r="C14" s="153">
        <v>7</v>
      </c>
      <c r="D14" s="59"/>
      <c r="E14" s="59"/>
      <c r="F14" s="59"/>
      <c r="G14" s="59"/>
      <c r="J14" s="4"/>
      <c r="K14" s="176" t="s">
        <v>174</v>
      </c>
      <c r="L14" s="175">
        <f>C15</f>
        <v>100000</v>
      </c>
      <c r="M14" s="175">
        <f t="shared" ref="M14:R14" si="1">L14*(1+$C$16)</f>
        <v>102000</v>
      </c>
      <c r="N14" s="175">
        <f t="shared" si="1"/>
        <v>104040</v>
      </c>
      <c r="O14" s="175">
        <f t="shared" si="1"/>
        <v>106120.8</v>
      </c>
      <c r="P14" s="175">
        <f t="shared" si="1"/>
        <v>108243.216</v>
      </c>
      <c r="Q14" s="175">
        <f t="shared" si="1"/>
        <v>110408.08032000001</v>
      </c>
      <c r="R14" s="175">
        <f t="shared" si="1"/>
        <v>112616.24192640001</v>
      </c>
      <c r="S14" s="174"/>
      <c r="T14" s="157"/>
      <c r="U14" s="157"/>
    </row>
    <row r="15" spans="1:21" x14ac:dyDescent="0.3">
      <c r="B15" s="12" t="s">
        <v>148</v>
      </c>
      <c r="C15" s="156">
        <v>100000</v>
      </c>
      <c r="D15" s="59"/>
      <c r="E15" s="59"/>
      <c r="F15" s="59"/>
      <c r="G15" s="59"/>
      <c r="P15" s="60"/>
      <c r="Q15" s="58"/>
      <c r="R15" s="58"/>
      <c r="S15" s="58"/>
      <c r="T15" s="58"/>
      <c r="U15" s="58"/>
    </row>
    <row r="16" spans="1:21" x14ac:dyDescent="0.3">
      <c r="B16" s="12" t="s">
        <v>147</v>
      </c>
      <c r="C16" s="155">
        <v>0.02</v>
      </c>
      <c r="D16" s="59"/>
      <c r="E16" s="59"/>
      <c r="F16" s="59"/>
      <c r="G16" s="59"/>
      <c r="K16" s="171" t="s">
        <v>173</v>
      </c>
      <c r="M16" s="66"/>
      <c r="N16" s="66"/>
      <c r="O16" s="66"/>
      <c r="P16" s="66"/>
      <c r="Q16" s="66"/>
      <c r="R16" s="66"/>
      <c r="S16" s="66"/>
      <c r="T16" s="66"/>
      <c r="U16" s="66"/>
    </row>
    <row r="17" spans="1:22" x14ac:dyDescent="0.3">
      <c r="K17" s="55" t="s">
        <v>168</v>
      </c>
      <c r="L17" s="163">
        <f>(P14+Q14+R14)/3</f>
        <v>110422.5127488</v>
      </c>
      <c r="M17" s="161"/>
      <c r="N17" s="173"/>
      <c r="O17" s="66"/>
      <c r="P17" s="66"/>
      <c r="Q17" s="66"/>
      <c r="R17" s="66"/>
      <c r="S17" s="66"/>
      <c r="T17" s="66"/>
      <c r="U17" s="66"/>
    </row>
    <row r="18" spans="1:22" s="4" customFormat="1" x14ac:dyDescent="0.3">
      <c r="A18" s="2"/>
      <c r="B18" s="1" t="s">
        <v>146</v>
      </c>
      <c r="C18" s="2"/>
      <c r="D18" s="2"/>
      <c r="E18" s="2"/>
      <c r="F18" s="2"/>
      <c r="G18" s="2"/>
      <c r="H18" s="2"/>
      <c r="I18" s="3"/>
      <c r="J18" s="55"/>
      <c r="K18" s="55" t="s">
        <v>172</v>
      </c>
      <c r="L18" s="57">
        <f>0.25%*12*(65-C13)</f>
        <v>0.09</v>
      </c>
      <c r="M18" s="161"/>
      <c r="N18" s="163"/>
      <c r="O18" s="55"/>
      <c r="P18" s="60"/>
      <c r="Q18" s="58"/>
      <c r="R18" s="58"/>
      <c r="S18" s="58"/>
      <c r="T18" s="58"/>
      <c r="U18" s="58"/>
      <c r="V18" s="43"/>
    </row>
    <row r="19" spans="1:22" s="4" customFormat="1" x14ac:dyDescent="0.3">
      <c r="A19" s="2"/>
      <c r="B19" s="243" t="s">
        <v>100</v>
      </c>
      <c r="C19" s="243" t="s">
        <v>145</v>
      </c>
      <c r="D19" s="75"/>
      <c r="E19" s="75"/>
      <c r="F19" s="75"/>
      <c r="G19" s="75"/>
      <c r="H19" s="2"/>
      <c r="I19" s="3"/>
      <c r="J19" s="55"/>
      <c r="K19" s="62" t="s">
        <v>171</v>
      </c>
      <c r="L19" s="163">
        <f>0.75%*L17</f>
        <v>828.168845616</v>
      </c>
      <c r="M19" s="161"/>
      <c r="N19" s="55"/>
      <c r="O19" s="55"/>
      <c r="P19" s="55"/>
      <c r="Q19" s="55"/>
      <c r="R19" s="55"/>
      <c r="S19" s="55"/>
      <c r="T19" s="55"/>
      <c r="U19" s="55"/>
      <c r="V19" s="43"/>
    </row>
    <row r="20" spans="1:22" s="4" customFormat="1" x14ac:dyDescent="0.3">
      <c r="A20" s="2"/>
      <c r="B20" s="244"/>
      <c r="C20" s="244"/>
      <c r="D20" s="75"/>
      <c r="E20" s="75"/>
      <c r="F20" s="75"/>
      <c r="G20" s="75"/>
      <c r="H20" s="2"/>
      <c r="I20" s="3"/>
      <c r="J20" s="55"/>
      <c r="K20" s="55" t="s">
        <v>170</v>
      </c>
      <c r="L20" s="163">
        <f>+L19*C14*(1-L18)</f>
        <v>5275.43554657392</v>
      </c>
      <c r="M20" s="161"/>
      <c r="N20" s="55"/>
      <c r="O20" s="55"/>
      <c r="P20" s="55"/>
      <c r="Q20" s="55"/>
      <c r="R20" s="55"/>
      <c r="S20" s="55"/>
      <c r="T20" s="55"/>
      <c r="U20" s="55"/>
      <c r="V20" s="43"/>
    </row>
    <row r="21" spans="1:22" s="4" customFormat="1" x14ac:dyDescent="0.3">
      <c r="A21" s="2"/>
      <c r="B21" s="12" t="s">
        <v>92</v>
      </c>
      <c r="C21" s="153" t="s">
        <v>144</v>
      </c>
      <c r="D21" s="75"/>
      <c r="E21" s="75"/>
      <c r="F21" s="75"/>
      <c r="G21" s="75"/>
      <c r="H21" s="2"/>
      <c r="I21" s="3"/>
      <c r="J21" s="55"/>
      <c r="K21" s="55"/>
      <c r="L21" s="55"/>
      <c r="M21" s="55"/>
      <c r="N21" s="55"/>
      <c r="O21" s="55"/>
      <c r="P21" s="55"/>
      <c r="Q21" s="55"/>
      <c r="R21" s="55"/>
      <c r="S21" s="55"/>
      <c r="T21" s="55"/>
      <c r="U21" s="55"/>
      <c r="V21" s="43"/>
    </row>
    <row r="22" spans="1:22" x14ac:dyDescent="0.3">
      <c r="K22" s="172" t="s">
        <v>72</v>
      </c>
      <c r="L22" s="162">
        <f>+L20/L17</f>
        <v>4.7774999999999998E-2</v>
      </c>
    </row>
    <row r="23" spans="1:22" s="4" customFormat="1" x14ac:dyDescent="0.3">
      <c r="A23" s="2"/>
      <c r="B23" s="1" t="s">
        <v>143</v>
      </c>
      <c r="C23" s="2"/>
      <c r="D23" s="2"/>
      <c r="E23" s="2"/>
      <c r="F23" s="2"/>
      <c r="G23" s="2"/>
      <c r="H23" s="2"/>
      <c r="I23" s="3"/>
      <c r="J23" s="55"/>
      <c r="K23" s="55"/>
      <c r="L23" s="55"/>
      <c r="M23" s="55"/>
      <c r="N23" s="55"/>
      <c r="O23" s="55"/>
      <c r="P23" s="55"/>
      <c r="Q23" s="55"/>
      <c r="R23" s="55"/>
      <c r="S23" s="55"/>
      <c r="T23" s="55"/>
      <c r="U23" s="55"/>
      <c r="V23" s="43"/>
    </row>
    <row r="24" spans="1:22" s="4" customFormat="1" x14ac:dyDescent="0.3">
      <c r="A24" s="2"/>
      <c r="B24" s="12" t="s">
        <v>142</v>
      </c>
      <c r="C24" s="153" t="s">
        <v>141</v>
      </c>
      <c r="D24" s="2"/>
      <c r="E24" s="2"/>
      <c r="F24" s="2"/>
      <c r="G24" s="2"/>
      <c r="H24" s="2"/>
      <c r="I24" s="3"/>
      <c r="J24" s="55"/>
      <c r="K24" s="171" t="s">
        <v>169</v>
      </c>
      <c r="L24" s="55"/>
      <c r="M24" s="55"/>
      <c r="N24" s="55"/>
      <c r="O24" s="55"/>
      <c r="P24" s="55"/>
      <c r="Q24" s="55"/>
      <c r="R24" s="55"/>
      <c r="S24" s="55"/>
      <c r="T24" s="55"/>
      <c r="U24" s="55"/>
      <c r="V24" s="43"/>
    </row>
    <row r="25" spans="1:22" s="4" customFormat="1" x14ac:dyDescent="0.3">
      <c r="A25" s="2"/>
      <c r="B25" s="12" t="s">
        <v>140</v>
      </c>
      <c r="C25" s="154">
        <v>0.06</v>
      </c>
      <c r="D25" s="2"/>
      <c r="E25" s="2"/>
      <c r="F25" s="2"/>
      <c r="G25" s="2"/>
      <c r="H25" s="2"/>
      <c r="I25" s="3"/>
      <c r="J25" s="55"/>
      <c r="K25" s="55" t="s">
        <v>168</v>
      </c>
      <c r="L25" s="163">
        <f>SUM(P14:R14)/3</f>
        <v>110422.5127488</v>
      </c>
      <c r="M25" s="55"/>
      <c r="N25" s="55"/>
      <c r="O25" s="55"/>
      <c r="P25" s="55"/>
      <c r="Q25" s="55"/>
      <c r="R25" s="55"/>
      <c r="S25" s="55"/>
      <c r="T25" s="55"/>
      <c r="U25" s="55"/>
      <c r="V25" s="43"/>
    </row>
    <row r="26" spans="1:22" s="4" customFormat="1" x14ac:dyDescent="0.3">
      <c r="A26" s="2"/>
      <c r="B26" s="12" t="s">
        <v>139</v>
      </c>
      <c r="C26" s="153" t="s">
        <v>138</v>
      </c>
      <c r="D26" s="2"/>
      <c r="E26" s="2"/>
      <c r="F26" s="2"/>
      <c r="G26" s="2"/>
      <c r="H26" s="2"/>
      <c r="I26" s="3"/>
      <c r="J26" s="55"/>
      <c r="K26" s="55"/>
      <c r="L26" s="55"/>
      <c r="M26" s="55"/>
      <c r="N26" s="55"/>
      <c r="O26" s="55"/>
      <c r="P26" s="55"/>
      <c r="Q26" s="55"/>
      <c r="R26" s="55"/>
      <c r="S26" s="55"/>
      <c r="T26" s="55"/>
      <c r="U26" s="55"/>
      <c r="V26" s="43"/>
    </row>
    <row r="27" spans="1:22" s="4" customFormat="1" x14ac:dyDescent="0.3">
      <c r="A27" s="2"/>
      <c r="B27" s="12" t="s">
        <v>137</v>
      </c>
      <c r="C27" s="153">
        <v>17</v>
      </c>
      <c r="D27" s="2"/>
      <c r="E27" s="2"/>
      <c r="F27" s="2"/>
      <c r="G27" s="2"/>
      <c r="H27" s="2"/>
      <c r="I27" s="3"/>
      <c r="J27" s="55"/>
      <c r="K27" s="55"/>
      <c r="L27" s="55"/>
      <c r="M27" s="55"/>
      <c r="N27" s="55"/>
      <c r="O27" s="170" t="s">
        <v>167</v>
      </c>
      <c r="P27" s="55"/>
      <c r="Q27" s="55"/>
      <c r="R27" s="55"/>
      <c r="S27" s="55"/>
      <c r="T27" s="55"/>
      <c r="U27" s="55"/>
      <c r="V27" s="43"/>
    </row>
    <row r="28" spans="1:22" x14ac:dyDescent="0.3">
      <c r="O28" s="169">
        <v>6.8122690191918328E-2</v>
      </c>
      <c r="P28" s="55" t="s">
        <v>166</v>
      </c>
    </row>
    <row r="29" spans="1:22" x14ac:dyDescent="0.3">
      <c r="P29" s="55" t="s">
        <v>165</v>
      </c>
    </row>
    <row r="30" spans="1:22" ht="93.6" x14ac:dyDescent="0.3">
      <c r="N30" s="168" t="s">
        <v>164</v>
      </c>
      <c r="O30" s="168" t="s">
        <v>163</v>
      </c>
      <c r="P30" s="168" t="s">
        <v>162</v>
      </c>
      <c r="Q30" s="168" t="s">
        <v>161</v>
      </c>
      <c r="T30" s="166"/>
      <c r="U30" s="166"/>
    </row>
    <row r="31" spans="1:22" ht="31.2" x14ac:dyDescent="0.3">
      <c r="K31" s="62" t="s">
        <v>55</v>
      </c>
      <c r="L31" s="163" t="s">
        <v>160</v>
      </c>
      <c r="M31" s="55" t="s">
        <v>56</v>
      </c>
      <c r="N31" s="168" t="s">
        <v>159</v>
      </c>
      <c r="O31" s="168" t="s">
        <v>158</v>
      </c>
      <c r="P31" s="168" t="s">
        <v>157</v>
      </c>
      <c r="Q31" s="55" t="s">
        <v>61</v>
      </c>
    </row>
    <row r="32" spans="1:22" x14ac:dyDescent="0.3">
      <c r="K32" s="55">
        <v>1</v>
      </c>
      <c r="L32" s="167">
        <f>L14</f>
        <v>100000</v>
      </c>
      <c r="M32" s="167">
        <v>0</v>
      </c>
      <c r="N32" s="167">
        <f t="shared" ref="N32:N38" si="2">+L32*3%</f>
        <v>3000</v>
      </c>
      <c r="O32" s="167">
        <f t="shared" ref="O32:O38" si="3">+L32*$O$28</f>
        <v>6812.2690191918327</v>
      </c>
      <c r="P32" s="167">
        <f t="shared" ref="P32:P38" si="4">+M32*$C$25+(N32+O32)*$C$25/2</f>
        <v>294.36807057575498</v>
      </c>
      <c r="Q32" s="167">
        <f t="shared" ref="Q32:Q38" si="5">+M32+N32+O32+P32</f>
        <v>10106.637089767588</v>
      </c>
      <c r="R32" s="166"/>
      <c r="T32" s="166"/>
      <c r="U32" s="165"/>
    </row>
    <row r="33" spans="11:21" x14ac:dyDescent="0.3">
      <c r="K33" s="55">
        <f t="shared" ref="K33:K38" si="6">+K32+1</f>
        <v>2</v>
      </c>
      <c r="L33" s="167">
        <f>M14</f>
        <v>102000</v>
      </c>
      <c r="M33" s="167">
        <f t="shared" ref="M33:M38" si="7">+Q32</f>
        <v>10106.637089767588</v>
      </c>
      <c r="N33" s="167">
        <f t="shared" si="2"/>
        <v>3060</v>
      </c>
      <c r="O33" s="167">
        <f t="shared" si="3"/>
        <v>6948.5143995756698</v>
      </c>
      <c r="P33" s="167">
        <f t="shared" si="4"/>
        <v>906.65365737332536</v>
      </c>
      <c r="Q33" s="167">
        <f t="shared" si="5"/>
        <v>21021.805146716582</v>
      </c>
      <c r="R33" s="166"/>
      <c r="S33" s="166"/>
      <c r="T33" s="166"/>
      <c r="U33" s="165"/>
    </row>
    <row r="34" spans="11:21" x14ac:dyDescent="0.3">
      <c r="K34" s="55">
        <f t="shared" si="6"/>
        <v>3</v>
      </c>
      <c r="L34" s="167">
        <f>N14</f>
        <v>104040</v>
      </c>
      <c r="M34" s="167">
        <f t="shared" si="7"/>
        <v>21021.805146716582</v>
      </c>
      <c r="N34" s="167">
        <f t="shared" si="2"/>
        <v>3121.2</v>
      </c>
      <c r="O34" s="167">
        <f t="shared" si="3"/>
        <v>7087.4846875671828</v>
      </c>
      <c r="P34" s="167">
        <f t="shared" si="4"/>
        <v>1567.5688494300102</v>
      </c>
      <c r="Q34" s="167">
        <f t="shared" si="5"/>
        <v>32798.058683713774</v>
      </c>
      <c r="R34" s="166"/>
      <c r="S34" s="166"/>
      <c r="T34" s="166"/>
      <c r="U34" s="165"/>
    </row>
    <row r="35" spans="11:21" x14ac:dyDescent="0.3">
      <c r="K35" s="55">
        <f t="shared" si="6"/>
        <v>4</v>
      </c>
      <c r="L35" s="167">
        <f>O14</f>
        <v>106120.8</v>
      </c>
      <c r="M35" s="167">
        <f t="shared" si="7"/>
        <v>32798.058683713774</v>
      </c>
      <c r="N35" s="167">
        <f t="shared" si="2"/>
        <v>3183.6239999999998</v>
      </c>
      <c r="O35" s="167">
        <f t="shared" si="3"/>
        <v>7229.2343813185271</v>
      </c>
      <c r="P35" s="167">
        <f t="shared" si="4"/>
        <v>2280.2692724623821</v>
      </c>
      <c r="Q35" s="167">
        <f t="shared" si="5"/>
        <v>45491.186337494692</v>
      </c>
      <c r="R35" s="166"/>
      <c r="S35" s="166"/>
      <c r="T35" s="166"/>
      <c r="U35" s="165"/>
    </row>
    <row r="36" spans="11:21" x14ac:dyDescent="0.3">
      <c r="K36" s="55">
        <f t="shared" si="6"/>
        <v>5</v>
      </c>
      <c r="L36" s="167">
        <f>P14</f>
        <v>108243.216</v>
      </c>
      <c r="M36" s="167">
        <f t="shared" si="7"/>
        <v>45491.186337494692</v>
      </c>
      <c r="N36" s="167">
        <f t="shared" si="2"/>
        <v>3247.29648</v>
      </c>
      <c r="O36" s="167">
        <f t="shared" si="3"/>
        <v>7373.8190689448975</v>
      </c>
      <c r="P36" s="167">
        <f t="shared" si="4"/>
        <v>3048.1046467180281</v>
      </c>
      <c r="Q36" s="167">
        <f t="shared" si="5"/>
        <v>59160.406533157613</v>
      </c>
      <c r="R36" s="166"/>
      <c r="S36" s="166"/>
      <c r="T36" s="166"/>
      <c r="U36" s="165"/>
    </row>
    <row r="37" spans="11:21" x14ac:dyDescent="0.3">
      <c r="K37" s="55">
        <f t="shared" si="6"/>
        <v>6</v>
      </c>
      <c r="L37" s="167">
        <f>Q14</f>
        <v>110408.08032000001</v>
      </c>
      <c r="M37" s="167">
        <f t="shared" si="7"/>
        <v>59160.406533157613</v>
      </c>
      <c r="N37" s="167">
        <f t="shared" si="2"/>
        <v>3312.2424096</v>
      </c>
      <c r="O37" s="167">
        <f t="shared" si="3"/>
        <v>7521.2954503237952</v>
      </c>
      <c r="P37" s="167">
        <f t="shared" si="4"/>
        <v>3874.6305277871706</v>
      </c>
      <c r="Q37" s="167">
        <f t="shared" si="5"/>
        <v>73868.574920868588</v>
      </c>
      <c r="R37" s="166"/>
      <c r="S37" s="166"/>
      <c r="T37" s="166"/>
      <c r="U37" s="165"/>
    </row>
    <row r="38" spans="11:21" x14ac:dyDescent="0.3">
      <c r="K38" s="55">
        <f t="shared" si="6"/>
        <v>7</v>
      </c>
      <c r="L38" s="167">
        <f>R14</f>
        <v>112616.24192640001</v>
      </c>
      <c r="M38" s="167">
        <f t="shared" si="7"/>
        <v>73868.574920868588</v>
      </c>
      <c r="N38" s="167">
        <f t="shared" si="2"/>
        <v>3378.487257792</v>
      </c>
      <c r="O38" s="167">
        <f t="shared" si="3"/>
        <v>7671.7213593302713</v>
      </c>
      <c r="P38" s="167">
        <f t="shared" si="4"/>
        <v>4763.6207537657838</v>
      </c>
      <c r="Q38" s="167">
        <f t="shared" si="5"/>
        <v>89682.404291756655</v>
      </c>
      <c r="R38" s="166"/>
      <c r="S38" s="166"/>
      <c r="T38" s="166"/>
      <c r="U38" s="165"/>
    </row>
    <row r="39" spans="11:21" x14ac:dyDescent="0.3">
      <c r="L39" s="164"/>
    </row>
    <row r="40" spans="11:21" x14ac:dyDescent="0.3">
      <c r="Q40" s="163">
        <f>+Q38/C27</f>
        <v>5275.4355465739209</v>
      </c>
      <c r="R40" s="55" t="s">
        <v>156</v>
      </c>
      <c r="U40" s="161"/>
    </row>
    <row r="41" spans="11:21" x14ac:dyDescent="0.3">
      <c r="Q41" s="162">
        <f>+Q40/L25</f>
        <v>4.7775000000000005E-2</v>
      </c>
      <c r="R41" s="55" t="s">
        <v>155</v>
      </c>
      <c r="U41" s="161"/>
    </row>
  </sheetData>
  <sheetProtection algorithmName="SHA-512" hashValue="/X6Xf3mPma3b+RYIQYn/xYtP5Hha35HZfFYoEqhDVLI3rpkkDAd4esF2+nnbbgJ/y9zN5vthvz7ZW+VqW2IZDw==" saltValue="95USrTakbx7ZOoQtxxq4vA==" spinCount="100000" sheet="1" formatCells="0" formatColumns="0" formatRows="0" insertColumns="0" insertRows="0"/>
  <protectedRanges>
    <protectedRange sqref="J1:U1048576" name="Range1"/>
  </protectedRanges>
  <mergeCells count="4">
    <mergeCell ref="K7:U8"/>
    <mergeCell ref="B9:C9"/>
    <mergeCell ref="B19:B20"/>
    <mergeCell ref="C19:C20"/>
  </mergeCells>
  <pageMargins left="0.7" right="0.7" top="0.75" bottom="0.75" header="0.3" footer="0.3"/>
  <pageSetup scale="84" orientation="portrait" horizontalDpi="4294967293" verticalDpi="300" r:id="rId1"/>
  <colBreaks count="1" manualBreakCount="1">
    <brk id="9" max="104857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659955-484B-4E45-83A0-FBC00365E970}">
  <sheetPr>
    <tabColor theme="1"/>
  </sheetPr>
  <dimension ref="A1"/>
  <sheetViews>
    <sheetView workbookViewId="0">
      <selection activeCell="Y38" sqref="Y38"/>
    </sheetView>
  </sheetViews>
  <sheetFormatPr defaultRowHeight="14.4" x14ac:dyDescent="0.3"/>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6F3628-60D0-4EF3-8410-2FA718F58360}">
  <dimension ref="A1:AL144"/>
  <sheetViews>
    <sheetView zoomScale="85" zoomScaleNormal="85" workbookViewId="0">
      <selection activeCell="X46" sqref="X46"/>
    </sheetView>
  </sheetViews>
  <sheetFormatPr defaultRowHeight="15.6" x14ac:dyDescent="0.3"/>
  <cols>
    <col min="1" max="1" width="3.6640625" style="2" customWidth="1"/>
    <col min="2" max="2" width="48.33203125" style="2" customWidth="1"/>
    <col min="3" max="3" width="24.33203125" style="2" customWidth="1"/>
    <col min="4" max="4" width="13.6640625" style="2" customWidth="1"/>
    <col min="5" max="5" width="6.88671875" style="2" bestFit="1" customWidth="1"/>
    <col min="6" max="6" width="10" style="2" hidden="1" customWidth="1"/>
    <col min="7" max="7" width="6.88671875" style="2" hidden="1" customWidth="1"/>
    <col min="8" max="8" width="10" style="2" hidden="1" customWidth="1"/>
    <col min="9" max="9" width="6.88671875" style="2" hidden="1" customWidth="1"/>
    <col min="10" max="10" width="10" style="2" hidden="1" customWidth="1"/>
    <col min="11" max="11" width="6.88671875" style="2" hidden="1" customWidth="1"/>
    <col min="12" max="12" width="10" style="2" hidden="1" customWidth="1"/>
    <col min="13" max="13" width="2.6640625" style="2" customWidth="1"/>
    <col min="14" max="14" width="1" style="3" customWidth="1"/>
    <col min="15" max="15" width="4.44140625" style="14" customWidth="1"/>
    <col min="16" max="16" width="12" style="14" customWidth="1"/>
    <col min="17" max="17" width="17.33203125" style="14" customWidth="1"/>
    <col min="18" max="18" width="13.44140625" style="14" customWidth="1"/>
    <col min="19" max="19" width="12.5546875" style="14" bestFit="1" customWidth="1"/>
    <col min="20" max="20" width="15" style="14" customWidth="1"/>
    <col min="21" max="21" width="8.88671875" style="14"/>
    <col min="22" max="22" width="11" style="14" customWidth="1"/>
    <col min="23" max="23" width="8.88671875" style="14"/>
    <col min="24" max="26" width="14.6640625" style="14" customWidth="1"/>
    <col min="27" max="27" width="1" style="3" customWidth="1"/>
    <col min="28" max="28" width="4.109375" style="14" customWidth="1"/>
    <col min="29" max="30" width="14.44140625" style="178" customWidth="1"/>
    <col min="31" max="37" width="14.44140625" style="14" customWidth="1"/>
    <col min="38" max="38" width="1" style="3" customWidth="1"/>
  </cols>
  <sheetData>
    <row r="1" spans="1:37" x14ac:dyDescent="0.3">
      <c r="A1" s="1" t="s">
        <v>107</v>
      </c>
      <c r="O1" s="1" t="s">
        <v>107</v>
      </c>
      <c r="P1" s="2"/>
      <c r="Q1" s="2"/>
      <c r="R1" s="2"/>
      <c r="S1" s="2"/>
      <c r="T1" s="2"/>
      <c r="U1" s="2"/>
      <c r="V1" s="2"/>
      <c r="W1" s="2"/>
      <c r="X1" s="2"/>
      <c r="Y1" s="2"/>
      <c r="Z1" s="2"/>
      <c r="AB1" s="1" t="s">
        <v>107</v>
      </c>
      <c r="AC1" s="2"/>
      <c r="AD1" s="2"/>
      <c r="AE1" s="2"/>
      <c r="AF1" s="2"/>
      <c r="AG1" s="2"/>
      <c r="AH1" s="2"/>
      <c r="AI1" s="2"/>
      <c r="AJ1" s="2"/>
      <c r="AK1" s="2"/>
    </row>
    <row r="2" spans="1:37" x14ac:dyDescent="0.3">
      <c r="A2" s="1" t="s">
        <v>1</v>
      </c>
      <c r="O2" s="1" t="s">
        <v>1</v>
      </c>
      <c r="P2" s="2"/>
      <c r="Q2" s="2"/>
      <c r="R2" s="2"/>
      <c r="S2" s="2"/>
      <c r="T2" s="2"/>
      <c r="U2" s="2"/>
      <c r="V2" s="2"/>
      <c r="W2" s="2"/>
      <c r="X2" s="2"/>
      <c r="Y2" s="2"/>
      <c r="Z2" s="2"/>
      <c r="AB2" s="1" t="s">
        <v>1</v>
      </c>
      <c r="AC2" s="2"/>
      <c r="AD2" s="2"/>
      <c r="AE2" s="2"/>
      <c r="AF2" s="2"/>
      <c r="AG2" s="2"/>
      <c r="AH2" s="2"/>
      <c r="AI2" s="2"/>
      <c r="AJ2" s="2"/>
      <c r="AK2" s="2"/>
    </row>
    <row r="3" spans="1:37" x14ac:dyDescent="0.3">
      <c r="A3" s="1" t="s">
        <v>47</v>
      </c>
      <c r="O3" s="1" t="s">
        <v>47</v>
      </c>
      <c r="P3" s="2"/>
      <c r="Q3" s="2"/>
      <c r="R3" s="2"/>
      <c r="S3" s="2"/>
      <c r="T3" s="2"/>
      <c r="U3" s="2"/>
      <c r="V3" s="2"/>
      <c r="W3" s="2"/>
      <c r="X3" s="2"/>
      <c r="Y3" s="2"/>
      <c r="Z3" s="2"/>
      <c r="AB3" s="1" t="s">
        <v>47</v>
      </c>
      <c r="AC3" s="2"/>
      <c r="AD3" s="2"/>
      <c r="AE3" s="2"/>
      <c r="AF3" s="2"/>
      <c r="AG3" s="2"/>
      <c r="AH3" s="2"/>
      <c r="AI3" s="2"/>
      <c r="AJ3" s="2"/>
      <c r="AK3" s="2"/>
    </row>
    <row r="4" spans="1:37" x14ac:dyDescent="0.3">
      <c r="O4" s="2"/>
      <c r="P4" s="2"/>
      <c r="Q4" s="2"/>
      <c r="R4" s="2"/>
      <c r="S4" s="2"/>
      <c r="T4" s="2"/>
      <c r="U4" s="2"/>
      <c r="V4" s="2"/>
      <c r="W4" s="2"/>
      <c r="X4" s="2"/>
      <c r="Y4" s="2"/>
      <c r="Z4" s="2"/>
      <c r="AB4" s="2"/>
      <c r="AC4" s="2"/>
      <c r="AD4" s="2"/>
      <c r="AE4" s="2"/>
      <c r="AF4" s="2"/>
      <c r="AG4" s="2"/>
      <c r="AH4" s="2"/>
      <c r="AI4" s="2"/>
      <c r="AJ4" s="2"/>
      <c r="AK4" s="2"/>
    </row>
    <row r="5" spans="1:37" ht="16.2" customHeight="1" x14ac:dyDescent="0.35">
      <c r="A5" s="204" t="s">
        <v>200</v>
      </c>
      <c r="B5" s="204"/>
      <c r="C5" s="204"/>
      <c r="D5" s="204"/>
      <c r="E5" s="204"/>
      <c r="F5" s="204"/>
      <c r="G5" s="204"/>
      <c r="H5" s="204"/>
      <c r="I5" s="204"/>
      <c r="J5" s="204"/>
      <c r="K5" s="204"/>
      <c r="L5" s="204"/>
      <c r="M5" s="204"/>
      <c r="O5" s="5" t="s">
        <v>4</v>
      </c>
      <c r="P5" s="2"/>
      <c r="Q5" s="2"/>
      <c r="R5" s="2"/>
      <c r="S5" s="2"/>
      <c r="T5" s="2"/>
      <c r="U5" s="2"/>
      <c r="V5" s="2"/>
      <c r="W5" s="2"/>
      <c r="X5" s="2"/>
      <c r="Y5" s="2"/>
      <c r="Z5" s="2"/>
      <c r="AB5" s="5" t="s">
        <v>4</v>
      </c>
      <c r="AC5" s="2"/>
      <c r="AD5" s="2"/>
      <c r="AE5" s="2"/>
      <c r="AF5" s="2"/>
      <c r="AG5" s="2"/>
      <c r="AH5" s="2"/>
      <c r="AI5" s="2"/>
      <c r="AJ5" s="2"/>
      <c r="AK5" s="2"/>
    </row>
    <row r="6" spans="1:37" x14ac:dyDescent="0.3">
      <c r="A6" s="204"/>
      <c r="B6" s="204"/>
      <c r="C6" s="204"/>
      <c r="D6" s="204"/>
      <c r="E6" s="204"/>
      <c r="F6" s="204"/>
      <c r="G6" s="204"/>
      <c r="H6" s="204"/>
      <c r="I6" s="204"/>
      <c r="J6" s="204"/>
      <c r="K6" s="204"/>
      <c r="L6" s="204"/>
      <c r="M6" s="204"/>
      <c r="O6" s="2"/>
      <c r="P6" s="2"/>
      <c r="Q6" s="2"/>
      <c r="R6" s="2"/>
      <c r="S6" s="2"/>
      <c r="T6" s="2"/>
      <c r="U6" s="2"/>
      <c r="V6" s="2"/>
      <c r="W6" s="2"/>
      <c r="X6" s="2"/>
      <c r="Y6" s="2"/>
      <c r="Z6" s="2"/>
      <c r="AB6" s="2"/>
      <c r="AC6" s="2"/>
      <c r="AD6" s="2"/>
      <c r="AE6" s="2"/>
      <c r="AF6" s="2"/>
      <c r="AG6" s="2"/>
      <c r="AH6" s="2"/>
      <c r="AI6" s="2"/>
      <c r="AJ6" s="2"/>
      <c r="AK6" s="2"/>
    </row>
    <row r="7" spans="1:37" ht="15.6" customHeight="1" x14ac:dyDescent="0.3">
      <c r="A7" s="204"/>
      <c r="B7" s="204"/>
      <c r="C7" s="204"/>
      <c r="D7" s="204"/>
      <c r="E7" s="204"/>
      <c r="F7" s="204"/>
      <c r="G7" s="204"/>
      <c r="H7" s="204"/>
      <c r="I7" s="204"/>
      <c r="J7" s="204"/>
      <c r="K7" s="204"/>
      <c r="L7" s="204"/>
      <c r="M7" s="204"/>
      <c r="O7" s="2" t="s">
        <v>177</v>
      </c>
      <c r="P7" s="202" t="str">
        <f>B38</f>
        <v xml:space="preserve">(2 points)  Calculate the Service Cost under International Accounting Standard IAS 19, Rev 2011 as a percentage of base pay for the existing DB plan for the average participant. </v>
      </c>
      <c r="Q7" s="202"/>
      <c r="R7" s="202"/>
      <c r="S7" s="202"/>
      <c r="T7" s="202"/>
      <c r="U7" s="202"/>
      <c r="V7" s="202"/>
      <c r="W7" s="202"/>
      <c r="X7" s="202"/>
      <c r="Y7" s="202"/>
      <c r="Z7" s="202"/>
      <c r="AB7" s="2" t="s">
        <v>5</v>
      </c>
      <c r="AC7" s="202" t="str">
        <f>B45</f>
        <v>(4 points)  Calculate the flat DC contribution as a percentage of base pay for the average participant necessary to restore the lump sum value lost due to the DB plan freeze. 
Show all work.</v>
      </c>
      <c r="AD7" s="202"/>
      <c r="AE7" s="202"/>
      <c r="AF7" s="202"/>
      <c r="AG7" s="202"/>
      <c r="AH7" s="202"/>
      <c r="AI7" s="202"/>
      <c r="AJ7" s="202"/>
      <c r="AK7" s="202"/>
    </row>
    <row r="8" spans="1:37" ht="15" customHeight="1" x14ac:dyDescent="0.3">
      <c r="A8" s="204"/>
      <c r="B8" s="204"/>
      <c r="C8" s="204"/>
      <c r="D8" s="204"/>
      <c r="E8" s="204"/>
      <c r="F8" s="204"/>
      <c r="G8" s="204"/>
      <c r="H8" s="204"/>
      <c r="I8" s="204"/>
      <c r="J8" s="204"/>
      <c r="K8" s="204"/>
      <c r="L8" s="204"/>
      <c r="M8" s="204"/>
      <c r="O8" s="2"/>
      <c r="P8" s="202"/>
      <c r="Q8" s="202"/>
      <c r="R8" s="202"/>
      <c r="S8" s="202"/>
      <c r="T8" s="202"/>
      <c r="U8" s="202"/>
      <c r="V8" s="202"/>
      <c r="W8" s="202"/>
      <c r="X8" s="202"/>
      <c r="Y8" s="202"/>
      <c r="Z8" s="202"/>
      <c r="AB8" s="2"/>
      <c r="AC8" s="202"/>
      <c r="AD8" s="202"/>
      <c r="AE8" s="202"/>
      <c r="AF8" s="202"/>
      <c r="AG8" s="202"/>
      <c r="AH8" s="202"/>
      <c r="AI8" s="202"/>
      <c r="AJ8" s="202"/>
      <c r="AK8" s="202"/>
    </row>
    <row r="9" spans="1:37" ht="15.75" customHeight="1" x14ac:dyDescent="0.3">
      <c r="B9" s="204" t="s">
        <v>199</v>
      </c>
      <c r="C9" s="204"/>
      <c r="D9" s="204"/>
      <c r="E9" s="204"/>
      <c r="O9" s="2"/>
      <c r="P9" s="202"/>
      <c r="Q9" s="202"/>
      <c r="R9" s="202"/>
      <c r="S9" s="202"/>
      <c r="T9" s="202"/>
      <c r="U9" s="202"/>
      <c r="V9" s="202"/>
      <c r="W9" s="202"/>
      <c r="X9" s="202"/>
      <c r="Y9" s="202"/>
      <c r="Z9" s="202"/>
      <c r="AB9" s="2"/>
      <c r="AC9" s="202"/>
      <c r="AD9" s="202"/>
      <c r="AE9" s="202"/>
      <c r="AF9" s="202"/>
      <c r="AG9" s="202"/>
      <c r="AH9" s="202"/>
      <c r="AI9" s="202"/>
      <c r="AJ9" s="202"/>
      <c r="AK9" s="202"/>
    </row>
    <row r="10" spans="1:37" x14ac:dyDescent="0.3">
      <c r="B10" s="204"/>
      <c r="C10" s="204"/>
      <c r="D10" s="204"/>
      <c r="E10" s="204"/>
      <c r="O10" s="2"/>
      <c r="P10" s="29" t="str">
        <f>B41</f>
        <v>Show all work.</v>
      </c>
      <c r="Q10" s="13"/>
      <c r="R10" s="13"/>
      <c r="S10" s="13"/>
      <c r="T10" s="13"/>
      <c r="U10" s="13"/>
      <c r="V10" s="13"/>
      <c r="W10" s="13"/>
      <c r="X10" s="13"/>
      <c r="Y10" s="13"/>
      <c r="Z10" s="13"/>
      <c r="AB10" s="2"/>
      <c r="AC10" s="29" t="s">
        <v>75</v>
      </c>
      <c r="AD10" s="13"/>
      <c r="AE10" s="13"/>
      <c r="AF10" s="13"/>
      <c r="AG10" s="13"/>
      <c r="AH10" s="13"/>
      <c r="AI10" s="13"/>
      <c r="AJ10" s="13"/>
      <c r="AK10" s="13"/>
    </row>
    <row r="11" spans="1:37" x14ac:dyDescent="0.3">
      <c r="B11" s="204"/>
      <c r="C11" s="204"/>
      <c r="D11" s="204"/>
      <c r="E11" s="204"/>
      <c r="O11" s="13"/>
      <c r="P11" s="13"/>
      <c r="Q11" s="13"/>
      <c r="R11" s="13"/>
      <c r="S11" s="13"/>
      <c r="T11" s="13"/>
      <c r="U11" s="13"/>
      <c r="V11" s="13"/>
      <c r="W11" s="13"/>
      <c r="X11" s="13"/>
      <c r="Y11" s="13"/>
      <c r="Z11" s="13"/>
      <c r="AB11" s="13"/>
      <c r="AC11" s="13"/>
      <c r="AD11" s="13"/>
      <c r="AE11" s="13"/>
      <c r="AF11" s="13"/>
      <c r="AG11" s="13"/>
      <c r="AH11" s="13"/>
      <c r="AI11" s="13"/>
      <c r="AJ11" s="13"/>
      <c r="AK11" s="13"/>
    </row>
    <row r="12" spans="1:37" x14ac:dyDescent="0.3">
      <c r="B12" s="204"/>
      <c r="C12" s="204"/>
      <c r="D12" s="204"/>
      <c r="E12" s="204"/>
      <c r="AH12" s="42"/>
      <c r="AI12" s="42"/>
    </row>
    <row r="13" spans="1:37" x14ac:dyDescent="0.3">
      <c r="B13" s="204"/>
      <c r="C13" s="204"/>
      <c r="D13" s="204"/>
      <c r="E13" s="204"/>
      <c r="Q13" s="32"/>
    </row>
    <row r="14" spans="1:37" x14ac:dyDescent="0.3">
      <c r="B14" s="204"/>
      <c r="C14" s="204"/>
      <c r="D14" s="204"/>
      <c r="E14" s="204"/>
    </row>
    <row r="16" spans="1:37" x14ac:dyDescent="0.3">
      <c r="A16" s="2" t="s">
        <v>198</v>
      </c>
    </row>
    <row r="18" spans="1:19" x14ac:dyDescent="0.3">
      <c r="B18" s="245" t="s">
        <v>197</v>
      </c>
      <c r="C18" s="247" t="s">
        <v>196</v>
      </c>
      <c r="D18" s="248"/>
    </row>
    <row r="19" spans="1:19" x14ac:dyDescent="0.3">
      <c r="B19" s="246"/>
      <c r="C19" s="249"/>
      <c r="D19" s="250"/>
    </row>
    <row r="20" spans="1:19" x14ac:dyDescent="0.3">
      <c r="B20" s="245" t="s">
        <v>195</v>
      </c>
      <c r="C20" s="247" t="s">
        <v>194</v>
      </c>
      <c r="D20" s="248"/>
    </row>
    <row r="21" spans="1:19" x14ac:dyDescent="0.3">
      <c r="B21" s="246"/>
      <c r="C21" s="249"/>
      <c r="D21" s="250"/>
    </row>
    <row r="22" spans="1:19" x14ac:dyDescent="0.3">
      <c r="B22" s="181" t="s">
        <v>193</v>
      </c>
      <c r="C22" s="251">
        <v>100</v>
      </c>
      <c r="D22" s="251"/>
      <c r="R22" s="35"/>
    </row>
    <row r="23" spans="1:19" x14ac:dyDescent="0.3">
      <c r="B23" s="181" t="s">
        <v>192</v>
      </c>
      <c r="C23" s="251">
        <v>50</v>
      </c>
      <c r="D23" s="251"/>
      <c r="R23" s="35"/>
    </row>
    <row r="24" spans="1:19" x14ac:dyDescent="0.3">
      <c r="B24" s="181" t="s">
        <v>191</v>
      </c>
      <c r="C24" s="251">
        <v>15</v>
      </c>
      <c r="D24" s="251"/>
      <c r="R24" s="35"/>
    </row>
    <row r="25" spans="1:19" x14ac:dyDescent="0.3">
      <c r="B25" s="181" t="s">
        <v>190</v>
      </c>
      <c r="C25" s="260">
        <v>100000</v>
      </c>
      <c r="D25" s="260"/>
      <c r="R25" s="35"/>
    </row>
    <row r="26" spans="1:19" x14ac:dyDescent="0.3">
      <c r="R26" s="35"/>
      <c r="S26" s="34"/>
    </row>
    <row r="27" spans="1:19" x14ac:dyDescent="0.3">
      <c r="A27" s="2" t="s">
        <v>189</v>
      </c>
      <c r="R27" s="35"/>
    </row>
    <row r="28" spans="1:19" x14ac:dyDescent="0.3">
      <c r="R28" s="35"/>
      <c r="S28" s="34"/>
    </row>
    <row r="29" spans="1:19" x14ac:dyDescent="0.3">
      <c r="B29" s="181" t="s">
        <v>188</v>
      </c>
      <c r="C29" s="254">
        <v>60</v>
      </c>
      <c r="D29" s="255"/>
      <c r="G29" s="75"/>
      <c r="H29" s="75"/>
      <c r="I29" s="75"/>
      <c r="J29" s="75"/>
      <c r="K29" s="75"/>
      <c r="L29" s="75"/>
      <c r="R29" s="35"/>
      <c r="S29" s="34"/>
    </row>
    <row r="30" spans="1:19" x14ac:dyDescent="0.3">
      <c r="B30" s="181" t="s">
        <v>187</v>
      </c>
      <c r="C30" s="256">
        <v>0</v>
      </c>
      <c r="D30" s="257"/>
      <c r="G30" s="75"/>
      <c r="H30" s="75"/>
      <c r="I30" s="75"/>
      <c r="J30" s="75"/>
      <c r="K30" s="75"/>
      <c r="L30" s="75"/>
      <c r="R30" s="35"/>
      <c r="S30" s="34"/>
    </row>
    <row r="31" spans="1:19" x14ac:dyDescent="0.3">
      <c r="B31" s="181" t="s">
        <v>186</v>
      </c>
      <c r="C31" s="256">
        <v>0.06</v>
      </c>
      <c r="D31" s="257"/>
      <c r="R31" s="35"/>
    </row>
    <row r="32" spans="1:19" x14ac:dyDescent="0.3">
      <c r="B32" s="181" t="s">
        <v>185</v>
      </c>
      <c r="C32" s="256" t="s">
        <v>184</v>
      </c>
      <c r="D32" s="257"/>
      <c r="R32" s="35"/>
    </row>
    <row r="33" spans="1:17" x14ac:dyDescent="0.3">
      <c r="B33" s="181" t="s">
        <v>183</v>
      </c>
      <c r="C33" s="258" t="s">
        <v>182</v>
      </c>
      <c r="D33" s="259"/>
    </row>
    <row r="34" spans="1:17" x14ac:dyDescent="0.3">
      <c r="B34" s="181" t="s">
        <v>181</v>
      </c>
      <c r="C34" s="258">
        <v>15</v>
      </c>
      <c r="D34" s="259"/>
    </row>
    <row r="35" spans="1:17" x14ac:dyDescent="0.3">
      <c r="B35" s="180" t="s">
        <v>180</v>
      </c>
      <c r="C35" s="252">
        <v>0.03</v>
      </c>
      <c r="D35" s="253"/>
    </row>
    <row r="36" spans="1:17" x14ac:dyDescent="0.3">
      <c r="B36" s="180" t="s">
        <v>179</v>
      </c>
      <c r="C36" s="252" t="s">
        <v>178</v>
      </c>
      <c r="D36" s="253"/>
    </row>
    <row r="37" spans="1:17" x14ac:dyDescent="0.3">
      <c r="B37" s="179"/>
      <c r="C37" s="179"/>
      <c r="D37" s="179"/>
    </row>
    <row r="38" spans="1:17" ht="15.6" customHeight="1" x14ac:dyDescent="0.3">
      <c r="A38" s="2" t="s">
        <v>177</v>
      </c>
      <c r="B38" s="202" t="s">
        <v>176</v>
      </c>
      <c r="C38" s="202"/>
      <c r="D38" s="202"/>
      <c r="E38" s="202"/>
      <c r="F38" s="202"/>
      <c r="G38" s="202"/>
      <c r="H38" s="202"/>
      <c r="I38" s="202"/>
      <c r="J38" s="202"/>
      <c r="K38" s="202"/>
      <c r="L38" s="202"/>
    </row>
    <row r="39" spans="1:17" ht="18" customHeight="1" x14ac:dyDescent="0.3">
      <c r="B39" s="202"/>
      <c r="C39" s="202"/>
      <c r="D39" s="202"/>
      <c r="E39" s="202"/>
      <c r="F39" s="202"/>
      <c r="G39" s="202"/>
      <c r="H39" s="202"/>
      <c r="I39" s="202"/>
      <c r="J39" s="202"/>
      <c r="K39" s="202"/>
      <c r="L39" s="202"/>
    </row>
    <row r="40" spans="1:17" x14ac:dyDescent="0.3">
      <c r="B40" s="13"/>
      <c r="C40" s="13"/>
      <c r="D40" s="13"/>
      <c r="E40" s="13"/>
      <c r="F40" s="13"/>
      <c r="G40" s="13"/>
      <c r="H40" s="13"/>
      <c r="I40" s="13"/>
      <c r="J40" s="13"/>
      <c r="K40" s="13"/>
      <c r="L40" s="13"/>
      <c r="Q40" s="17"/>
    </row>
    <row r="41" spans="1:17" x14ac:dyDescent="0.3">
      <c r="B41" s="29" t="s">
        <v>75</v>
      </c>
      <c r="C41" s="13"/>
      <c r="D41" s="13"/>
      <c r="E41" s="13"/>
      <c r="F41" s="13"/>
      <c r="G41" s="13"/>
      <c r="H41" s="13"/>
      <c r="I41" s="13"/>
      <c r="J41" s="13"/>
      <c r="K41" s="13"/>
      <c r="L41" s="13"/>
    </row>
    <row r="42" spans="1:17" ht="16.2" x14ac:dyDescent="0.3">
      <c r="B42" s="30" t="s">
        <v>40</v>
      </c>
      <c r="C42" s="13"/>
      <c r="D42" s="13"/>
      <c r="E42" s="13"/>
      <c r="F42" s="13"/>
      <c r="G42" s="13"/>
      <c r="H42" s="13"/>
      <c r="I42" s="13"/>
      <c r="J42" s="13"/>
      <c r="K42" s="13"/>
      <c r="L42" s="13"/>
      <c r="Q42" s="17"/>
    </row>
    <row r="43" spans="1:17" ht="16.2" x14ac:dyDescent="0.3">
      <c r="B43" s="30"/>
      <c r="C43" s="13"/>
      <c r="D43" s="13"/>
      <c r="E43" s="13"/>
      <c r="F43" s="13"/>
      <c r="G43" s="13"/>
      <c r="H43" s="13"/>
      <c r="I43" s="13"/>
      <c r="J43" s="13"/>
      <c r="K43" s="13"/>
      <c r="L43" s="13"/>
      <c r="Q43" s="17"/>
    </row>
    <row r="44" spans="1:17" x14ac:dyDescent="0.3">
      <c r="Q44" s="17"/>
    </row>
    <row r="45" spans="1:17" x14ac:dyDescent="0.3">
      <c r="A45" s="2" t="s">
        <v>5</v>
      </c>
      <c r="B45" s="201" t="s">
        <v>175</v>
      </c>
      <c r="C45" s="201"/>
      <c r="D45" s="201"/>
      <c r="E45" s="201"/>
      <c r="F45" s="201"/>
      <c r="G45" s="201"/>
      <c r="H45" s="201"/>
      <c r="I45" s="201"/>
      <c r="J45" s="201"/>
      <c r="K45" s="201"/>
      <c r="L45" s="201"/>
      <c r="M45" s="201"/>
    </row>
    <row r="46" spans="1:17" x14ac:dyDescent="0.3">
      <c r="B46" s="201"/>
      <c r="C46" s="201"/>
      <c r="D46" s="201"/>
      <c r="E46" s="201"/>
      <c r="F46" s="201"/>
      <c r="G46" s="201"/>
      <c r="H46" s="201"/>
      <c r="I46" s="201"/>
      <c r="J46" s="201"/>
      <c r="K46" s="201"/>
      <c r="L46" s="201"/>
      <c r="M46" s="201"/>
      <c r="Q46" s="17"/>
    </row>
    <row r="47" spans="1:17" x14ac:dyDescent="0.3">
      <c r="B47" s="201"/>
      <c r="C47" s="201"/>
      <c r="D47" s="201"/>
      <c r="E47" s="201"/>
      <c r="F47" s="201"/>
      <c r="G47" s="201"/>
      <c r="H47" s="201"/>
      <c r="I47" s="201"/>
      <c r="J47" s="201"/>
      <c r="K47" s="201"/>
      <c r="L47" s="201"/>
      <c r="M47" s="201"/>
      <c r="Q47" s="17"/>
    </row>
    <row r="48" spans="1:17" x14ac:dyDescent="0.3">
      <c r="B48" s="201"/>
      <c r="C48" s="201"/>
      <c r="D48" s="201"/>
      <c r="E48" s="201"/>
      <c r="F48" s="201"/>
      <c r="G48" s="201"/>
      <c r="H48" s="201"/>
      <c r="I48" s="201"/>
      <c r="J48" s="201"/>
      <c r="K48" s="201"/>
      <c r="L48" s="201"/>
      <c r="M48" s="201"/>
    </row>
    <row r="49" spans="2:17" ht="16.2" x14ac:dyDescent="0.3">
      <c r="B49" s="30" t="s">
        <v>40</v>
      </c>
    </row>
    <row r="50" spans="2:17" x14ac:dyDescent="0.3">
      <c r="Q50" s="17"/>
    </row>
    <row r="51" spans="2:17" x14ac:dyDescent="0.3">
      <c r="Q51" s="17"/>
    </row>
    <row r="53" spans="2:17" x14ac:dyDescent="0.3">
      <c r="Q53" s="21"/>
    </row>
    <row r="56" spans="2:17" x14ac:dyDescent="0.3">
      <c r="Q56" s="17"/>
    </row>
    <row r="57" spans="2:17" x14ac:dyDescent="0.3">
      <c r="Q57" s="17"/>
    </row>
    <row r="58" spans="2:17" x14ac:dyDescent="0.3">
      <c r="Q58" s="17"/>
    </row>
    <row r="59" spans="2:17" x14ac:dyDescent="0.3">
      <c r="Q59" s="17"/>
    </row>
    <row r="60" spans="2:17" x14ac:dyDescent="0.3">
      <c r="Q60" s="17"/>
    </row>
    <row r="61" spans="2:17" x14ac:dyDescent="0.3">
      <c r="Q61" s="17"/>
    </row>
    <row r="63" spans="2:17" x14ac:dyDescent="0.3">
      <c r="Q63" s="31"/>
    </row>
    <row r="65" spans="16:16" x14ac:dyDescent="0.3">
      <c r="P65" s="32"/>
    </row>
    <row r="68" spans="16:16" x14ac:dyDescent="0.3">
      <c r="P68" s="33"/>
    </row>
    <row r="70" spans="16:16" x14ac:dyDescent="0.3">
      <c r="P70" s="21"/>
    </row>
    <row r="71" spans="16:16" ht="15.75" customHeight="1" x14ac:dyDescent="0.3">
      <c r="P71" s="21"/>
    </row>
    <row r="72" spans="16:16" x14ac:dyDescent="0.3">
      <c r="P72" s="17"/>
    </row>
    <row r="73" spans="16:16" x14ac:dyDescent="0.3">
      <c r="P73" s="21"/>
    </row>
    <row r="74" spans="16:16" x14ac:dyDescent="0.3">
      <c r="P74" s="21"/>
    </row>
    <row r="75" spans="16:16" x14ac:dyDescent="0.3">
      <c r="P75" s="21"/>
    </row>
    <row r="79" spans="16:16" x14ac:dyDescent="0.3">
      <c r="P79" s="17"/>
    </row>
    <row r="82" spans="16:18" x14ac:dyDescent="0.3">
      <c r="P82" s="31"/>
    </row>
    <row r="83" spans="16:18" x14ac:dyDescent="0.3">
      <c r="P83" s="31"/>
    </row>
    <row r="84" spans="16:18" x14ac:dyDescent="0.3">
      <c r="P84" s="17"/>
      <c r="R84" s="34"/>
    </row>
    <row r="85" spans="16:18" x14ac:dyDescent="0.3">
      <c r="P85" s="17"/>
    </row>
    <row r="86" spans="16:18" x14ac:dyDescent="0.3">
      <c r="P86" s="17"/>
    </row>
    <row r="87" spans="16:18" x14ac:dyDescent="0.3">
      <c r="P87" s="31"/>
    </row>
    <row r="88" spans="16:18" x14ac:dyDescent="0.3">
      <c r="P88" s="17"/>
    </row>
    <row r="89" spans="16:18" x14ac:dyDescent="0.3">
      <c r="P89" s="17"/>
    </row>
    <row r="90" spans="16:18" x14ac:dyDescent="0.3">
      <c r="P90" s="17"/>
    </row>
    <row r="91" spans="16:18" x14ac:dyDescent="0.3">
      <c r="P91" s="31"/>
    </row>
    <row r="92" spans="16:18" x14ac:dyDescent="0.3">
      <c r="P92" s="17"/>
    </row>
    <row r="93" spans="16:18" x14ac:dyDescent="0.3">
      <c r="P93" s="17"/>
    </row>
    <row r="94" spans="16:18" x14ac:dyDescent="0.3">
      <c r="P94" s="31"/>
    </row>
    <row r="95" spans="16:18" x14ac:dyDescent="0.3">
      <c r="P95" s="31"/>
    </row>
    <row r="96" spans="16:18" x14ac:dyDescent="0.3">
      <c r="P96" s="31"/>
    </row>
    <row r="104" spans="18:18" x14ac:dyDescent="0.3">
      <c r="R104" s="17"/>
    </row>
    <row r="106" spans="18:18" x14ac:dyDescent="0.3">
      <c r="R106" s="17"/>
    </row>
    <row r="107" spans="18:18" x14ac:dyDescent="0.3">
      <c r="R107" s="17"/>
    </row>
    <row r="110" spans="18:18" x14ac:dyDescent="0.3">
      <c r="R110" s="35"/>
    </row>
    <row r="111" spans="18:18" x14ac:dyDescent="0.3">
      <c r="R111" s="17"/>
    </row>
    <row r="113" spans="16:20" x14ac:dyDescent="0.3">
      <c r="R113" s="34"/>
    </row>
    <row r="114" spans="16:20" x14ac:dyDescent="0.3">
      <c r="R114" s="36"/>
    </row>
    <row r="115" spans="16:20" x14ac:dyDescent="0.3">
      <c r="Q115" s="17"/>
    </row>
    <row r="116" spans="16:20" x14ac:dyDescent="0.3">
      <c r="Q116" s="17"/>
    </row>
    <row r="118" spans="16:20" x14ac:dyDescent="0.3">
      <c r="Q118" s="37"/>
      <c r="R118" s="38"/>
      <c r="T118" s="38"/>
    </row>
    <row r="119" spans="16:20" x14ac:dyDescent="0.3">
      <c r="Q119" s="34"/>
      <c r="R119" s="34"/>
      <c r="S119" s="35"/>
      <c r="T119" s="34"/>
    </row>
    <row r="120" spans="16:20" x14ac:dyDescent="0.3">
      <c r="Q120" s="34"/>
      <c r="R120" s="34"/>
      <c r="S120" s="35"/>
      <c r="T120" s="34"/>
    </row>
    <row r="121" spans="16:20" x14ac:dyDescent="0.3">
      <c r="Q121" s="34"/>
      <c r="R121" s="34"/>
      <c r="S121" s="35"/>
      <c r="T121" s="34"/>
    </row>
    <row r="122" spans="16:20" x14ac:dyDescent="0.3">
      <c r="Q122" s="39"/>
      <c r="R122" s="39"/>
      <c r="S122" s="39"/>
      <c r="T122" s="39"/>
    </row>
    <row r="127" spans="16:20" x14ac:dyDescent="0.3">
      <c r="P127" s="40"/>
    </row>
    <row r="129" spans="15:20" x14ac:dyDescent="0.3">
      <c r="P129" s="21"/>
    </row>
    <row r="130" spans="15:20" x14ac:dyDescent="0.3">
      <c r="P130" s="21"/>
    </row>
    <row r="131" spans="15:20" x14ac:dyDescent="0.3">
      <c r="P131" s="21"/>
    </row>
    <row r="132" spans="15:20" x14ac:dyDescent="0.3">
      <c r="P132" s="21"/>
    </row>
    <row r="133" spans="15:20" x14ac:dyDescent="0.3">
      <c r="Q133" s="18"/>
    </row>
    <row r="136" spans="15:20" x14ac:dyDescent="0.3">
      <c r="P136" s="35"/>
      <c r="R136" s="80"/>
      <c r="S136" s="80"/>
      <c r="T136" s="41"/>
    </row>
    <row r="137" spans="15:20" x14ac:dyDescent="0.3">
      <c r="R137" s="21"/>
      <c r="S137" s="79"/>
      <c r="T137" s="21"/>
    </row>
    <row r="138" spans="15:20" x14ac:dyDescent="0.3">
      <c r="R138" s="21"/>
      <c r="S138" s="79"/>
      <c r="T138" s="21"/>
    </row>
    <row r="139" spans="15:20" x14ac:dyDescent="0.3">
      <c r="R139" s="78"/>
      <c r="S139" s="77"/>
      <c r="T139" s="21"/>
    </row>
    <row r="140" spans="15:20" x14ac:dyDescent="0.3">
      <c r="R140" s="21"/>
      <c r="S140" s="21"/>
      <c r="T140" s="21"/>
    </row>
    <row r="144" spans="15:20" x14ac:dyDescent="0.3">
      <c r="O144" s="42"/>
    </row>
  </sheetData>
  <sheetProtection algorithmName="SHA-512" hashValue="3jRDvAw4msHISIcK4Pm7MAHcpD4n1oQBJuz1zzMvyMdggDo8XDNSQFZkhDVt+KufvUzDF7CKBVsRSJzqrRaPmA==" saltValue="fNxGlOhPoje4t/p65ctD8g==" spinCount="100000" sheet="1" objects="1" scenarios="1" formatCells="0" formatColumns="0" formatRows="0" insertColumns="0" insertRows="0"/>
  <mergeCells count="22">
    <mergeCell ref="B38:L39"/>
    <mergeCell ref="B45:M48"/>
    <mergeCell ref="C29:D29"/>
    <mergeCell ref="C30:D30"/>
    <mergeCell ref="C31:D31"/>
    <mergeCell ref="C32:D32"/>
    <mergeCell ref="C33:D33"/>
    <mergeCell ref="C34:D34"/>
    <mergeCell ref="C35:D35"/>
    <mergeCell ref="AC7:AK9"/>
    <mergeCell ref="B9:E14"/>
    <mergeCell ref="B18:B19"/>
    <mergeCell ref="C18:D19"/>
    <mergeCell ref="C36:D36"/>
    <mergeCell ref="C23:D23"/>
    <mergeCell ref="C24:D24"/>
    <mergeCell ref="C25:D25"/>
    <mergeCell ref="B20:B21"/>
    <mergeCell ref="C20:D21"/>
    <mergeCell ref="C22:D22"/>
    <mergeCell ref="A5:M8"/>
    <mergeCell ref="P7:Z9"/>
  </mergeCells>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8E1E3D-BF3B-4090-992A-864763982BD5}">
  <dimension ref="A1:AL143"/>
  <sheetViews>
    <sheetView zoomScale="85" zoomScaleNormal="85" workbookViewId="0"/>
  </sheetViews>
  <sheetFormatPr defaultColWidth="9.109375" defaultRowHeight="15.6" x14ac:dyDescent="0.3"/>
  <cols>
    <col min="1" max="1" width="3.6640625" style="2" customWidth="1"/>
    <col min="2" max="2" width="48.33203125" style="2" customWidth="1"/>
    <col min="3" max="3" width="24.33203125" style="2" customWidth="1"/>
    <col min="4" max="4" width="13.6640625" style="2" customWidth="1"/>
    <col min="5" max="5" width="6.88671875" style="2" bestFit="1" customWidth="1"/>
    <col min="6" max="6" width="10" style="2" hidden="1" customWidth="1"/>
    <col min="7" max="7" width="6.88671875" style="2" hidden="1" customWidth="1"/>
    <col min="8" max="8" width="10" style="2" hidden="1" customWidth="1"/>
    <col min="9" max="9" width="6.88671875" style="2" hidden="1" customWidth="1"/>
    <col min="10" max="10" width="10" style="2" hidden="1" customWidth="1"/>
    <col min="11" max="11" width="6.88671875" style="2" hidden="1" customWidth="1"/>
    <col min="12" max="12" width="10" style="2" hidden="1" customWidth="1"/>
    <col min="13" max="13" width="2.6640625" style="2" customWidth="1"/>
    <col min="14" max="14" width="1" style="3" customWidth="1"/>
    <col min="15" max="15" width="5.44140625" style="14" customWidth="1"/>
    <col min="16" max="16" width="12" style="14" customWidth="1"/>
    <col min="17" max="17" width="17.33203125" style="14" customWidth="1"/>
    <col min="18" max="18" width="13.44140625" style="14" customWidth="1"/>
    <col min="19" max="19" width="12.5546875" style="14" bestFit="1" customWidth="1"/>
    <col min="20" max="20" width="15" style="14" customWidth="1"/>
    <col min="21" max="21" width="9.109375" style="14"/>
    <col min="22" max="22" width="11" style="14" customWidth="1"/>
    <col min="23" max="23" width="9.109375" style="14"/>
    <col min="24" max="25" width="14.6640625" style="14" customWidth="1"/>
    <col min="26" max="26" width="22" style="14" customWidth="1"/>
    <col min="27" max="27" width="1" style="3" customWidth="1"/>
    <col min="28" max="28" width="6.44140625" style="14" customWidth="1"/>
    <col min="29" max="30" width="34.33203125" style="178" customWidth="1"/>
    <col min="31" max="31" width="34.33203125" style="14" customWidth="1"/>
    <col min="32" max="32" width="39.5546875" style="14" customWidth="1"/>
    <col min="33" max="36" width="34.33203125" style="14" customWidth="1"/>
    <col min="37" max="37" width="22.88671875" style="14" customWidth="1"/>
    <col min="38" max="38" width="1" style="3" customWidth="1"/>
  </cols>
  <sheetData>
    <row r="1" spans="1:37" x14ac:dyDescent="0.3">
      <c r="A1" s="1" t="s">
        <v>245</v>
      </c>
      <c r="O1" s="1" t="s">
        <v>245</v>
      </c>
      <c r="P1" s="2"/>
      <c r="Q1" s="2"/>
      <c r="R1" s="2"/>
      <c r="S1" s="2"/>
      <c r="T1" s="2"/>
      <c r="U1" s="2"/>
      <c r="V1" s="2"/>
      <c r="W1" s="2"/>
      <c r="X1" s="2"/>
      <c r="Y1" s="2"/>
      <c r="Z1" s="2"/>
      <c r="AB1" s="1" t="s">
        <v>245</v>
      </c>
      <c r="AC1" s="2"/>
      <c r="AD1" s="2"/>
      <c r="AE1" s="2"/>
      <c r="AF1" s="2"/>
      <c r="AG1" s="2"/>
      <c r="AH1" s="2"/>
      <c r="AI1" s="2"/>
      <c r="AJ1" s="2"/>
      <c r="AK1" s="2"/>
    </row>
    <row r="2" spans="1:37" x14ac:dyDescent="0.3">
      <c r="A2" s="1" t="s">
        <v>1</v>
      </c>
      <c r="O2" s="1" t="s">
        <v>1</v>
      </c>
      <c r="P2" s="2"/>
      <c r="Q2" s="2"/>
      <c r="R2" s="2"/>
      <c r="S2" s="2"/>
      <c r="T2" s="2"/>
      <c r="U2" s="2"/>
      <c r="V2" s="2"/>
      <c r="W2" s="2"/>
      <c r="X2" s="2"/>
      <c r="Y2" s="2"/>
      <c r="Z2" s="2"/>
      <c r="AB2" s="1" t="s">
        <v>1</v>
      </c>
      <c r="AC2" s="2"/>
      <c r="AD2" s="2"/>
      <c r="AE2" s="2"/>
      <c r="AF2" s="2"/>
      <c r="AG2" s="2"/>
      <c r="AH2" s="2"/>
      <c r="AI2" s="2"/>
      <c r="AJ2" s="2"/>
      <c r="AK2" s="2"/>
    </row>
    <row r="3" spans="1:37" x14ac:dyDescent="0.3">
      <c r="A3" s="1" t="s">
        <v>47</v>
      </c>
      <c r="O3" s="1" t="s">
        <v>47</v>
      </c>
      <c r="P3" s="2"/>
      <c r="Q3" s="2"/>
      <c r="R3" s="2"/>
      <c r="S3" s="2"/>
      <c r="T3" s="2"/>
      <c r="U3" s="2"/>
      <c r="V3" s="2"/>
      <c r="W3" s="2"/>
      <c r="X3" s="2"/>
      <c r="Y3" s="2"/>
      <c r="Z3" s="2"/>
      <c r="AB3" s="1" t="s">
        <v>47</v>
      </c>
      <c r="AC3" s="2"/>
      <c r="AD3" s="2"/>
      <c r="AE3" s="2"/>
      <c r="AF3" s="2"/>
      <c r="AG3" s="2"/>
      <c r="AH3" s="2"/>
      <c r="AI3" s="2"/>
      <c r="AJ3" s="2"/>
      <c r="AK3" s="2"/>
    </row>
    <row r="4" spans="1:37" x14ac:dyDescent="0.3">
      <c r="O4" s="2"/>
      <c r="P4" s="2"/>
      <c r="Q4" s="2"/>
      <c r="R4" s="2"/>
      <c r="S4" s="2"/>
      <c r="T4" s="2"/>
      <c r="U4" s="2"/>
      <c r="V4" s="2"/>
      <c r="W4" s="2"/>
      <c r="X4" s="2"/>
      <c r="Y4" s="2"/>
      <c r="Z4" s="2"/>
      <c r="AB4" s="2"/>
      <c r="AC4" s="2"/>
      <c r="AD4" s="2"/>
      <c r="AE4" s="2"/>
      <c r="AF4" s="2"/>
      <c r="AG4" s="2"/>
      <c r="AH4" s="2"/>
      <c r="AI4" s="2"/>
      <c r="AJ4" s="2"/>
      <c r="AK4" s="2"/>
    </row>
    <row r="5" spans="1:37" ht="16.2" customHeight="1" x14ac:dyDescent="0.35">
      <c r="A5" s="204" t="s">
        <v>200</v>
      </c>
      <c r="B5" s="204"/>
      <c r="C5" s="204"/>
      <c r="D5" s="204"/>
      <c r="E5" s="204"/>
      <c r="F5" s="204"/>
      <c r="G5" s="204"/>
      <c r="H5" s="204"/>
      <c r="I5" s="204"/>
      <c r="J5" s="204"/>
      <c r="K5" s="204"/>
      <c r="L5" s="204"/>
      <c r="M5" s="204"/>
      <c r="O5" s="5" t="s">
        <v>4</v>
      </c>
      <c r="P5" s="2"/>
      <c r="Q5" s="2"/>
      <c r="R5" s="2"/>
      <c r="S5" s="2"/>
      <c r="T5" s="2"/>
      <c r="U5" s="2"/>
      <c r="V5" s="2"/>
      <c r="W5" s="2"/>
      <c r="X5" s="2"/>
      <c r="Y5" s="2"/>
      <c r="Z5" s="2"/>
      <c r="AB5" s="5" t="s">
        <v>4</v>
      </c>
      <c r="AC5" s="2"/>
      <c r="AD5" s="2"/>
      <c r="AE5" s="2"/>
      <c r="AF5" s="2"/>
      <c r="AG5" s="2"/>
      <c r="AH5" s="2"/>
      <c r="AI5" s="2"/>
      <c r="AJ5" s="2"/>
      <c r="AK5" s="2"/>
    </row>
    <row r="6" spans="1:37" x14ac:dyDescent="0.3">
      <c r="A6" s="204"/>
      <c r="B6" s="204"/>
      <c r="C6" s="204"/>
      <c r="D6" s="204"/>
      <c r="E6" s="204"/>
      <c r="F6" s="204"/>
      <c r="G6" s="204"/>
      <c r="H6" s="204"/>
      <c r="I6" s="204"/>
      <c r="J6" s="204"/>
      <c r="K6" s="204"/>
      <c r="L6" s="204"/>
      <c r="M6" s="204"/>
      <c r="O6" s="2"/>
      <c r="P6" s="2"/>
      <c r="Q6" s="2"/>
      <c r="R6" s="2"/>
      <c r="S6" s="2"/>
      <c r="T6" s="2"/>
      <c r="U6" s="2"/>
      <c r="V6" s="2"/>
      <c r="W6" s="2"/>
      <c r="X6" s="2"/>
      <c r="Y6" s="2"/>
      <c r="Z6" s="2"/>
      <c r="AB6" s="2"/>
      <c r="AC6" s="2"/>
      <c r="AD6" s="2"/>
      <c r="AE6" s="2"/>
      <c r="AF6" s="2"/>
      <c r="AG6" s="2"/>
      <c r="AH6" s="2"/>
      <c r="AI6" s="2"/>
      <c r="AJ6" s="2"/>
      <c r="AK6" s="2"/>
    </row>
    <row r="7" spans="1:37" ht="15.6" customHeight="1" x14ac:dyDescent="0.3">
      <c r="A7" s="204"/>
      <c r="B7" s="204"/>
      <c r="C7" s="204"/>
      <c r="D7" s="204"/>
      <c r="E7" s="204"/>
      <c r="F7" s="204"/>
      <c r="G7" s="204"/>
      <c r="H7" s="204"/>
      <c r="I7" s="204"/>
      <c r="J7" s="204"/>
      <c r="K7" s="204"/>
      <c r="L7" s="204"/>
      <c r="M7" s="204"/>
      <c r="O7" s="2" t="s">
        <v>177</v>
      </c>
      <c r="P7" s="202" t="str">
        <f>B38</f>
        <v xml:space="preserve">(2 points)  Calculate the Service Cost under International Accounting Standard IAS 19, Rev 2011 as a percentage of base pay for the existing DB plan for the average participant.  </v>
      </c>
      <c r="Q7" s="202"/>
      <c r="R7" s="202"/>
      <c r="S7" s="202"/>
      <c r="T7" s="202"/>
      <c r="U7" s="202"/>
      <c r="V7" s="202"/>
      <c r="W7" s="202"/>
      <c r="X7" s="202"/>
      <c r="Y7" s="202"/>
      <c r="Z7" s="202"/>
      <c r="AB7" s="2" t="s">
        <v>5</v>
      </c>
      <c r="AC7" s="202" t="str">
        <f>B45</f>
        <v>(4 points)  Calculate the flat DC contribution as a percentage of base pay for the average participant necessary to restore the lump sum value lost due to the DB plan freeze. 
Show all work.</v>
      </c>
      <c r="AD7" s="202"/>
      <c r="AE7" s="202"/>
      <c r="AF7" s="202"/>
      <c r="AG7" s="202"/>
      <c r="AH7" s="202"/>
      <c r="AI7" s="202"/>
      <c r="AJ7" s="202"/>
      <c r="AK7" s="202"/>
    </row>
    <row r="8" spans="1:37" ht="15.6" customHeight="1" x14ac:dyDescent="0.3">
      <c r="A8" s="204"/>
      <c r="B8" s="204"/>
      <c r="C8" s="204"/>
      <c r="D8" s="204"/>
      <c r="E8" s="204"/>
      <c r="F8" s="204"/>
      <c r="G8" s="204"/>
      <c r="H8" s="204"/>
      <c r="I8" s="204"/>
      <c r="J8" s="204"/>
      <c r="K8" s="204"/>
      <c r="L8" s="204"/>
      <c r="M8" s="204"/>
      <c r="O8" s="2"/>
      <c r="P8" s="202"/>
      <c r="Q8" s="202"/>
      <c r="R8" s="202"/>
      <c r="S8" s="202"/>
      <c r="T8" s="202"/>
      <c r="U8" s="202"/>
      <c r="V8" s="202"/>
      <c r="W8" s="202"/>
      <c r="X8" s="202"/>
      <c r="Y8" s="202"/>
      <c r="Z8" s="202"/>
      <c r="AB8" s="2"/>
      <c r="AC8" s="202"/>
      <c r="AD8" s="202"/>
      <c r="AE8" s="202"/>
      <c r="AF8" s="202"/>
      <c r="AG8" s="202"/>
      <c r="AH8" s="202"/>
      <c r="AI8" s="202"/>
      <c r="AJ8" s="202"/>
      <c r="AK8" s="202"/>
    </row>
    <row r="9" spans="1:37" ht="15.75" customHeight="1" x14ac:dyDescent="0.3">
      <c r="B9" s="204" t="s">
        <v>199</v>
      </c>
      <c r="C9" s="204"/>
      <c r="D9" s="204"/>
      <c r="E9" s="204"/>
      <c r="O9" s="2"/>
      <c r="P9" s="202"/>
      <c r="Q9" s="202"/>
      <c r="R9" s="202"/>
      <c r="S9" s="202"/>
      <c r="T9" s="202"/>
      <c r="U9" s="202"/>
      <c r="V9" s="202"/>
      <c r="W9" s="202"/>
      <c r="X9" s="202"/>
      <c r="Y9" s="202"/>
      <c r="Z9" s="202"/>
      <c r="AB9" s="2"/>
      <c r="AC9" s="202"/>
      <c r="AD9" s="202"/>
      <c r="AE9" s="202"/>
      <c r="AF9" s="202"/>
      <c r="AG9" s="202"/>
      <c r="AH9" s="202"/>
      <c r="AI9" s="202"/>
      <c r="AJ9" s="202"/>
      <c r="AK9" s="202"/>
    </row>
    <row r="10" spans="1:37" x14ac:dyDescent="0.3">
      <c r="B10" s="204"/>
      <c r="C10" s="204"/>
      <c r="D10" s="204"/>
      <c r="E10" s="204"/>
      <c r="O10" s="2"/>
      <c r="P10" s="29" t="str">
        <f>B41</f>
        <v>Show all work.</v>
      </c>
      <c r="Q10" s="13"/>
      <c r="R10" s="13"/>
      <c r="S10" s="13"/>
      <c r="T10" s="13"/>
      <c r="U10" s="13"/>
      <c r="V10" s="13"/>
      <c r="W10" s="13"/>
      <c r="X10" s="13"/>
      <c r="Y10" s="13"/>
      <c r="Z10" s="13"/>
      <c r="AB10" s="2"/>
      <c r="AC10" s="29"/>
      <c r="AD10" s="13"/>
      <c r="AE10" s="13"/>
      <c r="AF10" s="13"/>
      <c r="AG10" s="13"/>
      <c r="AH10" s="13"/>
      <c r="AI10" s="13"/>
      <c r="AJ10" s="13"/>
      <c r="AK10" s="13"/>
    </row>
    <row r="11" spans="1:37" x14ac:dyDescent="0.3">
      <c r="B11" s="204"/>
      <c r="C11" s="204"/>
      <c r="D11" s="204"/>
      <c r="E11" s="204"/>
      <c r="O11" s="13"/>
      <c r="P11" s="13"/>
      <c r="Q11" s="13"/>
      <c r="R11" s="13"/>
      <c r="S11" s="13"/>
      <c r="T11" s="13"/>
      <c r="U11" s="13"/>
      <c r="V11" s="13"/>
      <c r="W11" s="13"/>
      <c r="X11" s="13"/>
      <c r="Y11" s="13"/>
      <c r="Z11" s="13"/>
      <c r="AB11" s="13"/>
      <c r="AC11" s="13"/>
      <c r="AD11" s="13"/>
      <c r="AE11" s="13"/>
      <c r="AF11" s="13"/>
      <c r="AG11" s="13"/>
      <c r="AH11" s="13"/>
      <c r="AI11" s="13"/>
      <c r="AJ11" s="13"/>
      <c r="AK11" s="13"/>
    </row>
    <row r="12" spans="1:37" x14ac:dyDescent="0.3">
      <c r="B12" s="204"/>
      <c r="C12" s="204"/>
      <c r="D12" s="204"/>
      <c r="E12" s="204"/>
      <c r="P12" s="14" t="s">
        <v>244</v>
      </c>
      <c r="AC12" s="178" t="s">
        <v>243</v>
      </c>
    </row>
    <row r="13" spans="1:37" x14ac:dyDescent="0.3">
      <c r="B13" s="204"/>
      <c r="C13" s="204"/>
      <c r="D13" s="204"/>
      <c r="E13" s="204"/>
      <c r="P13" s="14" t="s">
        <v>242</v>
      </c>
      <c r="R13" s="17">
        <f>0.02*C25*C24</f>
        <v>30000</v>
      </c>
      <c r="AC13" s="178" t="s">
        <v>241</v>
      </c>
    </row>
    <row r="14" spans="1:37" x14ac:dyDescent="0.3">
      <c r="B14" s="204"/>
      <c r="C14" s="204"/>
      <c r="D14" s="204"/>
      <c r="E14" s="204"/>
      <c r="AC14" s="178" t="s">
        <v>240</v>
      </c>
      <c r="AF14" s="17">
        <f>0.02*C25*((1+C30)^(C29-C23))*(C24+ (C29-C23))</f>
        <v>50000</v>
      </c>
    </row>
    <row r="15" spans="1:37" x14ac:dyDescent="0.3">
      <c r="P15" s="14" t="s">
        <v>239</v>
      </c>
    </row>
    <row r="16" spans="1:37" x14ac:dyDescent="0.3">
      <c r="A16" s="2" t="s">
        <v>198</v>
      </c>
      <c r="P16" s="14" t="s">
        <v>238</v>
      </c>
      <c r="R16" s="17">
        <f>0.02*C25*(1+C30)*(C24+1)</f>
        <v>32000</v>
      </c>
      <c r="AC16" s="178" t="s">
        <v>237</v>
      </c>
      <c r="AH16" s="42"/>
      <c r="AI16" s="42"/>
    </row>
    <row r="17" spans="1:33" x14ac:dyDescent="0.3">
      <c r="AC17" s="178" t="s">
        <v>236</v>
      </c>
      <c r="AF17" s="17">
        <f>AF14*(1-0.03*(65-C29))*C34</f>
        <v>637500</v>
      </c>
    </row>
    <row r="18" spans="1:33" ht="15.75" customHeight="1" x14ac:dyDescent="0.3">
      <c r="B18" s="245" t="s">
        <v>197</v>
      </c>
      <c r="C18" s="247" t="s">
        <v>196</v>
      </c>
      <c r="D18" s="248"/>
      <c r="P18" s="14" t="s">
        <v>235</v>
      </c>
    </row>
    <row r="19" spans="1:33" x14ac:dyDescent="0.3">
      <c r="B19" s="246"/>
      <c r="C19" s="249"/>
      <c r="D19" s="250"/>
      <c r="P19" s="14" t="s">
        <v>234</v>
      </c>
      <c r="R19" s="21">
        <f>R16-R13</f>
        <v>2000</v>
      </c>
      <c r="AC19" s="178" t="s">
        <v>233</v>
      </c>
    </row>
    <row r="20" spans="1:33" ht="15.75" customHeight="1" x14ac:dyDescent="0.3">
      <c r="B20" s="245" t="s">
        <v>195</v>
      </c>
      <c r="C20" s="247" t="s">
        <v>194</v>
      </c>
      <c r="D20" s="248"/>
    </row>
    <row r="21" spans="1:33" x14ac:dyDescent="0.3">
      <c r="B21" s="246"/>
      <c r="C21" s="249"/>
      <c r="D21" s="250"/>
      <c r="P21" s="14" t="s">
        <v>232</v>
      </c>
      <c r="AC21" s="178" t="s">
        <v>231</v>
      </c>
    </row>
    <row r="22" spans="1:33" x14ac:dyDescent="0.3">
      <c r="B22" s="181" t="s">
        <v>193</v>
      </c>
      <c r="C22" s="251">
        <v>100</v>
      </c>
      <c r="D22" s="251"/>
      <c r="P22" s="14" t="s">
        <v>230</v>
      </c>
      <c r="R22" s="17">
        <f>R13*(1-(65-C29)*(3%))</f>
        <v>25500</v>
      </c>
      <c r="AC22" s="178" t="s">
        <v>229</v>
      </c>
    </row>
    <row r="23" spans="1:33" x14ac:dyDescent="0.3">
      <c r="B23" s="181" t="s">
        <v>192</v>
      </c>
      <c r="C23" s="251">
        <v>50</v>
      </c>
      <c r="D23" s="251"/>
      <c r="AC23" s="178" t="s">
        <v>228</v>
      </c>
      <c r="AE23" s="17">
        <f>0.02*C25*C24</f>
        <v>30000</v>
      </c>
    </row>
    <row r="24" spans="1:33" x14ac:dyDescent="0.3">
      <c r="B24" s="181" t="s">
        <v>191</v>
      </c>
      <c r="C24" s="251">
        <v>15</v>
      </c>
      <c r="D24" s="251"/>
      <c r="P24" s="14" t="s">
        <v>227</v>
      </c>
    </row>
    <row r="25" spans="1:33" x14ac:dyDescent="0.3">
      <c r="B25" s="181" t="s">
        <v>190</v>
      </c>
      <c r="C25" s="261">
        <v>100000</v>
      </c>
      <c r="D25" s="261"/>
      <c r="P25" s="14" t="s">
        <v>226</v>
      </c>
      <c r="R25" s="17">
        <f>R16*(1-(65-C29)*(3%))</f>
        <v>27200</v>
      </c>
      <c r="AC25" s="178" t="s">
        <v>225</v>
      </c>
    </row>
    <row r="26" spans="1:33" x14ac:dyDescent="0.3">
      <c r="R26" s="182"/>
      <c r="AC26" s="178" t="s">
        <v>224</v>
      </c>
      <c r="AF26" s="17">
        <f>AE23*(1-0.03*(65-C29))*C34</f>
        <v>382500</v>
      </c>
    </row>
    <row r="27" spans="1:33" x14ac:dyDescent="0.3">
      <c r="A27" s="2" t="s">
        <v>189</v>
      </c>
      <c r="P27" s="14" t="s">
        <v>223</v>
      </c>
      <c r="R27" s="182"/>
    </row>
    <row r="28" spans="1:33" x14ac:dyDescent="0.3">
      <c r="P28" s="14" t="s">
        <v>222</v>
      </c>
      <c r="S28" s="182">
        <f>R25-R22</f>
        <v>1700</v>
      </c>
      <c r="AC28" s="178" t="s">
        <v>221</v>
      </c>
    </row>
    <row r="29" spans="1:33" x14ac:dyDescent="0.3">
      <c r="B29" s="181" t="s">
        <v>188</v>
      </c>
      <c r="C29" s="254">
        <v>60</v>
      </c>
      <c r="D29" s="255"/>
      <c r="G29" s="75"/>
      <c r="H29" s="75"/>
      <c r="I29" s="75"/>
      <c r="J29" s="75"/>
      <c r="K29" s="75"/>
      <c r="L29" s="75"/>
      <c r="R29" s="182"/>
      <c r="S29" s="34"/>
      <c r="AC29" s="178" t="s">
        <v>220</v>
      </c>
      <c r="AE29" s="21">
        <f>AF17-AF26</f>
        <v>255000</v>
      </c>
    </row>
    <row r="30" spans="1:33" ht="16.2" thickBot="1" x14ac:dyDescent="0.35">
      <c r="B30" s="181" t="s">
        <v>187</v>
      </c>
      <c r="C30" s="256">
        <v>0</v>
      </c>
      <c r="D30" s="257"/>
      <c r="G30" s="75"/>
      <c r="H30" s="75"/>
      <c r="I30" s="75"/>
      <c r="J30" s="75"/>
      <c r="K30" s="75"/>
      <c r="L30" s="75"/>
      <c r="P30" s="14" t="s">
        <v>219</v>
      </c>
    </row>
    <row r="31" spans="1:33" ht="16.2" thickBot="1" x14ac:dyDescent="0.35">
      <c r="B31" s="181" t="s">
        <v>186</v>
      </c>
      <c r="C31" s="256">
        <v>0.06</v>
      </c>
      <c r="D31" s="257"/>
      <c r="P31" s="14" t="s">
        <v>218</v>
      </c>
      <c r="T31" s="34">
        <f>S28*C34</f>
        <v>25500</v>
      </c>
      <c r="AC31" s="178" t="s">
        <v>217</v>
      </c>
      <c r="AF31" s="200" t="s">
        <v>216</v>
      </c>
      <c r="AG31" s="199">
        <v>0.18251249999999999</v>
      </c>
    </row>
    <row r="32" spans="1:33" x14ac:dyDescent="0.3">
      <c r="B32" s="181" t="s">
        <v>185</v>
      </c>
      <c r="C32" s="256" t="s">
        <v>184</v>
      </c>
      <c r="D32" s="257"/>
      <c r="AC32" s="178" t="s">
        <v>215</v>
      </c>
    </row>
    <row r="33" spans="1:34" x14ac:dyDescent="0.3">
      <c r="B33" s="181" t="s">
        <v>183</v>
      </c>
      <c r="C33" s="258" t="s">
        <v>182</v>
      </c>
      <c r="D33" s="259"/>
      <c r="P33" s="14" t="s">
        <v>214</v>
      </c>
      <c r="R33" s="182"/>
    </row>
    <row r="34" spans="1:34" ht="28.8" x14ac:dyDescent="0.3">
      <c r="B34" s="181" t="s">
        <v>181</v>
      </c>
      <c r="C34" s="258">
        <v>15</v>
      </c>
      <c r="D34" s="259"/>
      <c r="P34" s="14" t="s">
        <v>213</v>
      </c>
      <c r="S34" s="182">
        <f>T31/((1+C35)^(C29-C23))</f>
        <v>18974.394829866491</v>
      </c>
      <c r="AC34" s="198" t="s">
        <v>17</v>
      </c>
      <c r="AD34" s="198" t="s">
        <v>212</v>
      </c>
      <c r="AE34" s="198" t="s">
        <v>211</v>
      </c>
      <c r="AF34" s="197" t="s">
        <v>210</v>
      </c>
      <c r="AG34" s="14" t="s">
        <v>209</v>
      </c>
    </row>
    <row r="35" spans="1:34" x14ac:dyDescent="0.3">
      <c r="B35" s="180" t="s">
        <v>180</v>
      </c>
      <c r="C35" s="252">
        <v>0.03</v>
      </c>
      <c r="D35" s="253"/>
      <c r="AC35" s="178">
        <v>50</v>
      </c>
      <c r="AD35" s="187">
        <f>C25</f>
        <v>100000</v>
      </c>
      <c r="AE35" s="21">
        <f t="shared" ref="AE35:AE44" si="0">AD35*$AG$31</f>
        <v>18251.25</v>
      </c>
      <c r="AF35" s="31">
        <f t="shared" ref="AF35:AF44" si="1">(1+$C$31)^(60-AC35)</f>
        <v>1.7908476965428546</v>
      </c>
      <c r="AG35" s="17">
        <f t="shared" ref="AG35:AG44" si="2">AE35*AF35</f>
        <v>32685.209021527775</v>
      </c>
    </row>
    <row r="36" spans="1:34" x14ac:dyDescent="0.3">
      <c r="B36" s="180" t="s">
        <v>179</v>
      </c>
      <c r="C36" s="252" t="s">
        <v>178</v>
      </c>
      <c r="D36" s="253"/>
      <c r="P36" s="14" t="s">
        <v>208</v>
      </c>
      <c r="R36" s="182"/>
      <c r="S36" s="34"/>
      <c r="AC36" s="178">
        <v>51</v>
      </c>
      <c r="AD36" s="187">
        <f t="shared" ref="AD36:AD44" si="3">AD35*(1+$C$30)</f>
        <v>100000</v>
      </c>
      <c r="AE36" s="21">
        <f t="shared" si="0"/>
        <v>18251.25</v>
      </c>
      <c r="AF36" s="31">
        <f t="shared" si="1"/>
        <v>1.6894789590026928</v>
      </c>
      <c r="AG36" s="17">
        <f t="shared" si="2"/>
        <v>30835.102850497897</v>
      </c>
    </row>
    <row r="37" spans="1:34" ht="15.6" customHeight="1" x14ac:dyDescent="0.3">
      <c r="B37" s="179"/>
      <c r="C37" s="179"/>
      <c r="D37" s="179"/>
      <c r="P37" s="14" t="s">
        <v>207</v>
      </c>
      <c r="R37" s="17">
        <f>S34*C22</f>
        <v>1897439.482986649</v>
      </c>
      <c r="AC37" s="178">
        <v>52</v>
      </c>
      <c r="AD37" s="187">
        <f t="shared" si="3"/>
        <v>100000</v>
      </c>
      <c r="AE37" s="21">
        <f t="shared" si="0"/>
        <v>18251.25</v>
      </c>
      <c r="AF37" s="31">
        <f t="shared" si="1"/>
        <v>1.5938480745308423</v>
      </c>
      <c r="AG37" s="17">
        <f t="shared" si="2"/>
        <v>29089.719670281036</v>
      </c>
    </row>
    <row r="38" spans="1:34" ht="15.6" customHeight="1" thickBot="1" x14ac:dyDescent="0.35">
      <c r="A38" s="2" t="s">
        <v>177</v>
      </c>
      <c r="B38" s="202" t="s">
        <v>206</v>
      </c>
      <c r="C38" s="202"/>
      <c r="D38" s="202"/>
      <c r="E38" s="202"/>
      <c r="F38" s="202"/>
      <c r="G38" s="202"/>
      <c r="H38" s="202"/>
      <c r="I38" s="202"/>
      <c r="J38" s="202"/>
      <c r="K38" s="202"/>
      <c r="L38" s="202"/>
      <c r="R38" s="182"/>
      <c r="S38" s="34"/>
      <c r="AC38" s="178">
        <v>53</v>
      </c>
      <c r="AD38" s="187">
        <f t="shared" si="3"/>
        <v>100000</v>
      </c>
      <c r="AE38" s="21">
        <f t="shared" si="0"/>
        <v>18251.25</v>
      </c>
      <c r="AF38" s="31">
        <f t="shared" si="1"/>
        <v>1.5036302589913608</v>
      </c>
      <c r="AG38" s="17">
        <f t="shared" si="2"/>
        <v>27443.131764416074</v>
      </c>
    </row>
    <row r="39" spans="1:34" ht="18.75" customHeight="1" x14ac:dyDescent="0.3">
      <c r="B39" s="202"/>
      <c r="C39" s="202"/>
      <c r="D39" s="202"/>
      <c r="E39" s="202"/>
      <c r="F39" s="202"/>
      <c r="G39" s="202"/>
      <c r="H39" s="202"/>
      <c r="I39" s="202"/>
      <c r="J39" s="202"/>
      <c r="K39" s="202"/>
      <c r="L39" s="202"/>
      <c r="P39" s="196" t="s">
        <v>205</v>
      </c>
      <c r="Q39" s="194"/>
      <c r="R39" s="195"/>
      <c r="S39" s="194"/>
      <c r="T39" s="194"/>
      <c r="U39" s="194"/>
      <c r="V39" s="194"/>
      <c r="W39" s="194"/>
      <c r="X39" s="194"/>
      <c r="Y39" s="194"/>
      <c r="Z39" s="193"/>
      <c r="AC39" s="178">
        <v>54</v>
      </c>
      <c r="AD39" s="187">
        <f t="shared" si="3"/>
        <v>100000</v>
      </c>
      <c r="AE39" s="21">
        <f t="shared" si="0"/>
        <v>18251.25</v>
      </c>
      <c r="AF39" s="31">
        <f t="shared" si="1"/>
        <v>1.4185191122560006</v>
      </c>
      <c r="AG39" s="17">
        <f t="shared" si="2"/>
        <v>25889.746947562329</v>
      </c>
    </row>
    <row r="40" spans="1:34" ht="16.2" thickBot="1" x14ac:dyDescent="0.35">
      <c r="B40" s="13"/>
      <c r="C40" s="13"/>
      <c r="D40" s="13"/>
      <c r="E40" s="13"/>
      <c r="F40" s="13"/>
      <c r="G40" s="13"/>
      <c r="H40" s="13"/>
      <c r="I40" s="13"/>
      <c r="J40" s="13"/>
      <c r="K40" s="13"/>
      <c r="L40" s="13"/>
      <c r="P40" s="192" t="s">
        <v>204</v>
      </c>
      <c r="Q40" s="189"/>
      <c r="R40" s="191"/>
      <c r="S40" s="189"/>
      <c r="T40" s="189"/>
      <c r="U40" s="190">
        <f>R37/C22/C25</f>
        <v>0.18974394829866492</v>
      </c>
      <c r="V40" s="189"/>
      <c r="W40" s="189"/>
      <c r="X40" s="189"/>
      <c r="Y40" s="189"/>
      <c r="Z40" s="188"/>
      <c r="AC40" s="178">
        <v>55</v>
      </c>
      <c r="AD40" s="187">
        <f t="shared" si="3"/>
        <v>100000</v>
      </c>
      <c r="AE40" s="21">
        <f t="shared" si="0"/>
        <v>18251.25</v>
      </c>
      <c r="AF40" s="31">
        <f t="shared" si="1"/>
        <v>1.3382255776000005</v>
      </c>
      <c r="AG40" s="17">
        <f t="shared" si="2"/>
        <v>24424.289573172009</v>
      </c>
    </row>
    <row r="41" spans="1:34" x14ac:dyDescent="0.3">
      <c r="B41" s="29" t="s">
        <v>75</v>
      </c>
      <c r="C41" s="13"/>
      <c r="D41" s="13"/>
      <c r="E41" s="13"/>
      <c r="F41" s="13"/>
      <c r="G41" s="13"/>
      <c r="H41" s="13"/>
      <c r="I41" s="13"/>
      <c r="J41" s="13"/>
      <c r="K41" s="13"/>
      <c r="L41" s="13"/>
      <c r="R41" s="21"/>
      <c r="AC41" s="178">
        <v>56</v>
      </c>
      <c r="AD41" s="187">
        <f t="shared" si="3"/>
        <v>100000</v>
      </c>
      <c r="AE41" s="21">
        <f t="shared" si="0"/>
        <v>18251.25</v>
      </c>
      <c r="AF41" s="31">
        <f t="shared" si="1"/>
        <v>1.2624769600000003</v>
      </c>
      <c r="AG41" s="17">
        <f t="shared" si="2"/>
        <v>23041.782616200006</v>
      </c>
    </row>
    <row r="42" spans="1:34" ht="16.2" x14ac:dyDescent="0.3">
      <c r="B42" s="30" t="s">
        <v>40</v>
      </c>
      <c r="C42" s="13"/>
      <c r="D42" s="13"/>
      <c r="E42" s="13"/>
      <c r="F42" s="13"/>
      <c r="G42" s="13"/>
      <c r="H42" s="13"/>
      <c r="I42" s="13"/>
      <c r="J42" s="13"/>
      <c r="K42" s="13"/>
      <c r="L42" s="13"/>
      <c r="AC42" s="178">
        <v>57</v>
      </c>
      <c r="AD42" s="187">
        <f t="shared" si="3"/>
        <v>100000</v>
      </c>
      <c r="AE42" s="21">
        <f t="shared" si="0"/>
        <v>18251.25</v>
      </c>
      <c r="AF42" s="31">
        <f t="shared" si="1"/>
        <v>1.1910160000000003</v>
      </c>
      <c r="AG42" s="17">
        <f t="shared" si="2"/>
        <v>21737.530770000005</v>
      </c>
    </row>
    <row r="43" spans="1:34" ht="16.2" x14ac:dyDescent="0.3">
      <c r="B43" s="30"/>
      <c r="C43" s="13"/>
      <c r="D43" s="13"/>
      <c r="E43" s="13"/>
      <c r="F43" s="13"/>
      <c r="G43" s="13"/>
      <c r="H43" s="13"/>
      <c r="I43" s="13"/>
      <c r="J43" s="13"/>
      <c r="K43" s="13"/>
      <c r="L43" s="13"/>
      <c r="AC43" s="178">
        <v>58</v>
      </c>
      <c r="AD43" s="187">
        <f t="shared" si="3"/>
        <v>100000</v>
      </c>
      <c r="AE43" s="21">
        <f t="shared" si="0"/>
        <v>18251.25</v>
      </c>
      <c r="AF43" s="31">
        <f t="shared" si="1"/>
        <v>1.1236000000000002</v>
      </c>
      <c r="AG43" s="17">
        <f t="shared" si="2"/>
        <v>20507.104500000001</v>
      </c>
    </row>
    <row r="44" spans="1:34" ht="15.75" customHeight="1" x14ac:dyDescent="0.3">
      <c r="AC44" s="178">
        <v>59</v>
      </c>
      <c r="AD44" s="187">
        <f t="shared" si="3"/>
        <v>100000</v>
      </c>
      <c r="AE44" s="21">
        <f t="shared" si="0"/>
        <v>18251.25</v>
      </c>
      <c r="AF44" s="31">
        <f t="shared" si="1"/>
        <v>1.06</v>
      </c>
      <c r="AG44" s="17">
        <f t="shared" si="2"/>
        <v>19346.325000000001</v>
      </c>
    </row>
    <row r="45" spans="1:34" x14ac:dyDescent="0.3">
      <c r="A45" s="2" t="s">
        <v>5</v>
      </c>
      <c r="B45" s="201" t="s">
        <v>175</v>
      </c>
      <c r="C45" s="201"/>
      <c r="D45" s="201"/>
      <c r="E45" s="201"/>
      <c r="F45" s="201"/>
      <c r="G45" s="201"/>
      <c r="H45" s="201"/>
      <c r="I45" s="201"/>
      <c r="J45" s="201"/>
      <c r="K45" s="201"/>
      <c r="L45" s="201"/>
      <c r="M45" s="201"/>
      <c r="Q45" s="17"/>
    </row>
    <row r="46" spans="1:34" x14ac:dyDescent="0.3">
      <c r="B46" s="201"/>
      <c r="C46" s="201"/>
      <c r="D46" s="201"/>
      <c r="E46" s="201"/>
      <c r="F46" s="201"/>
      <c r="G46" s="201"/>
      <c r="H46" s="201"/>
      <c r="I46" s="201"/>
      <c r="J46" s="201"/>
      <c r="K46" s="201"/>
      <c r="L46" s="201"/>
      <c r="M46" s="201"/>
      <c r="Q46" s="17"/>
      <c r="AF46" s="14" t="s">
        <v>203</v>
      </c>
      <c r="AG46" s="21">
        <f>SUM(AG35:AG44)</f>
        <v>254999.94271365716</v>
      </c>
      <c r="AH46" s="14" t="s">
        <v>202</v>
      </c>
    </row>
    <row r="47" spans="1:34" ht="16.2" thickBot="1" x14ac:dyDescent="0.35">
      <c r="B47" s="201"/>
      <c r="C47" s="201"/>
      <c r="D47" s="201"/>
      <c r="E47" s="201"/>
      <c r="F47" s="201"/>
      <c r="G47" s="201"/>
      <c r="H47" s="201"/>
      <c r="I47" s="201"/>
      <c r="J47" s="201"/>
      <c r="K47" s="201"/>
      <c r="L47" s="201"/>
      <c r="M47" s="201"/>
    </row>
    <row r="48" spans="1:34" ht="16.2" thickBot="1" x14ac:dyDescent="0.35">
      <c r="B48" s="201"/>
      <c r="C48" s="201"/>
      <c r="D48" s="201"/>
      <c r="E48" s="201"/>
      <c r="F48" s="201"/>
      <c r="G48" s="201"/>
      <c r="H48" s="201"/>
      <c r="I48" s="201"/>
      <c r="J48" s="201"/>
      <c r="K48" s="201"/>
      <c r="L48" s="201"/>
      <c r="M48" s="201"/>
      <c r="AC48" s="186" t="s">
        <v>201</v>
      </c>
      <c r="AD48" s="185"/>
      <c r="AE48" s="184"/>
    </row>
    <row r="49" spans="2:17" ht="16.2" x14ac:dyDescent="0.3">
      <c r="B49" s="30" t="s">
        <v>40</v>
      </c>
      <c r="Q49" s="17"/>
    </row>
    <row r="50" spans="2:17" x14ac:dyDescent="0.3">
      <c r="Q50" s="17"/>
    </row>
    <row r="52" spans="2:17" x14ac:dyDescent="0.3">
      <c r="Q52" s="21"/>
    </row>
    <row r="55" spans="2:17" x14ac:dyDescent="0.3">
      <c r="Q55" s="17"/>
    </row>
    <row r="56" spans="2:17" x14ac:dyDescent="0.3">
      <c r="Q56" s="17"/>
    </row>
    <row r="57" spans="2:17" x14ac:dyDescent="0.3">
      <c r="Q57" s="17"/>
    </row>
    <row r="58" spans="2:17" x14ac:dyDescent="0.3">
      <c r="Q58" s="17"/>
    </row>
    <row r="59" spans="2:17" x14ac:dyDescent="0.3">
      <c r="Q59" s="17"/>
    </row>
    <row r="60" spans="2:17" x14ac:dyDescent="0.3">
      <c r="Q60" s="17"/>
    </row>
    <row r="62" spans="2:17" x14ac:dyDescent="0.3">
      <c r="Q62" s="31"/>
    </row>
    <row r="64" spans="2:17" x14ac:dyDescent="0.3">
      <c r="P64" s="32"/>
    </row>
    <row r="67" spans="16:16" x14ac:dyDescent="0.3">
      <c r="P67" s="33"/>
    </row>
    <row r="69" spans="16:16" x14ac:dyDescent="0.3">
      <c r="P69" s="21"/>
    </row>
    <row r="70" spans="16:16" ht="15.75" customHeight="1" x14ac:dyDescent="0.3">
      <c r="P70" s="21"/>
    </row>
    <row r="71" spans="16:16" x14ac:dyDescent="0.3">
      <c r="P71" s="17"/>
    </row>
    <row r="72" spans="16:16" x14ac:dyDescent="0.3">
      <c r="P72" s="21"/>
    </row>
    <row r="73" spans="16:16" x14ac:dyDescent="0.3">
      <c r="P73" s="21"/>
    </row>
    <row r="74" spans="16:16" x14ac:dyDescent="0.3">
      <c r="P74" s="21"/>
    </row>
    <row r="78" spans="16:16" x14ac:dyDescent="0.3">
      <c r="P78" s="17"/>
    </row>
    <row r="81" spans="16:18" x14ac:dyDescent="0.3">
      <c r="P81" s="31"/>
    </row>
    <row r="82" spans="16:18" x14ac:dyDescent="0.3">
      <c r="P82" s="31"/>
    </row>
    <row r="83" spans="16:18" x14ac:dyDescent="0.3">
      <c r="P83" s="17"/>
      <c r="R83" s="34"/>
    </row>
    <row r="84" spans="16:18" x14ac:dyDescent="0.3">
      <c r="P84" s="17"/>
    </row>
    <row r="85" spans="16:18" x14ac:dyDescent="0.3">
      <c r="P85" s="17"/>
    </row>
    <row r="86" spans="16:18" x14ac:dyDescent="0.3">
      <c r="P86" s="31"/>
    </row>
    <row r="87" spans="16:18" x14ac:dyDescent="0.3">
      <c r="P87" s="17"/>
    </row>
    <row r="88" spans="16:18" x14ac:dyDescent="0.3">
      <c r="P88" s="17"/>
    </row>
    <row r="89" spans="16:18" x14ac:dyDescent="0.3">
      <c r="P89" s="17"/>
    </row>
    <row r="90" spans="16:18" x14ac:dyDescent="0.3">
      <c r="P90" s="31"/>
    </row>
    <row r="91" spans="16:18" x14ac:dyDescent="0.3">
      <c r="P91" s="17"/>
    </row>
    <row r="92" spans="16:18" x14ac:dyDescent="0.3">
      <c r="P92" s="17"/>
    </row>
    <row r="93" spans="16:18" x14ac:dyDescent="0.3">
      <c r="P93" s="31"/>
    </row>
    <row r="94" spans="16:18" x14ac:dyDescent="0.3">
      <c r="P94" s="31"/>
    </row>
    <row r="95" spans="16:18" x14ac:dyDescent="0.3">
      <c r="P95" s="31"/>
    </row>
    <row r="103" spans="18:18" x14ac:dyDescent="0.3">
      <c r="R103" s="17"/>
    </row>
    <row r="105" spans="18:18" x14ac:dyDescent="0.3">
      <c r="R105" s="17"/>
    </row>
    <row r="106" spans="18:18" x14ac:dyDescent="0.3">
      <c r="R106" s="17"/>
    </row>
    <row r="109" spans="18:18" x14ac:dyDescent="0.3">
      <c r="R109" s="182"/>
    </row>
    <row r="110" spans="18:18" x14ac:dyDescent="0.3">
      <c r="R110" s="17"/>
    </row>
    <row r="112" spans="18:18" x14ac:dyDescent="0.3">
      <c r="R112" s="34"/>
    </row>
    <row r="113" spans="16:20" x14ac:dyDescent="0.3">
      <c r="R113" s="183"/>
    </row>
    <row r="114" spans="16:20" x14ac:dyDescent="0.3">
      <c r="Q114" s="17"/>
    </row>
    <row r="115" spans="16:20" x14ac:dyDescent="0.3">
      <c r="Q115" s="17"/>
    </row>
    <row r="117" spans="16:20" x14ac:dyDescent="0.3">
      <c r="Q117" s="37"/>
      <c r="R117" s="38"/>
      <c r="T117" s="38"/>
    </row>
    <row r="118" spans="16:20" x14ac:dyDescent="0.3">
      <c r="Q118" s="34"/>
      <c r="R118" s="34"/>
      <c r="S118" s="182"/>
      <c r="T118" s="34"/>
    </row>
    <row r="119" spans="16:20" x14ac:dyDescent="0.3">
      <c r="Q119" s="34"/>
      <c r="R119" s="34"/>
      <c r="S119" s="182"/>
      <c r="T119" s="34"/>
    </row>
    <row r="120" spans="16:20" x14ac:dyDescent="0.3">
      <c r="Q120" s="34"/>
      <c r="R120" s="34"/>
      <c r="S120" s="182"/>
      <c r="T120" s="34"/>
    </row>
    <row r="121" spans="16:20" x14ac:dyDescent="0.3">
      <c r="Q121" s="39"/>
      <c r="R121" s="39"/>
      <c r="S121" s="39"/>
      <c r="T121" s="39"/>
    </row>
    <row r="126" spans="16:20" x14ac:dyDescent="0.3">
      <c r="P126" s="40"/>
    </row>
    <row r="128" spans="16:20" x14ac:dyDescent="0.3">
      <c r="P128" s="21"/>
    </row>
    <row r="129" spans="15:20" x14ac:dyDescent="0.3">
      <c r="P129" s="21"/>
    </row>
    <row r="130" spans="15:20" x14ac:dyDescent="0.3">
      <c r="P130" s="21"/>
    </row>
    <row r="131" spans="15:20" x14ac:dyDescent="0.3">
      <c r="P131" s="21"/>
    </row>
    <row r="132" spans="15:20" x14ac:dyDescent="0.3">
      <c r="Q132" s="18"/>
    </row>
    <row r="135" spans="15:20" x14ac:dyDescent="0.3">
      <c r="P135" s="182"/>
      <c r="R135" s="80"/>
      <c r="S135" s="80"/>
      <c r="T135" s="41"/>
    </row>
    <row r="136" spans="15:20" x14ac:dyDescent="0.3">
      <c r="R136" s="21"/>
      <c r="S136" s="79"/>
      <c r="T136" s="21"/>
    </row>
    <row r="137" spans="15:20" x14ac:dyDescent="0.3">
      <c r="R137" s="21"/>
      <c r="S137" s="79"/>
      <c r="T137" s="21"/>
    </row>
    <row r="138" spans="15:20" x14ac:dyDescent="0.3">
      <c r="R138" s="78"/>
      <c r="S138" s="77"/>
      <c r="T138" s="21"/>
    </row>
    <row r="139" spans="15:20" x14ac:dyDescent="0.3">
      <c r="R139" s="21"/>
      <c r="S139" s="21"/>
      <c r="T139" s="21"/>
    </row>
    <row r="143" spans="15:20" x14ac:dyDescent="0.3">
      <c r="O143" s="42"/>
    </row>
  </sheetData>
  <sheetProtection algorithmName="SHA-512" hashValue="grHYVEYY6vyZ9p/cE60u+yec/cGcCSr9Py0M14VXlPnTHBRxPkkXgtg/mpS9pYlPU6aIBmASliiVJn083hzPGw==" saltValue="5UZYIUaXv+1WscsJ6G8Ylw==" spinCount="100000" sheet="1" objects="1" scenarios="1" formatCells="0" formatColumns="0" formatRows="0" insertColumns="0" insertRows="0"/>
  <mergeCells count="22">
    <mergeCell ref="C23:D23"/>
    <mergeCell ref="C24:D24"/>
    <mergeCell ref="C25:D25"/>
    <mergeCell ref="A5:M8"/>
    <mergeCell ref="P7:Z9"/>
    <mergeCell ref="C22:D22"/>
    <mergeCell ref="AC7:AK9"/>
    <mergeCell ref="B9:E14"/>
    <mergeCell ref="B18:B19"/>
    <mergeCell ref="C18:D19"/>
    <mergeCell ref="B20:B21"/>
    <mergeCell ref="C20:D21"/>
    <mergeCell ref="C35:D35"/>
    <mergeCell ref="C36:D36"/>
    <mergeCell ref="B38:L39"/>
    <mergeCell ref="B45:M48"/>
    <mergeCell ref="C29:D29"/>
    <mergeCell ref="C30:D30"/>
    <mergeCell ref="C31:D31"/>
    <mergeCell ref="C32:D32"/>
    <mergeCell ref="C33:D33"/>
    <mergeCell ref="C34:D34"/>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6E5F2A-D2BF-4703-9540-1BAFE8E21324}">
  <sheetPr>
    <tabColor theme="1"/>
  </sheetPr>
  <dimension ref="A1"/>
  <sheetViews>
    <sheetView workbookViewId="0">
      <selection activeCell="G36" sqref="G36"/>
    </sheetView>
  </sheetViews>
  <sheetFormatPr defaultRowHeight="14.4" x14ac:dyDescent="0.3"/>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555F57-F791-419D-A4A0-886AE628A08E}">
  <dimension ref="A1:R115"/>
  <sheetViews>
    <sheetView zoomScale="75" zoomScaleNormal="75" workbookViewId="0"/>
  </sheetViews>
  <sheetFormatPr defaultColWidth="9.109375" defaultRowHeight="15.6" x14ac:dyDescent="0.3"/>
  <cols>
    <col min="1" max="1" width="3.6640625" style="2" customWidth="1"/>
    <col min="2" max="2" width="51.109375" style="2" customWidth="1"/>
    <col min="3" max="3" width="64.44140625" style="2" customWidth="1"/>
    <col min="4" max="4" width="6.88671875" style="2" customWidth="1"/>
    <col min="5" max="5" width="0.109375" style="2" customWidth="1"/>
    <col min="6" max="6" width="2.6640625" style="2" customWidth="1"/>
    <col min="7" max="7" width="1" style="3" customWidth="1"/>
    <col min="8" max="8" width="5" style="14" customWidth="1"/>
    <col min="9" max="9" width="12" style="14" customWidth="1"/>
    <col min="10" max="10" width="17.33203125" style="14" customWidth="1"/>
    <col min="11" max="11" width="13.44140625" style="14" customWidth="1"/>
    <col min="12" max="12" width="12.5546875" style="14" bestFit="1" customWidth="1"/>
    <col min="13" max="13" width="15" style="14" customWidth="1"/>
    <col min="14" max="14" width="9.109375" style="14"/>
    <col min="15" max="15" width="11" style="14" customWidth="1"/>
    <col min="16" max="16" width="9.109375" style="14"/>
    <col min="17" max="17" width="14.6640625" style="14" customWidth="1"/>
    <col min="18" max="18" width="1" style="3" customWidth="1"/>
  </cols>
  <sheetData>
    <row r="1" spans="1:18" s="4" customFormat="1" x14ac:dyDescent="0.3">
      <c r="A1" s="1" t="s">
        <v>0</v>
      </c>
      <c r="B1" s="2"/>
      <c r="C1" s="2"/>
      <c r="D1" s="2"/>
      <c r="E1" s="2"/>
      <c r="F1" s="2"/>
      <c r="G1" s="3"/>
      <c r="H1" s="1" t="str">
        <f>A1</f>
        <v>Exam RETDAC:  Fall 2022</v>
      </c>
      <c r="I1" s="2"/>
      <c r="J1" s="2"/>
      <c r="K1" s="2"/>
      <c r="L1" s="2"/>
      <c r="M1" s="2"/>
      <c r="N1" s="2"/>
      <c r="O1" s="2"/>
      <c r="P1" s="2"/>
      <c r="Q1" s="2"/>
      <c r="R1" s="3"/>
    </row>
    <row r="2" spans="1:18" s="4" customFormat="1" x14ac:dyDescent="0.3">
      <c r="A2" s="1" t="s">
        <v>1</v>
      </c>
      <c r="B2" s="2"/>
      <c r="C2" s="2"/>
      <c r="D2" s="2"/>
      <c r="E2" s="2"/>
      <c r="F2" s="2"/>
      <c r="G2" s="3"/>
      <c r="H2" s="1" t="str">
        <f>A2</f>
        <v>Design and Accounting Exam – Canada</v>
      </c>
      <c r="I2" s="2"/>
      <c r="J2" s="2"/>
      <c r="K2" s="2"/>
      <c r="L2" s="2"/>
      <c r="M2" s="2"/>
      <c r="N2" s="2"/>
      <c r="O2" s="2"/>
      <c r="P2" s="2"/>
      <c r="Q2" s="2"/>
      <c r="R2" s="3"/>
    </row>
    <row r="3" spans="1:18" s="4" customFormat="1" x14ac:dyDescent="0.3">
      <c r="A3" s="1" t="s">
        <v>2</v>
      </c>
      <c r="B3" s="2"/>
      <c r="C3" s="2"/>
      <c r="D3" s="2"/>
      <c r="E3" s="2"/>
      <c r="F3" s="2"/>
      <c r="G3" s="3"/>
      <c r="H3" s="1" t="str">
        <f>A3</f>
        <v>Question 8</v>
      </c>
      <c r="I3" s="2"/>
      <c r="J3" s="2"/>
      <c r="K3" s="2"/>
      <c r="L3" s="2"/>
      <c r="M3" s="2"/>
      <c r="N3" s="2"/>
      <c r="O3" s="2"/>
      <c r="P3" s="2"/>
      <c r="Q3" s="2"/>
      <c r="R3" s="3"/>
    </row>
    <row r="4" spans="1:18" s="4" customFormat="1" x14ac:dyDescent="0.3">
      <c r="A4" s="2"/>
      <c r="B4" s="2"/>
      <c r="C4" s="2"/>
      <c r="D4" s="2"/>
      <c r="E4" s="2"/>
      <c r="F4" s="2"/>
      <c r="G4" s="3"/>
      <c r="H4" s="2"/>
      <c r="I4" s="2"/>
      <c r="J4" s="2"/>
      <c r="K4" s="2"/>
      <c r="L4" s="2"/>
      <c r="M4" s="2"/>
      <c r="N4" s="2"/>
      <c r="O4" s="2"/>
      <c r="P4" s="2"/>
      <c r="Q4" s="2"/>
      <c r="R4" s="3"/>
    </row>
    <row r="5" spans="1:18" s="4" customFormat="1" ht="16.2" customHeight="1" x14ac:dyDescent="0.35">
      <c r="A5" s="201" t="s">
        <v>3</v>
      </c>
      <c r="B5" s="201"/>
      <c r="C5" s="201"/>
      <c r="D5" s="201"/>
      <c r="E5" s="201"/>
      <c r="F5" s="201"/>
      <c r="G5" s="3"/>
      <c r="H5" s="5" t="s">
        <v>4</v>
      </c>
      <c r="I5" s="2"/>
      <c r="J5" s="2"/>
      <c r="K5" s="2"/>
      <c r="L5" s="2"/>
      <c r="M5" s="2"/>
      <c r="N5" s="2"/>
      <c r="O5" s="2"/>
      <c r="P5" s="2"/>
      <c r="Q5" s="2"/>
      <c r="R5" s="3"/>
    </row>
    <row r="6" spans="1:18" s="4" customFormat="1" x14ac:dyDescent="0.3">
      <c r="A6" s="201"/>
      <c r="B6" s="201"/>
      <c r="C6" s="201"/>
      <c r="D6" s="201"/>
      <c r="E6" s="201"/>
      <c r="F6" s="201"/>
      <c r="G6" s="3"/>
      <c r="H6" s="2"/>
      <c r="I6" s="2"/>
      <c r="J6" s="2"/>
      <c r="K6" s="2"/>
      <c r="L6" s="2"/>
      <c r="M6" s="2"/>
      <c r="N6" s="2"/>
      <c r="O6" s="2"/>
      <c r="P6" s="2"/>
      <c r="Q6" s="2"/>
      <c r="R6" s="3"/>
    </row>
    <row r="7" spans="1:18" s="4" customFormat="1" ht="15.6" customHeight="1" x14ac:dyDescent="0.3">
      <c r="A7" s="6"/>
      <c r="B7" s="6"/>
      <c r="C7" s="6"/>
      <c r="D7" s="6"/>
      <c r="E7" s="6"/>
      <c r="F7" s="6"/>
      <c r="G7" s="3"/>
      <c r="H7" s="2" t="s">
        <v>5</v>
      </c>
      <c r="I7" s="7" t="s">
        <v>6</v>
      </c>
      <c r="J7" s="8"/>
      <c r="K7" s="8"/>
      <c r="L7" s="8"/>
      <c r="M7" s="8"/>
      <c r="N7" s="8"/>
      <c r="O7" s="8"/>
      <c r="P7" s="8"/>
      <c r="Q7" s="8"/>
      <c r="R7" s="3"/>
    </row>
    <row r="8" spans="1:18" s="4" customFormat="1" ht="15.6" customHeight="1" x14ac:dyDescent="0.3">
      <c r="A8" s="6"/>
      <c r="B8" s="9" t="s">
        <v>7</v>
      </c>
      <c r="C8" s="10" t="s">
        <v>8</v>
      </c>
      <c r="D8" s="6"/>
      <c r="E8" s="6"/>
      <c r="F8" s="6"/>
      <c r="G8" s="3"/>
      <c r="H8" s="2"/>
      <c r="I8" s="7"/>
      <c r="J8" s="8"/>
      <c r="K8" s="8"/>
      <c r="L8" s="8"/>
      <c r="M8" s="8"/>
      <c r="N8" s="8"/>
      <c r="O8" s="8"/>
      <c r="P8" s="8"/>
      <c r="Q8" s="8"/>
      <c r="R8" s="3"/>
    </row>
    <row r="9" spans="1:18" s="4" customFormat="1" ht="31.2" x14ac:dyDescent="0.3">
      <c r="A9" s="6"/>
      <c r="B9" s="11" t="s">
        <v>9</v>
      </c>
      <c r="C9" s="12" t="s">
        <v>10</v>
      </c>
      <c r="D9" s="6"/>
      <c r="E9" s="6"/>
      <c r="F9" s="6"/>
      <c r="G9" s="3"/>
      <c r="H9" s="2"/>
      <c r="I9" s="7" t="str">
        <f>B24</f>
        <v>Show all work and justify your response.</v>
      </c>
      <c r="J9" s="8"/>
      <c r="K9" s="8"/>
      <c r="L9" s="8"/>
      <c r="M9" s="8"/>
      <c r="N9" s="8"/>
      <c r="O9" s="8"/>
      <c r="P9" s="8"/>
      <c r="Q9" s="8"/>
      <c r="R9" s="3"/>
    </row>
    <row r="10" spans="1:18" s="4" customFormat="1" x14ac:dyDescent="0.3">
      <c r="A10" s="6"/>
      <c r="B10" s="11" t="s">
        <v>11</v>
      </c>
      <c r="C10" s="12" t="s">
        <v>12</v>
      </c>
      <c r="D10" s="6"/>
      <c r="E10" s="6"/>
      <c r="F10" s="6"/>
      <c r="G10" s="3"/>
      <c r="H10" s="2"/>
      <c r="I10" s="13"/>
      <c r="J10" s="13"/>
      <c r="K10" s="13"/>
      <c r="L10" s="13"/>
      <c r="M10" s="13"/>
      <c r="N10" s="13"/>
      <c r="O10" s="13"/>
      <c r="P10" s="13"/>
      <c r="Q10" s="13"/>
      <c r="R10" s="3"/>
    </row>
    <row r="11" spans="1:18" s="4" customFormat="1" ht="46.8" x14ac:dyDescent="0.3">
      <c r="A11" s="2"/>
      <c r="B11" s="11" t="s">
        <v>13</v>
      </c>
      <c r="C11" s="12" t="s">
        <v>14</v>
      </c>
      <c r="D11" s="2"/>
      <c r="E11" s="2"/>
      <c r="F11" s="2"/>
      <c r="G11" s="3"/>
      <c r="H11" s="14"/>
      <c r="I11" s="14"/>
      <c r="J11" s="14"/>
      <c r="K11" s="14"/>
      <c r="L11" s="14"/>
      <c r="M11" s="14"/>
      <c r="N11" s="14"/>
      <c r="O11" s="14"/>
      <c r="P11" s="14"/>
      <c r="Q11" s="14"/>
      <c r="R11" s="3"/>
    </row>
    <row r="12" spans="1:18" s="4" customFormat="1" x14ac:dyDescent="0.3">
      <c r="A12" s="2"/>
      <c r="B12" s="15"/>
      <c r="C12" s="16"/>
      <c r="D12" s="2"/>
      <c r="E12" s="2"/>
      <c r="F12" s="2"/>
      <c r="G12" s="3"/>
      <c r="H12" s="14"/>
      <c r="I12" s="14"/>
      <c r="J12" s="14"/>
      <c r="K12" s="14"/>
      <c r="L12" s="14"/>
      <c r="M12" s="14"/>
      <c r="N12" s="14"/>
      <c r="O12" s="14"/>
      <c r="P12" s="14"/>
      <c r="Q12" s="14"/>
      <c r="R12" s="3"/>
    </row>
    <row r="13" spans="1:18" s="4" customFormat="1" x14ac:dyDescent="0.3">
      <c r="A13" s="2" t="s">
        <v>29</v>
      </c>
      <c r="B13" s="15"/>
      <c r="C13" s="16"/>
      <c r="D13" s="2"/>
      <c r="E13" s="2"/>
      <c r="F13" s="2"/>
      <c r="G13" s="3"/>
      <c r="H13" s="14"/>
      <c r="I13" s="14"/>
      <c r="J13" s="14"/>
      <c r="K13" s="14"/>
      <c r="L13" s="14"/>
      <c r="M13" s="14"/>
      <c r="N13" s="14"/>
      <c r="O13" s="14"/>
      <c r="P13" s="14"/>
      <c r="Q13" s="14"/>
      <c r="R13" s="3"/>
    </row>
    <row r="14" spans="1:18" s="4" customFormat="1" x14ac:dyDescent="0.3">
      <c r="A14" s="2"/>
      <c r="B14" s="15"/>
      <c r="C14" s="16"/>
      <c r="D14" s="2"/>
      <c r="E14" s="2"/>
      <c r="F14" s="2"/>
      <c r="G14" s="3"/>
      <c r="H14" s="14"/>
      <c r="I14" s="14"/>
      <c r="J14" s="14"/>
      <c r="K14" s="14"/>
      <c r="L14" s="14"/>
      <c r="M14" s="14"/>
      <c r="N14" s="14"/>
      <c r="O14" s="14"/>
      <c r="P14" s="14"/>
      <c r="Q14" s="14"/>
      <c r="R14" s="3"/>
    </row>
    <row r="15" spans="1:18" s="4" customFormat="1" x14ac:dyDescent="0.3">
      <c r="A15" s="2"/>
      <c r="B15" s="22" t="s">
        <v>30</v>
      </c>
      <c r="C15" s="23">
        <v>0.04</v>
      </c>
      <c r="D15" s="2"/>
      <c r="E15" s="2"/>
      <c r="F15" s="2"/>
      <c r="G15" s="3"/>
      <c r="H15" s="14"/>
      <c r="I15" s="14"/>
      <c r="J15" s="14"/>
      <c r="K15" s="14"/>
      <c r="L15" s="14"/>
      <c r="M15" s="14"/>
      <c r="N15" s="14"/>
      <c r="O15" s="14"/>
      <c r="P15" s="14"/>
      <c r="Q15" s="14"/>
      <c r="R15" s="3"/>
    </row>
    <row r="16" spans="1:18" s="4" customFormat="1" x14ac:dyDescent="0.3">
      <c r="A16" s="2"/>
      <c r="B16" s="22" t="s">
        <v>31</v>
      </c>
      <c r="C16" s="23">
        <v>0.01</v>
      </c>
      <c r="D16" s="2"/>
      <c r="E16" s="2"/>
      <c r="F16" s="2"/>
      <c r="G16" s="3"/>
      <c r="H16" s="14"/>
      <c r="I16" s="14"/>
      <c r="J16" s="14"/>
      <c r="K16" s="14"/>
      <c r="L16" s="14"/>
      <c r="M16" s="14"/>
      <c r="N16" s="14"/>
      <c r="O16" s="14"/>
      <c r="P16" s="14"/>
      <c r="Q16" s="14"/>
      <c r="R16" s="3"/>
    </row>
    <row r="17" spans="1:18" s="4" customFormat="1" x14ac:dyDescent="0.3">
      <c r="A17" s="2"/>
      <c r="B17" s="22" t="s">
        <v>32</v>
      </c>
      <c r="C17" s="24" t="s">
        <v>33</v>
      </c>
      <c r="D17" s="2"/>
      <c r="E17" s="2"/>
      <c r="F17" s="2"/>
      <c r="G17" s="3"/>
      <c r="H17" s="14"/>
      <c r="I17" s="14"/>
      <c r="J17" s="14"/>
      <c r="K17" s="14"/>
      <c r="L17" s="14"/>
      <c r="M17" s="14"/>
      <c r="N17" s="14"/>
      <c r="O17" s="14"/>
      <c r="P17" s="14"/>
      <c r="Q17" s="14"/>
      <c r="R17" s="3"/>
    </row>
    <row r="18" spans="1:18" s="4" customFormat="1" x14ac:dyDescent="0.3">
      <c r="A18" s="2"/>
      <c r="B18" s="22" t="s">
        <v>34</v>
      </c>
      <c r="C18" s="25">
        <v>14</v>
      </c>
      <c r="D18" s="2"/>
      <c r="E18" s="2"/>
      <c r="F18" s="2"/>
      <c r="G18" s="3"/>
      <c r="H18" s="14"/>
      <c r="I18" s="14"/>
      <c r="J18" s="14"/>
      <c r="K18" s="14"/>
      <c r="L18" s="14"/>
      <c r="M18" s="14"/>
      <c r="N18" s="14"/>
      <c r="O18" s="14"/>
      <c r="P18" s="14"/>
      <c r="Q18" s="14"/>
      <c r="R18" s="3"/>
    </row>
    <row r="19" spans="1:18" s="4" customFormat="1" x14ac:dyDescent="0.3">
      <c r="A19" s="2"/>
      <c r="B19" s="22" t="s">
        <v>35</v>
      </c>
      <c r="C19" s="24" t="s">
        <v>33</v>
      </c>
      <c r="D19" s="2"/>
      <c r="E19" s="2"/>
      <c r="F19" s="2"/>
      <c r="G19" s="3"/>
      <c r="H19" s="14"/>
      <c r="I19" s="14"/>
      <c r="J19" s="14"/>
      <c r="K19" s="14"/>
      <c r="L19" s="14"/>
      <c r="M19" s="14"/>
      <c r="N19" s="14"/>
      <c r="O19" s="14"/>
      <c r="P19" s="14"/>
      <c r="Q19" s="14"/>
      <c r="R19" s="3"/>
    </row>
    <row r="20" spans="1:18" s="4" customFormat="1" x14ac:dyDescent="0.3">
      <c r="A20" s="2"/>
      <c r="B20" s="22" t="s">
        <v>36</v>
      </c>
      <c r="C20" s="24" t="s">
        <v>37</v>
      </c>
      <c r="D20" s="2"/>
      <c r="E20" s="2"/>
      <c r="F20" s="2"/>
      <c r="G20" s="3"/>
      <c r="H20" s="14"/>
      <c r="I20" s="14"/>
      <c r="J20" s="17"/>
      <c r="K20" s="14"/>
      <c r="L20" s="14"/>
      <c r="M20" s="14"/>
      <c r="N20" s="14"/>
      <c r="O20" s="14"/>
      <c r="P20" s="14"/>
      <c r="Q20" s="14"/>
      <c r="R20" s="3"/>
    </row>
    <row r="21" spans="1:18" s="4" customFormat="1" ht="15.6" customHeight="1" x14ac:dyDescent="0.3">
      <c r="A21" s="2"/>
      <c r="B21" s="6"/>
      <c r="C21" s="27"/>
      <c r="D21" s="2"/>
      <c r="E21" s="2"/>
      <c r="F21" s="2"/>
      <c r="G21" s="3"/>
      <c r="H21" s="14"/>
      <c r="I21" s="14"/>
      <c r="J21" s="17"/>
      <c r="K21" s="14"/>
      <c r="L21" s="14"/>
      <c r="M21" s="14"/>
      <c r="N21" s="14"/>
      <c r="O21" s="14"/>
      <c r="P21" s="14"/>
      <c r="Q21" s="14"/>
      <c r="R21" s="3"/>
    </row>
    <row r="22" spans="1:18" s="4" customFormat="1" ht="15.6" customHeight="1" x14ac:dyDescent="0.3">
      <c r="A22" s="2" t="s">
        <v>5</v>
      </c>
      <c r="B22" s="202" t="s">
        <v>38</v>
      </c>
      <c r="C22" s="202"/>
      <c r="D22" s="202"/>
      <c r="E22" s="202"/>
      <c r="F22" s="202"/>
      <c r="G22" s="3"/>
      <c r="H22" s="14"/>
      <c r="I22" s="14"/>
      <c r="J22" s="14"/>
      <c r="K22" s="14"/>
      <c r="L22" s="14"/>
      <c r="M22" s="14"/>
      <c r="N22" s="14"/>
      <c r="O22" s="14"/>
      <c r="P22" s="14"/>
      <c r="Q22" s="14"/>
      <c r="R22" s="3"/>
    </row>
    <row r="23" spans="1:18" s="4" customFormat="1" ht="15.6" customHeight="1" x14ac:dyDescent="0.3">
      <c r="A23" s="2"/>
      <c r="B23" s="202"/>
      <c r="C23" s="202"/>
      <c r="D23" s="202"/>
      <c r="E23" s="202"/>
      <c r="F23" s="202"/>
      <c r="G23" s="3"/>
      <c r="H23" s="14"/>
      <c r="I23" s="14"/>
      <c r="J23" s="14"/>
      <c r="K23" s="14"/>
      <c r="L23" s="14"/>
      <c r="M23" s="14"/>
      <c r="N23" s="14"/>
      <c r="O23" s="14"/>
      <c r="P23" s="14"/>
      <c r="Q23" s="14"/>
      <c r="R23" s="3"/>
    </row>
    <row r="24" spans="1:18" x14ac:dyDescent="0.3">
      <c r="B24" s="29" t="s">
        <v>39</v>
      </c>
      <c r="J24" s="17"/>
    </row>
    <row r="25" spans="1:18" x14ac:dyDescent="0.3">
      <c r="B25" s="29"/>
      <c r="J25" s="17"/>
    </row>
    <row r="26" spans="1:18" ht="16.2" x14ac:dyDescent="0.3">
      <c r="B26" s="30" t="s">
        <v>40</v>
      </c>
    </row>
    <row r="27" spans="1:18" x14ac:dyDescent="0.3">
      <c r="J27" s="21"/>
    </row>
    <row r="30" spans="1:18" x14ac:dyDescent="0.3">
      <c r="J30" s="17"/>
    </row>
    <row r="31" spans="1:18" x14ac:dyDescent="0.3">
      <c r="J31" s="17"/>
    </row>
    <row r="32" spans="1:18" x14ac:dyDescent="0.3">
      <c r="J32" s="17"/>
    </row>
    <row r="33" spans="9:10" x14ac:dyDescent="0.3">
      <c r="J33" s="17"/>
    </row>
    <row r="34" spans="9:10" x14ac:dyDescent="0.3">
      <c r="J34" s="17"/>
    </row>
    <row r="35" spans="9:10" x14ac:dyDescent="0.3">
      <c r="J35" s="17"/>
    </row>
    <row r="37" spans="9:10" x14ac:dyDescent="0.3">
      <c r="J37" s="31"/>
    </row>
    <row r="39" spans="9:10" x14ac:dyDescent="0.3">
      <c r="I39" s="32"/>
    </row>
    <row r="42" spans="9:10" x14ac:dyDescent="0.3">
      <c r="I42" s="33"/>
    </row>
    <row r="44" spans="9:10" x14ac:dyDescent="0.3">
      <c r="I44" s="21"/>
    </row>
    <row r="45" spans="9:10" ht="15.75" customHeight="1" x14ac:dyDescent="0.3">
      <c r="I45" s="21"/>
    </row>
    <row r="46" spans="9:10" x14ac:dyDescent="0.3">
      <c r="I46" s="17"/>
    </row>
    <row r="47" spans="9:10" x14ac:dyDescent="0.3">
      <c r="I47" s="21"/>
    </row>
    <row r="48" spans="9:10" x14ac:dyDescent="0.3">
      <c r="I48" s="21"/>
    </row>
    <row r="49" spans="9:11" x14ac:dyDescent="0.3">
      <c r="I49" s="21"/>
    </row>
    <row r="53" spans="9:11" x14ac:dyDescent="0.3">
      <c r="I53" s="17"/>
    </row>
    <row r="56" spans="9:11" x14ac:dyDescent="0.3">
      <c r="I56" s="31"/>
    </row>
    <row r="57" spans="9:11" x14ac:dyDescent="0.3">
      <c r="I57" s="31"/>
    </row>
    <row r="58" spans="9:11" x14ac:dyDescent="0.3">
      <c r="I58" s="17"/>
      <c r="K58" s="34"/>
    </row>
    <row r="59" spans="9:11" x14ac:dyDescent="0.3">
      <c r="I59" s="17"/>
    </row>
    <row r="60" spans="9:11" x14ac:dyDescent="0.3">
      <c r="I60" s="17"/>
    </row>
    <row r="61" spans="9:11" x14ac:dyDescent="0.3">
      <c r="I61" s="31"/>
    </row>
    <row r="62" spans="9:11" x14ac:dyDescent="0.3">
      <c r="I62" s="17"/>
    </row>
    <row r="63" spans="9:11" x14ac:dyDescent="0.3">
      <c r="I63" s="17"/>
    </row>
    <row r="64" spans="9:11" x14ac:dyDescent="0.3">
      <c r="I64" s="17"/>
    </row>
    <row r="65" spans="9:11" x14ac:dyDescent="0.3">
      <c r="I65" s="31"/>
    </row>
    <row r="66" spans="9:11" x14ac:dyDescent="0.3">
      <c r="I66" s="17"/>
    </row>
    <row r="67" spans="9:11" x14ac:dyDescent="0.3">
      <c r="I67" s="17"/>
    </row>
    <row r="68" spans="9:11" x14ac:dyDescent="0.3">
      <c r="I68" s="31"/>
    </row>
    <row r="69" spans="9:11" x14ac:dyDescent="0.3">
      <c r="I69" s="31"/>
    </row>
    <row r="70" spans="9:11" x14ac:dyDescent="0.3">
      <c r="I70" s="31"/>
    </row>
    <row r="78" spans="9:11" x14ac:dyDescent="0.3">
      <c r="K78" s="17"/>
    </row>
    <row r="80" spans="9:11" x14ac:dyDescent="0.3">
      <c r="K80" s="17"/>
    </row>
    <row r="81" spans="10:13" x14ac:dyDescent="0.3">
      <c r="K81" s="17"/>
    </row>
    <row r="84" spans="10:13" x14ac:dyDescent="0.3">
      <c r="K84" s="35"/>
    </row>
    <row r="85" spans="10:13" x14ac:dyDescent="0.3">
      <c r="K85" s="17"/>
    </row>
    <row r="87" spans="10:13" x14ac:dyDescent="0.3">
      <c r="K87" s="34"/>
    </row>
    <row r="88" spans="10:13" x14ac:dyDescent="0.3">
      <c r="K88" s="36"/>
    </row>
    <row r="89" spans="10:13" x14ac:dyDescent="0.3">
      <c r="J89" s="17"/>
    </row>
    <row r="90" spans="10:13" x14ac:dyDescent="0.3">
      <c r="J90" s="17"/>
    </row>
    <row r="92" spans="10:13" x14ac:dyDescent="0.3">
      <c r="J92" s="37"/>
      <c r="K92" s="38"/>
      <c r="M92" s="38"/>
    </row>
    <row r="93" spans="10:13" x14ac:dyDescent="0.3">
      <c r="J93" s="34"/>
      <c r="K93" s="34"/>
      <c r="L93" s="35"/>
      <c r="M93" s="34"/>
    </row>
    <row r="94" spans="10:13" x14ac:dyDescent="0.3">
      <c r="J94" s="34"/>
      <c r="K94" s="34"/>
      <c r="L94" s="35"/>
      <c r="M94" s="34"/>
    </row>
    <row r="95" spans="10:13" x14ac:dyDescent="0.3">
      <c r="J95" s="34"/>
      <c r="K95" s="34"/>
      <c r="L95" s="35"/>
      <c r="M95" s="34"/>
    </row>
    <row r="96" spans="10:13" x14ac:dyDescent="0.3">
      <c r="J96" s="39"/>
      <c r="K96" s="39"/>
      <c r="L96" s="39"/>
      <c r="M96" s="39"/>
    </row>
    <row r="101" spans="9:13" x14ac:dyDescent="0.3">
      <c r="I101" s="40"/>
    </row>
    <row r="103" spans="9:13" x14ac:dyDescent="0.3">
      <c r="I103" s="21"/>
    </row>
    <row r="104" spans="9:13" x14ac:dyDescent="0.3">
      <c r="I104" s="21"/>
    </row>
    <row r="105" spans="9:13" x14ac:dyDescent="0.3">
      <c r="I105" s="21"/>
    </row>
    <row r="106" spans="9:13" x14ac:dyDescent="0.3">
      <c r="I106" s="21"/>
    </row>
    <row r="110" spans="9:13" x14ac:dyDescent="0.3">
      <c r="I110" s="35"/>
      <c r="M110" s="41"/>
    </row>
    <row r="111" spans="9:13" x14ac:dyDescent="0.3">
      <c r="M111" s="21"/>
    </row>
    <row r="112" spans="9:13" x14ac:dyDescent="0.3">
      <c r="M112" s="21"/>
    </row>
    <row r="113" spans="8:13" x14ac:dyDescent="0.3">
      <c r="M113" s="21"/>
    </row>
    <row r="114" spans="8:13" x14ac:dyDescent="0.3">
      <c r="M114" s="21"/>
    </row>
    <row r="115" spans="8:13" x14ac:dyDescent="0.3">
      <c r="H115" s="42"/>
    </row>
  </sheetData>
  <sheetProtection algorithmName="SHA-512" hashValue="fGGp4N/M7wSY2H6LCG17jvig+lQ6swgXZPZCrCM7rldhfd9VmYNe9pisK5MZOl7/c+8LGbMtsC8Tn2c9/gX0gQ==" saltValue="eVOi6f8Rvcm0EiNM3k/WVQ==" spinCount="100000" sheet="1" objects="1" scenarios="1"/>
  <mergeCells count="2">
    <mergeCell ref="A5:F6"/>
    <mergeCell ref="B22:F23"/>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EA4F16-C3B5-4AA3-BB2E-22BC431E7F02}">
  <dimension ref="A1:W115"/>
  <sheetViews>
    <sheetView zoomScale="75" zoomScaleNormal="75" workbookViewId="0">
      <selection activeCell="A13" sqref="A13"/>
    </sheetView>
  </sheetViews>
  <sheetFormatPr defaultColWidth="9.109375" defaultRowHeight="15.6" x14ac:dyDescent="0.3"/>
  <cols>
    <col min="1" max="1" width="3.6640625" style="2" customWidth="1"/>
    <col min="2" max="2" width="51.109375" style="2" customWidth="1"/>
    <col min="3" max="3" width="64.44140625" style="2" customWidth="1"/>
    <col min="4" max="4" width="6.88671875" style="2" customWidth="1"/>
    <col min="5" max="5" width="0.109375" style="2" customWidth="1"/>
    <col min="6" max="6" width="2.6640625" style="2" customWidth="1"/>
    <col min="7" max="7" width="1" style="3" customWidth="1"/>
    <col min="8" max="8" width="5" style="14" customWidth="1"/>
    <col min="9" max="9" width="12" style="14" customWidth="1"/>
    <col min="10" max="10" width="12.44140625" style="14" customWidth="1"/>
    <col min="11" max="11" width="13.44140625" style="14" customWidth="1"/>
    <col min="12" max="12" width="12.5546875" style="14" bestFit="1" customWidth="1"/>
    <col min="13" max="13" width="5.44140625" style="14" customWidth="1"/>
    <col min="14" max="14" width="14.33203125" style="14" customWidth="1"/>
    <col min="15" max="15" width="12.5546875" style="14" customWidth="1"/>
    <col min="16" max="16" width="9.109375" style="14"/>
    <col min="17" max="17" width="14.6640625" style="14" customWidth="1"/>
    <col min="18" max="18" width="1" style="3" customWidth="1"/>
    <col min="19" max="19" width="10.88671875" bestFit="1" customWidth="1"/>
    <col min="20" max="20" width="17.6640625" customWidth="1"/>
    <col min="21" max="21" width="14.33203125" customWidth="1"/>
    <col min="22" max="22" width="4.109375" customWidth="1"/>
  </cols>
  <sheetData>
    <row r="1" spans="1:23" s="4" customFormat="1" x14ac:dyDescent="0.3">
      <c r="A1" s="1" t="s">
        <v>0</v>
      </c>
      <c r="B1" s="2"/>
      <c r="C1" s="2"/>
      <c r="D1" s="2"/>
      <c r="E1" s="2"/>
      <c r="F1" s="2"/>
      <c r="G1" s="3"/>
      <c r="H1" s="1" t="str">
        <f>A1</f>
        <v>Exam RETDAC:  Fall 2022</v>
      </c>
      <c r="I1" s="2"/>
      <c r="J1" s="2"/>
      <c r="K1" s="2"/>
      <c r="L1" s="2"/>
      <c r="M1" s="2"/>
      <c r="N1" s="2"/>
      <c r="O1" s="2"/>
      <c r="P1" s="2"/>
      <c r="Q1" s="2"/>
      <c r="R1" s="3"/>
    </row>
    <row r="2" spans="1:23" s="4" customFormat="1" x14ac:dyDescent="0.3">
      <c r="A2" s="1" t="s">
        <v>1</v>
      </c>
      <c r="B2" s="2"/>
      <c r="C2" s="2"/>
      <c r="D2" s="2"/>
      <c r="E2" s="2"/>
      <c r="F2" s="2"/>
      <c r="G2" s="3"/>
      <c r="H2" s="1" t="str">
        <f>A2</f>
        <v>Design and Accounting Exam – Canada</v>
      </c>
      <c r="I2" s="2"/>
      <c r="J2" s="2"/>
      <c r="K2" s="2"/>
      <c r="L2" s="2"/>
      <c r="M2" s="2"/>
      <c r="N2" s="2"/>
      <c r="O2" s="2"/>
      <c r="P2" s="2"/>
      <c r="Q2" s="2"/>
      <c r="R2" s="3"/>
    </row>
    <row r="3" spans="1:23" s="4" customFormat="1" x14ac:dyDescent="0.3">
      <c r="A3" s="1" t="s">
        <v>2</v>
      </c>
      <c r="B3" s="2"/>
      <c r="C3" s="2"/>
      <c r="D3" s="2"/>
      <c r="E3" s="2"/>
      <c r="F3" s="2"/>
      <c r="G3" s="3"/>
      <c r="H3" s="1" t="str">
        <f>A3</f>
        <v>Question 8</v>
      </c>
      <c r="I3" s="2"/>
      <c r="J3" s="2"/>
      <c r="K3" s="2"/>
      <c r="L3" s="2"/>
      <c r="M3" s="2"/>
      <c r="N3" s="2"/>
      <c r="O3" s="2"/>
      <c r="P3" s="2"/>
      <c r="Q3" s="2"/>
      <c r="R3" s="3"/>
    </row>
    <row r="4" spans="1:23" s="4" customFormat="1" x14ac:dyDescent="0.3">
      <c r="A4" s="2"/>
      <c r="B4" s="2"/>
      <c r="C4" s="2"/>
      <c r="D4" s="2"/>
      <c r="E4" s="2"/>
      <c r="F4" s="2"/>
      <c r="G4" s="3"/>
      <c r="H4" s="2"/>
      <c r="I4" s="2"/>
      <c r="J4" s="2"/>
      <c r="K4" s="2"/>
      <c r="L4" s="2"/>
      <c r="M4" s="2"/>
      <c r="N4" s="2"/>
      <c r="O4" s="2"/>
      <c r="P4" s="2"/>
      <c r="Q4" s="2"/>
      <c r="R4" s="3"/>
    </row>
    <row r="5" spans="1:23" s="4" customFormat="1" ht="16.2" customHeight="1" x14ac:dyDescent="0.35">
      <c r="A5" s="201" t="s">
        <v>3</v>
      </c>
      <c r="B5" s="201"/>
      <c r="C5" s="201"/>
      <c r="D5" s="201"/>
      <c r="E5" s="201"/>
      <c r="F5" s="201"/>
      <c r="G5" s="3"/>
      <c r="H5" s="5" t="s">
        <v>4</v>
      </c>
      <c r="I5" s="2"/>
      <c r="J5" s="2"/>
      <c r="K5" s="2"/>
      <c r="L5" s="2"/>
      <c r="M5" s="2"/>
      <c r="N5" s="2"/>
      <c r="O5" s="2"/>
      <c r="P5" s="2"/>
      <c r="Q5" s="2"/>
      <c r="R5" s="3"/>
    </row>
    <row r="6" spans="1:23" s="4" customFormat="1" x14ac:dyDescent="0.3">
      <c r="A6" s="201"/>
      <c r="B6" s="201"/>
      <c r="C6" s="201"/>
      <c r="D6" s="201"/>
      <c r="E6" s="201"/>
      <c r="F6" s="201"/>
      <c r="G6" s="3"/>
      <c r="H6" s="2"/>
      <c r="I6" s="2"/>
      <c r="J6" s="2"/>
      <c r="K6" s="2"/>
      <c r="L6" s="2"/>
      <c r="M6" s="2"/>
      <c r="N6" s="2"/>
      <c r="O6" s="2"/>
      <c r="P6" s="2"/>
      <c r="Q6" s="2"/>
      <c r="R6" s="3"/>
    </row>
    <row r="7" spans="1:23" s="4" customFormat="1" ht="15.6" customHeight="1" x14ac:dyDescent="0.3">
      <c r="A7" s="6"/>
      <c r="B7" s="6"/>
      <c r="C7" s="6"/>
      <c r="D7" s="6"/>
      <c r="E7" s="6"/>
      <c r="F7" s="6"/>
      <c r="G7" s="3"/>
      <c r="H7" s="2" t="s">
        <v>5</v>
      </c>
      <c r="I7" s="7" t="s">
        <v>6</v>
      </c>
      <c r="J7" s="8"/>
      <c r="K7" s="8"/>
      <c r="L7" s="8"/>
      <c r="M7" s="8"/>
      <c r="N7" s="8"/>
      <c r="O7" s="8"/>
      <c r="P7" s="8"/>
      <c r="Q7" s="8"/>
      <c r="R7" s="3"/>
    </row>
    <row r="8" spans="1:23" s="4" customFormat="1" ht="15.6" customHeight="1" x14ac:dyDescent="0.3">
      <c r="A8" s="6"/>
      <c r="B8" s="9" t="s">
        <v>7</v>
      </c>
      <c r="C8" s="10" t="s">
        <v>8</v>
      </c>
      <c r="D8" s="6"/>
      <c r="E8" s="6"/>
      <c r="F8" s="6"/>
      <c r="G8" s="3"/>
      <c r="H8" s="2"/>
      <c r="I8" s="7"/>
      <c r="J8" s="8"/>
      <c r="K8" s="8"/>
      <c r="L8" s="8"/>
      <c r="M8" s="8"/>
      <c r="N8" s="8"/>
      <c r="O8" s="8"/>
      <c r="P8" s="8"/>
      <c r="Q8" s="8"/>
      <c r="R8" s="3"/>
    </row>
    <row r="9" spans="1:23" s="4" customFormat="1" ht="31.2" x14ac:dyDescent="0.3">
      <c r="A9" s="6"/>
      <c r="B9" s="11" t="s">
        <v>9</v>
      </c>
      <c r="C9" s="12" t="s">
        <v>10</v>
      </c>
      <c r="D9" s="6"/>
      <c r="E9" s="6"/>
      <c r="F9" s="6"/>
      <c r="G9" s="3"/>
      <c r="H9" s="2"/>
      <c r="I9" s="7" t="str">
        <f>B24</f>
        <v>Show all work and justify your response.</v>
      </c>
      <c r="J9" s="8"/>
      <c r="K9" s="8"/>
      <c r="L9" s="8"/>
      <c r="M9" s="8"/>
      <c r="N9" s="8"/>
      <c r="O9" s="8"/>
      <c r="P9" s="8"/>
      <c r="Q9" s="8"/>
      <c r="R9" s="3"/>
    </row>
    <row r="10" spans="1:23" s="4" customFormat="1" x14ac:dyDescent="0.3">
      <c r="A10" s="6"/>
      <c r="B10" s="11" t="s">
        <v>11</v>
      </c>
      <c r="C10" s="12" t="s">
        <v>12</v>
      </c>
      <c r="D10" s="6"/>
      <c r="E10" s="6"/>
      <c r="F10" s="6"/>
      <c r="G10" s="3"/>
      <c r="H10" s="2"/>
      <c r="I10" s="13"/>
      <c r="J10" s="13"/>
      <c r="K10" s="13"/>
      <c r="L10" s="13"/>
      <c r="M10" s="13"/>
      <c r="N10" s="13"/>
      <c r="O10" s="13"/>
      <c r="P10" s="13"/>
      <c r="Q10" s="13"/>
      <c r="R10" s="3"/>
    </row>
    <row r="11" spans="1:23" s="4" customFormat="1" ht="46.8" x14ac:dyDescent="0.3">
      <c r="A11" s="2"/>
      <c r="B11" s="11" t="s">
        <v>13</v>
      </c>
      <c r="C11" s="12" t="s">
        <v>14</v>
      </c>
      <c r="D11" s="2"/>
      <c r="E11" s="2"/>
      <c r="F11" s="2"/>
      <c r="G11" s="3"/>
      <c r="H11" s="203" t="s">
        <v>15</v>
      </c>
      <c r="I11" s="203"/>
      <c r="J11" s="203"/>
      <c r="K11" s="203"/>
      <c r="L11" s="203"/>
      <c r="M11" s="14"/>
      <c r="N11" s="203" t="s">
        <v>16</v>
      </c>
      <c r="O11" s="203"/>
      <c r="P11" s="14"/>
      <c r="Q11" s="203" t="s">
        <v>13</v>
      </c>
      <c r="R11" s="203"/>
      <c r="S11" s="203"/>
      <c r="T11" s="203"/>
      <c r="U11" s="203"/>
    </row>
    <row r="12" spans="1:23" s="4" customFormat="1" x14ac:dyDescent="0.3">
      <c r="A12" s="2"/>
      <c r="B12" s="15"/>
      <c r="C12" s="16"/>
      <c r="D12" s="2"/>
      <c r="E12" s="2"/>
      <c r="F12" s="2"/>
      <c r="G12" s="3"/>
      <c r="H12" s="14" t="s">
        <v>17</v>
      </c>
      <c r="I12" s="14" t="s">
        <v>18</v>
      </c>
      <c r="J12" s="14" t="s">
        <v>19</v>
      </c>
      <c r="K12" s="14" t="s">
        <v>20</v>
      </c>
      <c r="L12" s="14" t="s">
        <v>21</v>
      </c>
      <c r="M12" s="14"/>
      <c r="N12" s="14" t="s">
        <v>22</v>
      </c>
      <c r="O12" s="14" t="s">
        <v>23</v>
      </c>
      <c r="P12" s="14"/>
      <c r="Q12" s="14" t="s">
        <v>24</v>
      </c>
      <c r="R12" s="3"/>
      <c r="S12" t="s">
        <v>25</v>
      </c>
      <c r="T12" t="s">
        <v>26</v>
      </c>
      <c r="U12" t="s">
        <v>27</v>
      </c>
      <c r="V12"/>
      <c r="W12" t="s">
        <v>28</v>
      </c>
    </row>
    <row r="13" spans="1:23" s="4" customFormat="1" x14ac:dyDescent="0.3">
      <c r="A13" s="2" t="s">
        <v>29</v>
      </c>
      <c r="B13" s="15"/>
      <c r="C13" s="16"/>
      <c r="D13" s="2"/>
      <c r="E13" s="2"/>
      <c r="F13" s="2"/>
      <c r="G13" s="3"/>
      <c r="H13" s="14">
        <v>45</v>
      </c>
      <c r="I13" s="17">
        <v>100000</v>
      </c>
      <c r="J13" s="18">
        <f>0.01*I13</f>
        <v>1000</v>
      </c>
      <c r="K13" s="18">
        <f>J13</f>
        <v>1000</v>
      </c>
      <c r="L13" s="18">
        <f>C$18*K13/(1+$C$15)^(65-H14)</f>
        <v>6644.9939366908129</v>
      </c>
      <c r="M13" s="14"/>
      <c r="N13" s="19">
        <f>0.08*I13</f>
        <v>8000</v>
      </c>
      <c r="O13" s="19">
        <f>N13</f>
        <v>8000</v>
      </c>
      <c r="P13" s="14"/>
      <c r="Q13" s="18">
        <f>0.5*L13</f>
        <v>3322.4969683454065</v>
      </c>
      <c r="R13" s="3"/>
      <c r="S13" s="20">
        <f>0.05*I13</f>
        <v>5000</v>
      </c>
      <c r="T13" s="19">
        <f>S13</f>
        <v>5000</v>
      </c>
      <c r="U13" s="20">
        <f>Q13+T13</f>
        <v>8322.4969683454074</v>
      </c>
      <c r="V13"/>
      <c r="W13" t="str">
        <f>IF(MAX(L13,O13,U13)=L13,"DB",IF(MAX(L13,O13,U13)=O13,"DC","Hybrid"))</f>
        <v>Hybrid</v>
      </c>
    </row>
    <row r="14" spans="1:23" s="4" customFormat="1" x14ac:dyDescent="0.3">
      <c r="A14" s="2"/>
      <c r="B14" s="15"/>
      <c r="C14" s="16"/>
      <c r="D14" s="2"/>
      <c r="E14" s="2"/>
      <c r="F14" s="2"/>
      <c r="G14" s="3"/>
      <c r="H14" s="14">
        <f>1+H13</f>
        <v>46</v>
      </c>
      <c r="I14" s="21">
        <f>I13*(1+$C$16)</f>
        <v>101000</v>
      </c>
      <c r="J14" s="18">
        <f t="shared" ref="J14:J32" si="0">0.01*I14</f>
        <v>1010</v>
      </c>
      <c r="K14" s="18">
        <f>K13+J14</f>
        <v>2010</v>
      </c>
      <c r="L14" s="18">
        <f t="shared" ref="L14:L31" si="1">C$18*K14/(1+$C$15)^(65-H15)</f>
        <v>13890.695325258474</v>
      </c>
      <c r="M14" s="14"/>
      <c r="N14" s="19">
        <f t="shared" ref="N14:N32" si="2">0.08*I14</f>
        <v>8080</v>
      </c>
      <c r="O14" s="18">
        <f>O13*(1+C$15)+N14</f>
        <v>16400</v>
      </c>
      <c r="P14" s="14"/>
      <c r="Q14" s="18">
        <f t="shared" ref="Q14:Q32" si="3">0.5*L14</f>
        <v>6945.3476626292368</v>
      </c>
      <c r="R14" s="3"/>
      <c r="S14" s="20">
        <f t="shared" ref="S14:S17" si="4">0.05*I14</f>
        <v>5050</v>
      </c>
      <c r="T14" s="18">
        <f>T13*(1+C$15)+S14</f>
        <v>10250</v>
      </c>
      <c r="U14" s="20">
        <f t="shared" ref="U14:U32" si="5">Q14+T14</f>
        <v>17195.347662629236</v>
      </c>
      <c r="V14"/>
      <c r="W14" t="str">
        <f t="shared" ref="W14:W32" si="6">IF(MAX(L14,O14,U14)=L14,"DB",IF(MAX(L14,O14,U14)=O14,"DC","Hybrid"))</f>
        <v>Hybrid</v>
      </c>
    </row>
    <row r="15" spans="1:23" s="4" customFormat="1" x14ac:dyDescent="0.3">
      <c r="A15" s="2"/>
      <c r="B15" s="22" t="s">
        <v>30</v>
      </c>
      <c r="C15" s="23">
        <v>0.04</v>
      </c>
      <c r="D15" s="2"/>
      <c r="E15" s="2"/>
      <c r="F15" s="2"/>
      <c r="G15" s="3"/>
      <c r="H15" s="14">
        <f t="shared" ref="H15:H33" si="7">1+H14</f>
        <v>47</v>
      </c>
      <c r="I15" s="21">
        <f t="shared" ref="I15:I32" si="8">I14*(1+$C$16)</f>
        <v>102010</v>
      </c>
      <c r="J15" s="18">
        <f t="shared" si="0"/>
        <v>1020.1</v>
      </c>
      <c r="K15" s="18">
        <f t="shared" ref="K15:K32" si="9">K14+J15</f>
        <v>3030.1</v>
      </c>
      <c r="L15" s="18">
        <f t="shared" si="1"/>
        <v>21778.011811576285</v>
      </c>
      <c r="M15" s="14"/>
      <c r="N15" s="19">
        <f t="shared" si="2"/>
        <v>8160.8</v>
      </c>
      <c r="O15" s="18">
        <f t="shared" ref="O15:O32" si="10">O14*(1+C$15)+N15</f>
        <v>25216.799999999999</v>
      </c>
      <c r="P15" s="14"/>
      <c r="Q15" s="18">
        <f t="shared" si="3"/>
        <v>10889.005905788143</v>
      </c>
      <c r="R15" s="3"/>
      <c r="S15" s="20">
        <f t="shared" si="4"/>
        <v>5100.5</v>
      </c>
      <c r="T15" s="18">
        <f t="shared" ref="T15:T32" si="11">T14*(1+C$15)+S15</f>
        <v>15760.5</v>
      </c>
      <c r="U15" s="20">
        <f t="shared" si="5"/>
        <v>26649.505905788144</v>
      </c>
      <c r="V15"/>
      <c r="W15" t="str">
        <f t="shared" si="6"/>
        <v>Hybrid</v>
      </c>
    </row>
    <row r="16" spans="1:23" s="4" customFormat="1" x14ac:dyDescent="0.3">
      <c r="A16" s="2"/>
      <c r="B16" s="22" t="s">
        <v>31</v>
      </c>
      <c r="C16" s="23">
        <v>0.01</v>
      </c>
      <c r="D16" s="2"/>
      <c r="E16" s="2"/>
      <c r="F16" s="2"/>
      <c r="G16" s="3"/>
      <c r="H16" s="14">
        <f t="shared" si="7"/>
        <v>48</v>
      </c>
      <c r="I16" s="21">
        <f t="shared" si="8"/>
        <v>103030.1</v>
      </c>
      <c r="J16" s="18">
        <f t="shared" si="0"/>
        <v>1030.3010000000002</v>
      </c>
      <c r="K16" s="18">
        <f t="shared" si="9"/>
        <v>4060.4009999999998</v>
      </c>
      <c r="L16" s="18">
        <f t="shared" si="1"/>
        <v>30350.338066481509</v>
      </c>
      <c r="M16" s="14"/>
      <c r="N16" s="19">
        <f t="shared" si="2"/>
        <v>8242.4080000000013</v>
      </c>
      <c r="O16" s="18">
        <f t="shared" si="10"/>
        <v>34467.880000000005</v>
      </c>
      <c r="P16" s="14"/>
      <c r="Q16" s="18">
        <f t="shared" si="3"/>
        <v>15175.169033240754</v>
      </c>
      <c r="R16" s="3"/>
      <c r="S16" s="20">
        <f t="shared" si="4"/>
        <v>5151.505000000001</v>
      </c>
      <c r="T16" s="18">
        <f t="shared" si="11"/>
        <v>21542.425000000003</v>
      </c>
      <c r="U16" s="20">
        <f t="shared" si="5"/>
        <v>36717.594033240755</v>
      </c>
      <c r="V16"/>
      <c r="W16" t="str">
        <f t="shared" si="6"/>
        <v>Hybrid</v>
      </c>
    </row>
    <row r="17" spans="1:23" s="4" customFormat="1" x14ac:dyDescent="0.3">
      <c r="A17" s="2"/>
      <c r="B17" s="22" t="s">
        <v>32</v>
      </c>
      <c r="C17" s="24" t="s">
        <v>33</v>
      </c>
      <c r="D17" s="2"/>
      <c r="E17" s="2"/>
      <c r="F17" s="2"/>
      <c r="G17" s="3"/>
      <c r="H17" s="14">
        <f t="shared" si="7"/>
        <v>49</v>
      </c>
      <c r="I17" s="21">
        <f t="shared" si="8"/>
        <v>104060.40100000001</v>
      </c>
      <c r="J17" s="18">
        <f t="shared" si="0"/>
        <v>1040.6040100000002</v>
      </c>
      <c r="K17" s="18">
        <f t="shared" si="9"/>
        <v>5101.0050099999999</v>
      </c>
      <c r="L17" s="18">
        <f t="shared" si="1"/>
        <v>39653.698143018024</v>
      </c>
      <c r="M17" s="14"/>
      <c r="N17" s="19">
        <f t="shared" si="2"/>
        <v>8324.832080000002</v>
      </c>
      <c r="O17" s="18">
        <f t="shared" si="10"/>
        <v>44171.427280000004</v>
      </c>
      <c r="P17" s="14"/>
      <c r="Q17" s="18">
        <f t="shared" si="3"/>
        <v>19826.849071509012</v>
      </c>
      <c r="R17" s="3"/>
      <c r="S17" s="20">
        <f t="shared" si="4"/>
        <v>5203.020050000001</v>
      </c>
      <c r="T17" s="18">
        <f t="shared" si="11"/>
        <v>27607.142050000002</v>
      </c>
      <c r="U17" s="20">
        <f t="shared" si="5"/>
        <v>47433.991121509011</v>
      </c>
      <c r="V17"/>
      <c r="W17" t="str">
        <f t="shared" si="6"/>
        <v>Hybrid</v>
      </c>
    </row>
    <row r="18" spans="1:23" s="4" customFormat="1" x14ac:dyDescent="0.3">
      <c r="A18" s="2"/>
      <c r="B18" s="22" t="s">
        <v>34</v>
      </c>
      <c r="C18" s="25">
        <v>14</v>
      </c>
      <c r="D18" s="2"/>
      <c r="E18" s="2"/>
      <c r="F18" s="2"/>
      <c r="G18" s="3"/>
      <c r="H18" s="14">
        <f t="shared" si="7"/>
        <v>50</v>
      </c>
      <c r="I18" s="21">
        <f t="shared" si="8"/>
        <v>105101.00501000001</v>
      </c>
      <c r="J18" s="18">
        <f t="shared" si="0"/>
        <v>1051.0100501000002</v>
      </c>
      <c r="K18" s="18">
        <f t="shared" si="9"/>
        <v>6152.0150601000005</v>
      </c>
      <c r="L18" s="18">
        <f t="shared" si="1"/>
        <v>49736.895688931421</v>
      </c>
      <c r="M18" s="14"/>
      <c r="N18" s="19">
        <f t="shared" si="2"/>
        <v>8408.0804008000014</v>
      </c>
      <c r="O18" s="18">
        <f t="shared" si="10"/>
        <v>54346.364772000001</v>
      </c>
      <c r="P18" s="14"/>
      <c r="Q18" s="18">
        <f t="shared" si="3"/>
        <v>24868.447844465711</v>
      </c>
      <c r="R18" s="3"/>
      <c r="S18" s="20">
        <f>0.02*I18</f>
        <v>2102.0201002000003</v>
      </c>
      <c r="T18" s="18">
        <f t="shared" si="11"/>
        <v>30813.447832200003</v>
      </c>
      <c r="U18" s="26">
        <f t="shared" si="5"/>
        <v>55681.895676665714</v>
      </c>
      <c r="V18"/>
      <c r="W18" t="str">
        <f t="shared" si="6"/>
        <v>Hybrid</v>
      </c>
    </row>
    <row r="19" spans="1:23" s="4" customFormat="1" x14ac:dyDescent="0.3">
      <c r="A19" s="2"/>
      <c r="B19" s="22" t="s">
        <v>35</v>
      </c>
      <c r="C19" s="24" t="s">
        <v>33</v>
      </c>
      <c r="D19" s="2"/>
      <c r="E19" s="2"/>
      <c r="F19" s="2"/>
      <c r="G19" s="3"/>
      <c r="H19" s="14">
        <f t="shared" si="7"/>
        <v>51</v>
      </c>
      <c r="I19" s="21">
        <f t="shared" si="8"/>
        <v>106152.01506010001</v>
      </c>
      <c r="J19" s="18">
        <f t="shared" si="0"/>
        <v>1061.5201506010001</v>
      </c>
      <c r="K19" s="18">
        <f t="shared" si="9"/>
        <v>7213.5352107010003</v>
      </c>
      <c r="L19" s="18">
        <f t="shared" si="1"/>
        <v>60651.672437539055</v>
      </c>
      <c r="M19" s="14"/>
      <c r="N19" s="19">
        <f t="shared" si="2"/>
        <v>8492.1612048080005</v>
      </c>
      <c r="O19" s="18">
        <f t="shared" si="10"/>
        <v>65012.380567688</v>
      </c>
      <c r="P19" s="14"/>
      <c r="Q19" s="18">
        <f t="shared" si="3"/>
        <v>30325.836218769527</v>
      </c>
      <c r="R19" s="3"/>
      <c r="S19" s="20">
        <f t="shared" ref="S19:S32" si="12">0.02*I19</f>
        <v>2123.0403012020001</v>
      </c>
      <c r="T19" s="18">
        <f t="shared" si="11"/>
        <v>34169.026046690007</v>
      </c>
      <c r="U19" s="20">
        <f t="shared" si="5"/>
        <v>64494.862265459538</v>
      </c>
      <c r="V19"/>
      <c r="W19" t="str">
        <f t="shared" si="6"/>
        <v>DC</v>
      </c>
    </row>
    <row r="20" spans="1:23" s="4" customFormat="1" x14ac:dyDescent="0.3">
      <c r="A20" s="2"/>
      <c r="B20" s="22" t="s">
        <v>36</v>
      </c>
      <c r="C20" s="24" t="s">
        <v>37</v>
      </c>
      <c r="D20" s="2"/>
      <c r="E20" s="2"/>
      <c r="F20" s="2"/>
      <c r="G20" s="3"/>
      <c r="H20" s="14">
        <f t="shared" si="7"/>
        <v>52</v>
      </c>
      <c r="I20" s="21">
        <f t="shared" si="8"/>
        <v>107213.53521070101</v>
      </c>
      <c r="J20" s="18">
        <f t="shared" si="0"/>
        <v>1072.13535210701</v>
      </c>
      <c r="K20" s="18">
        <f t="shared" si="9"/>
        <v>8285.6705628080108</v>
      </c>
      <c r="L20" s="18">
        <f t="shared" si="1"/>
        <v>72452.875422511948</v>
      </c>
      <c r="M20" s="14"/>
      <c r="N20" s="19">
        <f t="shared" si="2"/>
        <v>8577.0828168560802</v>
      </c>
      <c r="O20" s="18">
        <f t="shared" si="10"/>
        <v>76189.95860725161</v>
      </c>
      <c r="P20" s="14"/>
      <c r="Q20" s="18">
        <f t="shared" si="3"/>
        <v>36226.437711255974</v>
      </c>
      <c r="R20" s="3"/>
      <c r="S20" s="20">
        <f t="shared" si="12"/>
        <v>2144.27070421402</v>
      </c>
      <c r="T20" s="18">
        <f t="shared" si="11"/>
        <v>37680.057792771629</v>
      </c>
      <c r="U20" s="20">
        <f t="shared" si="5"/>
        <v>73906.495504027611</v>
      </c>
      <c r="V20"/>
      <c r="W20" t="str">
        <f t="shared" si="6"/>
        <v>DC</v>
      </c>
    </row>
    <row r="21" spans="1:23" s="4" customFormat="1" ht="15.6" customHeight="1" x14ac:dyDescent="0.3">
      <c r="A21" s="2"/>
      <c r="B21" s="6"/>
      <c r="C21" s="27"/>
      <c r="D21" s="2"/>
      <c r="E21" s="2"/>
      <c r="F21" s="2"/>
      <c r="G21" s="3"/>
      <c r="H21" s="14">
        <f t="shared" si="7"/>
        <v>53</v>
      </c>
      <c r="I21" s="21">
        <f t="shared" si="8"/>
        <v>108285.67056280802</v>
      </c>
      <c r="J21" s="18">
        <f t="shared" si="0"/>
        <v>1082.8567056280804</v>
      </c>
      <c r="K21" s="18">
        <f t="shared" si="9"/>
        <v>9368.5272684360916</v>
      </c>
      <c r="L21" s="18">
        <f t="shared" si="1"/>
        <v>85198.633385692301</v>
      </c>
      <c r="M21" s="14"/>
      <c r="N21" s="19">
        <f t="shared" si="2"/>
        <v>8662.8536450246429</v>
      </c>
      <c r="O21" s="18">
        <f t="shared" si="10"/>
        <v>87900.410596566318</v>
      </c>
      <c r="P21" s="14"/>
      <c r="Q21" s="18">
        <f t="shared" si="3"/>
        <v>42599.316692846151</v>
      </c>
      <c r="R21" s="3"/>
      <c r="S21" s="20">
        <f t="shared" si="12"/>
        <v>2165.7134112561607</v>
      </c>
      <c r="T21" s="18">
        <f t="shared" si="11"/>
        <v>41352.97351573866</v>
      </c>
      <c r="U21" s="20">
        <f t="shared" si="5"/>
        <v>83952.290208584804</v>
      </c>
      <c r="V21"/>
      <c r="W21" t="str">
        <f t="shared" si="6"/>
        <v>DC</v>
      </c>
    </row>
    <row r="22" spans="1:23" s="4" customFormat="1" ht="15.6" customHeight="1" x14ac:dyDescent="0.3">
      <c r="A22" s="2" t="s">
        <v>5</v>
      </c>
      <c r="B22" s="202" t="s">
        <v>38</v>
      </c>
      <c r="C22" s="202"/>
      <c r="D22" s="202"/>
      <c r="E22" s="202"/>
      <c r="F22" s="202"/>
      <c r="G22" s="3"/>
      <c r="H22" s="14">
        <f t="shared" si="7"/>
        <v>54</v>
      </c>
      <c r="I22" s="21">
        <f t="shared" si="8"/>
        <v>109368.52726843611</v>
      </c>
      <c r="J22" s="18">
        <f t="shared" si="0"/>
        <v>1093.6852726843611</v>
      </c>
      <c r="K22" s="18">
        <f t="shared" si="9"/>
        <v>10462.212541120452</v>
      </c>
      <c r="L22" s="18">
        <f t="shared" si="1"/>
        <v>98950.542871892379</v>
      </c>
      <c r="M22" s="14"/>
      <c r="N22" s="19">
        <f t="shared" si="2"/>
        <v>8749.4821814748884</v>
      </c>
      <c r="O22" s="28">
        <f t="shared" si="10"/>
        <v>100165.90920190387</v>
      </c>
      <c r="P22" s="14"/>
      <c r="Q22" s="18">
        <f t="shared" si="3"/>
        <v>49475.27143594619</v>
      </c>
      <c r="R22" s="3"/>
      <c r="S22" s="20">
        <f t="shared" si="12"/>
        <v>2187.3705453687221</v>
      </c>
      <c r="T22" s="18">
        <f t="shared" si="11"/>
        <v>45194.463001736927</v>
      </c>
      <c r="U22" s="20">
        <f t="shared" si="5"/>
        <v>94669.734437683117</v>
      </c>
      <c r="V22"/>
      <c r="W22" t="str">
        <f t="shared" si="6"/>
        <v>DC</v>
      </c>
    </row>
    <row r="23" spans="1:23" s="4" customFormat="1" ht="15.6" customHeight="1" x14ac:dyDescent="0.3">
      <c r="A23" s="2"/>
      <c r="B23" s="202"/>
      <c r="C23" s="202"/>
      <c r="D23" s="202"/>
      <c r="E23" s="202"/>
      <c r="F23" s="202"/>
      <c r="G23" s="3"/>
      <c r="H23" s="14">
        <f t="shared" si="7"/>
        <v>55</v>
      </c>
      <c r="I23" s="21">
        <f t="shared" si="8"/>
        <v>110462.21254112048</v>
      </c>
      <c r="J23" s="18">
        <f t="shared" si="0"/>
        <v>1104.6221254112047</v>
      </c>
      <c r="K23" s="18">
        <f t="shared" si="9"/>
        <v>11566.834666531657</v>
      </c>
      <c r="L23" s="18">
        <f t="shared" si="1"/>
        <v>113773.86453073939</v>
      </c>
      <c r="M23" s="14"/>
      <c r="N23" s="19">
        <f t="shared" si="2"/>
        <v>8836.9770032896377</v>
      </c>
      <c r="O23" s="18">
        <f t="shared" si="10"/>
        <v>113009.52257326966</v>
      </c>
      <c r="P23" s="14"/>
      <c r="Q23" s="18">
        <f t="shared" si="3"/>
        <v>56886.932265369695</v>
      </c>
      <c r="R23" s="3"/>
      <c r="S23" s="20">
        <f t="shared" si="12"/>
        <v>2209.2442508224094</v>
      </c>
      <c r="T23" s="18">
        <f t="shared" si="11"/>
        <v>49211.485772628817</v>
      </c>
      <c r="U23" s="20">
        <f t="shared" si="5"/>
        <v>106098.41803799852</v>
      </c>
      <c r="V23"/>
      <c r="W23" t="str">
        <f t="shared" si="6"/>
        <v>DB</v>
      </c>
    </row>
    <row r="24" spans="1:23" x14ac:dyDescent="0.3">
      <c r="B24" s="29" t="s">
        <v>39</v>
      </c>
      <c r="H24" s="14">
        <f t="shared" si="7"/>
        <v>56</v>
      </c>
      <c r="I24" s="21">
        <f t="shared" si="8"/>
        <v>111566.83466653168</v>
      </c>
      <c r="J24" s="18">
        <f t="shared" si="0"/>
        <v>1115.6683466653169</v>
      </c>
      <c r="K24" s="18">
        <f t="shared" si="9"/>
        <v>12682.503013196974</v>
      </c>
      <c r="L24" s="18">
        <f t="shared" si="1"/>
        <v>129737.73017311645</v>
      </c>
      <c r="N24" s="19">
        <f t="shared" si="2"/>
        <v>8925.3467733225352</v>
      </c>
      <c r="O24" s="18">
        <f t="shared" si="10"/>
        <v>126455.25024952299</v>
      </c>
      <c r="Q24" s="18">
        <f t="shared" si="3"/>
        <v>64868.865086558224</v>
      </c>
      <c r="S24" s="20">
        <f t="shared" si="12"/>
        <v>2231.3366933306338</v>
      </c>
      <c r="T24" s="18">
        <f t="shared" si="11"/>
        <v>53411.281896864602</v>
      </c>
      <c r="U24" s="20">
        <f t="shared" si="5"/>
        <v>118280.14698342283</v>
      </c>
      <c r="W24" t="str">
        <f t="shared" si="6"/>
        <v>DB</v>
      </c>
    </row>
    <row r="25" spans="1:23" x14ac:dyDescent="0.3">
      <c r="B25" s="29"/>
      <c r="H25" s="14">
        <f t="shared" si="7"/>
        <v>57</v>
      </c>
      <c r="I25" s="21">
        <f t="shared" si="8"/>
        <v>112682.503013197</v>
      </c>
      <c r="J25" s="18">
        <f t="shared" si="0"/>
        <v>1126.8250301319699</v>
      </c>
      <c r="K25" s="18">
        <f t="shared" si="9"/>
        <v>13809.328043328944</v>
      </c>
      <c r="L25" s="18">
        <f t="shared" si="1"/>
        <v>146915.36115867039</v>
      </c>
      <c r="N25" s="19">
        <f t="shared" si="2"/>
        <v>9014.6002410557594</v>
      </c>
      <c r="O25" s="18">
        <f t="shared" si="10"/>
        <v>140528.06050055969</v>
      </c>
      <c r="Q25" s="18">
        <f t="shared" si="3"/>
        <v>73457.680579335196</v>
      </c>
      <c r="S25" s="20">
        <f t="shared" si="12"/>
        <v>2253.6500602639398</v>
      </c>
      <c r="T25" s="18">
        <f t="shared" si="11"/>
        <v>57801.383233003129</v>
      </c>
      <c r="U25" s="20">
        <f t="shared" si="5"/>
        <v>131259.06381233834</v>
      </c>
      <c r="W25" t="str">
        <f t="shared" si="6"/>
        <v>DB</v>
      </c>
    </row>
    <row r="26" spans="1:23" ht="16.2" x14ac:dyDescent="0.3">
      <c r="B26" s="30" t="s">
        <v>40</v>
      </c>
      <c r="H26" s="14">
        <f t="shared" si="7"/>
        <v>58</v>
      </c>
      <c r="I26" s="21">
        <f t="shared" si="8"/>
        <v>113809.32804332896</v>
      </c>
      <c r="J26" s="18">
        <f t="shared" si="0"/>
        <v>1138.0932804332897</v>
      </c>
      <c r="K26" s="18">
        <f t="shared" si="9"/>
        <v>14947.421323762233</v>
      </c>
      <c r="L26" s="18">
        <f t="shared" si="1"/>
        <v>165384.29872128944</v>
      </c>
      <c r="N26" s="19">
        <f t="shared" si="2"/>
        <v>9104.7462434663175</v>
      </c>
      <c r="O26" s="18">
        <f t="shared" si="10"/>
        <v>155253.9291640484</v>
      </c>
      <c r="Q26" s="18">
        <f t="shared" si="3"/>
        <v>82692.149360644718</v>
      </c>
      <c r="S26" s="20">
        <f t="shared" si="12"/>
        <v>2276.1865608665794</v>
      </c>
      <c r="T26" s="18">
        <f t="shared" si="11"/>
        <v>62389.625123189835</v>
      </c>
      <c r="U26" s="20">
        <f t="shared" si="5"/>
        <v>145081.77448383457</v>
      </c>
      <c r="W26" t="str">
        <f t="shared" si="6"/>
        <v>DB</v>
      </c>
    </row>
    <row r="27" spans="1:23" x14ac:dyDescent="0.3">
      <c r="H27" s="14">
        <f t="shared" si="7"/>
        <v>59</v>
      </c>
      <c r="I27" s="21">
        <f t="shared" si="8"/>
        <v>114947.42132376225</v>
      </c>
      <c r="J27" s="18">
        <f t="shared" si="0"/>
        <v>1149.4742132376225</v>
      </c>
      <c r="K27" s="18">
        <f t="shared" si="9"/>
        <v>16096.895536999857</v>
      </c>
      <c r="L27" s="18">
        <f t="shared" si="1"/>
        <v>185226.64687147335</v>
      </c>
      <c r="N27" s="19">
        <f t="shared" si="2"/>
        <v>9195.7937059009801</v>
      </c>
      <c r="O27" s="18">
        <f t="shared" si="10"/>
        <v>170659.88003651134</v>
      </c>
      <c r="Q27" s="18">
        <f t="shared" si="3"/>
        <v>92613.323435736675</v>
      </c>
      <c r="S27" s="20">
        <f t="shared" si="12"/>
        <v>2298.948426475245</v>
      </c>
      <c r="T27" s="18">
        <f t="shared" si="11"/>
        <v>67184.158554592679</v>
      </c>
      <c r="U27" s="20">
        <f t="shared" si="5"/>
        <v>159797.48199032934</v>
      </c>
      <c r="W27" t="str">
        <f t="shared" si="6"/>
        <v>DB</v>
      </c>
    </row>
    <row r="28" spans="1:23" x14ac:dyDescent="0.3">
      <c r="H28" s="14">
        <f t="shared" si="7"/>
        <v>60</v>
      </c>
      <c r="I28" s="21">
        <f t="shared" si="8"/>
        <v>116096.89553699987</v>
      </c>
      <c r="J28" s="18">
        <f t="shared" si="0"/>
        <v>1160.9689553699989</v>
      </c>
      <c r="K28" s="18">
        <f t="shared" si="9"/>
        <v>17257.864492369856</v>
      </c>
      <c r="L28" s="18">
        <f t="shared" si="1"/>
        <v>206529.32854821178</v>
      </c>
      <c r="N28" s="19">
        <f t="shared" si="2"/>
        <v>9287.7516429599909</v>
      </c>
      <c r="O28" s="18">
        <f t="shared" si="10"/>
        <v>186774.02688093178</v>
      </c>
      <c r="Q28" s="18">
        <f t="shared" si="3"/>
        <v>103264.66427410589</v>
      </c>
      <c r="S28" s="20">
        <f t="shared" si="12"/>
        <v>2321.9379107399977</v>
      </c>
      <c r="T28" s="18">
        <f t="shared" si="11"/>
        <v>72193.462807516393</v>
      </c>
      <c r="U28" s="20">
        <f t="shared" si="5"/>
        <v>175458.12708162228</v>
      </c>
      <c r="W28" t="str">
        <f t="shared" si="6"/>
        <v>DB</v>
      </c>
    </row>
    <row r="29" spans="1:23" x14ac:dyDescent="0.3">
      <c r="H29" s="14">
        <f t="shared" si="7"/>
        <v>61</v>
      </c>
      <c r="I29" s="21">
        <f t="shared" si="8"/>
        <v>117257.86449236987</v>
      </c>
      <c r="J29" s="18">
        <f t="shared" si="0"/>
        <v>1172.5786449236987</v>
      </c>
      <c r="K29" s="18">
        <f t="shared" si="9"/>
        <v>18430.443137293554</v>
      </c>
      <c r="L29" s="18">
        <f t="shared" si="1"/>
        <v>229384.35572843449</v>
      </c>
      <c r="N29" s="19">
        <f t="shared" si="2"/>
        <v>9380.6291593895894</v>
      </c>
      <c r="O29" s="18">
        <f t="shared" si="10"/>
        <v>203625.61711555865</v>
      </c>
      <c r="Q29" s="18">
        <f t="shared" si="3"/>
        <v>114692.17786421724</v>
      </c>
      <c r="S29" s="20">
        <f t="shared" si="12"/>
        <v>2345.1572898473974</v>
      </c>
      <c r="T29" s="18">
        <f t="shared" si="11"/>
        <v>77426.358609664443</v>
      </c>
      <c r="U29" s="20">
        <f t="shared" si="5"/>
        <v>192118.53647388169</v>
      </c>
      <c r="W29" t="str">
        <f t="shared" si="6"/>
        <v>DB</v>
      </c>
    </row>
    <row r="30" spans="1:23" x14ac:dyDescent="0.3">
      <c r="H30" s="14">
        <f t="shared" si="7"/>
        <v>62</v>
      </c>
      <c r="I30" s="21">
        <f t="shared" si="8"/>
        <v>118430.44313729358</v>
      </c>
      <c r="J30" s="18">
        <f t="shared" si="0"/>
        <v>1184.3044313729358</v>
      </c>
      <c r="K30" s="18">
        <f t="shared" si="9"/>
        <v>19614.747568666491</v>
      </c>
      <c r="L30" s="18">
        <f t="shared" si="1"/>
        <v>253889.11423939612</v>
      </c>
      <c r="N30" s="19">
        <f t="shared" si="2"/>
        <v>9474.4354509834866</v>
      </c>
      <c r="O30" s="18">
        <f t="shared" si="10"/>
        <v>221245.0772511645</v>
      </c>
      <c r="Q30" s="18">
        <f t="shared" si="3"/>
        <v>126944.55711969806</v>
      </c>
      <c r="S30" s="20">
        <f t="shared" si="12"/>
        <v>2368.6088627458716</v>
      </c>
      <c r="T30" s="18">
        <f t="shared" si="11"/>
        <v>82892.021816796885</v>
      </c>
      <c r="U30" s="20">
        <f t="shared" si="5"/>
        <v>209836.57893649495</v>
      </c>
      <c r="W30" t="str">
        <f t="shared" si="6"/>
        <v>DB</v>
      </c>
    </row>
    <row r="31" spans="1:23" x14ac:dyDescent="0.3">
      <c r="H31" s="14">
        <f t="shared" si="7"/>
        <v>63</v>
      </c>
      <c r="I31" s="21">
        <f t="shared" si="8"/>
        <v>119614.74756866651</v>
      </c>
      <c r="J31" s="18">
        <f t="shared" si="0"/>
        <v>1196.1474756866651</v>
      </c>
      <c r="K31" s="18">
        <f t="shared" si="9"/>
        <v>20810.895044353158</v>
      </c>
      <c r="L31" s="18">
        <f t="shared" si="1"/>
        <v>280146.6640586002</v>
      </c>
      <c r="N31" s="19">
        <f t="shared" si="2"/>
        <v>9569.1798054933206</v>
      </c>
      <c r="O31" s="18">
        <f t="shared" si="10"/>
        <v>239664.06014670443</v>
      </c>
      <c r="Q31" s="18">
        <f t="shared" si="3"/>
        <v>140073.3320293001</v>
      </c>
      <c r="S31" s="20">
        <f t="shared" si="12"/>
        <v>2392.2949513733302</v>
      </c>
      <c r="T31" s="18">
        <f t="shared" si="11"/>
        <v>88599.997640842092</v>
      </c>
      <c r="U31" s="20">
        <f t="shared" si="5"/>
        <v>228673.32967014221</v>
      </c>
      <c r="W31" t="str">
        <f t="shared" si="6"/>
        <v>DB</v>
      </c>
    </row>
    <row r="32" spans="1:23" x14ac:dyDescent="0.3">
      <c r="H32" s="14">
        <f t="shared" si="7"/>
        <v>64</v>
      </c>
      <c r="I32" s="21">
        <f t="shared" si="8"/>
        <v>120810.89504435318</v>
      </c>
      <c r="J32" s="18">
        <f t="shared" si="0"/>
        <v>1208.1089504435317</v>
      </c>
      <c r="K32" s="18">
        <f t="shared" si="9"/>
        <v>22019.003994796691</v>
      </c>
      <c r="L32" s="28">
        <f>C18*K32</f>
        <v>308266.05592715368</v>
      </c>
      <c r="N32" s="19">
        <f t="shared" si="2"/>
        <v>9664.8716035482539</v>
      </c>
      <c r="O32" s="18">
        <f t="shared" si="10"/>
        <v>258915.49415612087</v>
      </c>
      <c r="Q32" s="18">
        <f t="shared" si="3"/>
        <v>154133.02796357684</v>
      </c>
      <c r="S32" s="20">
        <f t="shared" si="12"/>
        <v>2416.2179008870635</v>
      </c>
      <c r="T32" s="18">
        <f t="shared" si="11"/>
        <v>94560.215447362832</v>
      </c>
      <c r="U32" s="20">
        <f t="shared" si="5"/>
        <v>248693.24341093967</v>
      </c>
      <c r="W32" t="str">
        <f t="shared" si="6"/>
        <v>DB</v>
      </c>
    </row>
    <row r="33" spans="8:11" x14ac:dyDescent="0.3">
      <c r="H33" s="14">
        <f t="shared" si="7"/>
        <v>65</v>
      </c>
      <c r="J33" s="17"/>
      <c r="K33" s="18"/>
    </row>
    <row r="34" spans="8:11" x14ac:dyDescent="0.3">
      <c r="J34" s="17"/>
    </row>
    <row r="35" spans="8:11" x14ac:dyDescent="0.3">
      <c r="H35" s="14" t="s">
        <v>41</v>
      </c>
      <c r="J35" s="17"/>
    </row>
    <row r="37" spans="8:11" x14ac:dyDescent="0.3">
      <c r="H37" s="14" t="s">
        <v>42</v>
      </c>
      <c r="J37" s="31"/>
    </row>
    <row r="38" spans="8:11" x14ac:dyDescent="0.3">
      <c r="H38" s="14" t="s">
        <v>43</v>
      </c>
    </row>
    <row r="39" spans="8:11" x14ac:dyDescent="0.3">
      <c r="H39" s="14" t="s">
        <v>44</v>
      </c>
      <c r="I39" s="32"/>
    </row>
    <row r="42" spans="8:11" x14ac:dyDescent="0.3">
      <c r="I42" s="33"/>
    </row>
    <row r="44" spans="8:11" x14ac:dyDescent="0.3">
      <c r="I44" s="21"/>
    </row>
    <row r="45" spans="8:11" ht="15.75" customHeight="1" x14ac:dyDescent="0.3">
      <c r="I45" s="21"/>
    </row>
    <row r="46" spans="8:11" x14ac:dyDescent="0.3">
      <c r="I46" s="17"/>
    </row>
    <row r="47" spans="8:11" x14ac:dyDescent="0.3">
      <c r="I47" s="21"/>
    </row>
    <row r="48" spans="8:11" x14ac:dyDescent="0.3">
      <c r="I48" s="21"/>
    </row>
    <row r="49" spans="9:11" x14ac:dyDescent="0.3">
      <c r="I49" s="21"/>
    </row>
    <row r="53" spans="9:11" x14ac:dyDescent="0.3">
      <c r="I53" s="17"/>
    </row>
    <row r="56" spans="9:11" x14ac:dyDescent="0.3">
      <c r="I56" s="31"/>
    </row>
    <row r="57" spans="9:11" x14ac:dyDescent="0.3">
      <c r="I57" s="31"/>
    </row>
    <row r="58" spans="9:11" x14ac:dyDescent="0.3">
      <c r="I58" s="17"/>
      <c r="K58" s="34"/>
    </row>
    <row r="59" spans="9:11" x14ac:dyDescent="0.3">
      <c r="I59" s="17"/>
    </row>
    <row r="60" spans="9:11" x14ac:dyDescent="0.3">
      <c r="I60" s="17"/>
    </row>
    <row r="61" spans="9:11" x14ac:dyDescent="0.3">
      <c r="I61" s="31"/>
    </row>
    <row r="62" spans="9:11" x14ac:dyDescent="0.3">
      <c r="I62" s="17"/>
    </row>
    <row r="63" spans="9:11" x14ac:dyDescent="0.3">
      <c r="I63" s="17"/>
    </row>
    <row r="64" spans="9:11" x14ac:dyDescent="0.3">
      <c r="I64" s="17"/>
    </row>
    <row r="65" spans="9:11" x14ac:dyDescent="0.3">
      <c r="I65" s="31"/>
    </row>
    <row r="66" spans="9:11" x14ac:dyDescent="0.3">
      <c r="I66" s="17"/>
    </row>
    <row r="67" spans="9:11" x14ac:dyDescent="0.3">
      <c r="I67" s="17"/>
    </row>
    <row r="68" spans="9:11" x14ac:dyDescent="0.3">
      <c r="I68" s="31"/>
    </row>
    <row r="69" spans="9:11" x14ac:dyDescent="0.3">
      <c r="I69" s="31"/>
    </row>
    <row r="70" spans="9:11" x14ac:dyDescent="0.3">
      <c r="I70" s="31"/>
    </row>
    <row r="78" spans="9:11" x14ac:dyDescent="0.3">
      <c r="K78" s="17"/>
    </row>
    <row r="80" spans="9:11" x14ac:dyDescent="0.3">
      <c r="K80" s="17"/>
    </row>
    <row r="81" spans="10:13" x14ac:dyDescent="0.3">
      <c r="K81" s="17"/>
    </row>
    <row r="84" spans="10:13" x14ac:dyDescent="0.3">
      <c r="K84" s="35"/>
    </row>
    <row r="85" spans="10:13" x14ac:dyDescent="0.3">
      <c r="K85" s="17"/>
    </row>
    <row r="87" spans="10:13" x14ac:dyDescent="0.3">
      <c r="K87" s="34"/>
    </row>
    <row r="88" spans="10:13" x14ac:dyDescent="0.3">
      <c r="K88" s="36"/>
    </row>
    <row r="89" spans="10:13" x14ac:dyDescent="0.3">
      <c r="J89" s="17"/>
    </row>
    <row r="90" spans="10:13" x14ac:dyDescent="0.3">
      <c r="J90" s="17"/>
    </row>
    <row r="92" spans="10:13" x14ac:dyDescent="0.3">
      <c r="J92" s="37"/>
      <c r="K92" s="38"/>
      <c r="M92" s="38"/>
    </row>
    <row r="93" spans="10:13" x14ac:dyDescent="0.3">
      <c r="J93" s="34"/>
      <c r="K93" s="34"/>
      <c r="L93" s="35"/>
      <c r="M93" s="34"/>
    </row>
    <row r="94" spans="10:13" x14ac:dyDescent="0.3">
      <c r="J94" s="34"/>
      <c r="K94" s="34"/>
      <c r="L94" s="35"/>
      <c r="M94" s="34"/>
    </row>
    <row r="95" spans="10:13" x14ac:dyDescent="0.3">
      <c r="J95" s="34"/>
      <c r="K95" s="34"/>
      <c r="L95" s="35"/>
      <c r="M95" s="34"/>
    </row>
    <row r="96" spans="10:13" x14ac:dyDescent="0.3">
      <c r="J96" s="39"/>
      <c r="K96" s="39"/>
      <c r="L96" s="39"/>
      <c r="M96" s="39"/>
    </row>
    <row r="101" spans="9:13" x14ac:dyDescent="0.3">
      <c r="I101" s="40"/>
    </row>
    <row r="103" spans="9:13" x14ac:dyDescent="0.3">
      <c r="I103" s="21"/>
    </row>
    <row r="104" spans="9:13" x14ac:dyDescent="0.3">
      <c r="I104" s="21"/>
    </row>
    <row r="105" spans="9:13" x14ac:dyDescent="0.3">
      <c r="I105" s="21"/>
    </row>
    <row r="106" spans="9:13" x14ac:dyDescent="0.3">
      <c r="I106" s="21"/>
    </row>
    <row r="110" spans="9:13" x14ac:dyDescent="0.3">
      <c r="I110" s="35"/>
      <c r="M110" s="41"/>
    </row>
    <row r="111" spans="9:13" x14ac:dyDescent="0.3">
      <c r="M111" s="21"/>
    </row>
    <row r="112" spans="9:13" x14ac:dyDescent="0.3">
      <c r="M112" s="21"/>
    </row>
    <row r="113" spans="8:13" x14ac:dyDescent="0.3">
      <c r="M113" s="21"/>
    </row>
    <row r="114" spans="8:13" x14ac:dyDescent="0.3">
      <c r="M114" s="21"/>
    </row>
    <row r="115" spans="8:13" x14ac:dyDescent="0.3">
      <c r="H115" s="42"/>
    </row>
  </sheetData>
  <sheetProtection algorithmName="SHA-512" hashValue="qQI6G+ncDTHS6vFl/ct5IC/upkmYRHnM5gB6sfxSm2/v+g+Nrl/UDYy3PDH0FQQzoomJT3P6+JgpUL0JHEFQ6g==" saltValue="DpjBCtysij91GJm+N0pibA==" spinCount="100000" sheet="1" objects="1" scenarios="1"/>
  <mergeCells count="5">
    <mergeCell ref="A5:F6"/>
    <mergeCell ref="H11:L11"/>
    <mergeCell ref="N11:O11"/>
    <mergeCell ref="Q11:U11"/>
    <mergeCell ref="B22:F23"/>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1D2856-E2C8-4C1C-9C23-B3336C8982BE}">
  <dimension ref="A1:T22"/>
  <sheetViews>
    <sheetView zoomScale="77" zoomScaleNormal="100" workbookViewId="0">
      <selection activeCell="H9" sqref="H9"/>
    </sheetView>
  </sheetViews>
  <sheetFormatPr defaultColWidth="9.33203125" defaultRowHeight="15.6" x14ac:dyDescent="0.3"/>
  <cols>
    <col min="1" max="1" width="3.6640625" style="2" customWidth="1"/>
    <col min="2" max="2" width="33.5546875" style="2" customWidth="1"/>
    <col min="3" max="6" width="11.88671875" style="2" customWidth="1"/>
    <col min="7" max="7" width="1" style="43" customWidth="1"/>
    <col min="8" max="8" width="4" style="55" customWidth="1"/>
    <col min="9" max="19" width="9.33203125" style="55"/>
    <col min="20" max="20" width="1" style="43" customWidth="1"/>
    <col min="21" max="16384" width="9.33203125" style="55"/>
  </cols>
  <sheetData>
    <row r="1" spans="1:19" x14ac:dyDescent="0.3">
      <c r="A1" s="1" t="s">
        <v>45</v>
      </c>
      <c r="H1" s="44" t="s">
        <v>45</v>
      </c>
      <c r="I1" s="45"/>
      <c r="J1" s="45"/>
      <c r="K1" s="45"/>
      <c r="L1" s="45"/>
      <c r="M1" s="45"/>
      <c r="N1" s="45"/>
      <c r="O1" s="45"/>
      <c r="P1" s="45"/>
      <c r="Q1" s="45"/>
      <c r="R1" s="45"/>
      <c r="S1" s="45"/>
    </row>
    <row r="2" spans="1:19" x14ac:dyDescent="0.3">
      <c r="A2" s="1" t="s">
        <v>46</v>
      </c>
      <c r="H2" s="44" t="s">
        <v>46</v>
      </c>
      <c r="I2" s="45"/>
      <c r="J2" s="45"/>
      <c r="K2" s="45"/>
      <c r="L2" s="45"/>
      <c r="M2" s="45"/>
      <c r="N2" s="45"/>
      <c r="O2" s="45"/>
      <c r="P2" s="45"/>
      <c r="Q2" s="45"/>
      <c r="R2" s="45"/>
      <c r="S2" s="45"/>
    </row>
    <row r="3" spans="1:19" x14ac:dyDescent="0.3">
      <c r="A3" s="1" t="s">
        <v>47</v>
      </c>
      <c r="H3" s="44" t="s">
        <v>47</v>
      </c>
      <c r="I3" s="45"/>
      <c r="J3" s="45"/>
      <c r="K3" s="45"/>
      <c r="L3" s="45"/>
      <c r="M3" s="45"/>
      <c r="N3" s="45"/>
      <c r="O3" s="45"/>
      <c r="P3" s="45"/>
      <c r="Q3" s="45"/>
      <c r="R3" s="45"/>
      <c r="S3" s="45"/>
    </row>
    <row r="4" spans="1:19" x14ac:dyDescent="0.3">
      <c r="H4" s="45"/>
      <c r="I4" s="45"/>
      <c r="J4" s="45"/>
      <c r="K4" s="45"/>
      <c r="L4" s="45"/>
      <c r="M4" s="45"/>
      <c r="N4" s="45"/>
      <c r="O4" s="45"/>
      <c r="P4" s="45"/>
      <c r="Q4" s="45"/>
      <c r="R4" s="45"/>
      <c r="S4" s="45"/>
    </row>
    <row r="5" spans="1:19" ht="16.2" x14ac:dyDescent="0.35">
      <c r="A5" s="5" t="s">
        <v>48</v>
      </c>
      <c r="H5" s="46" t="s">
        <v>49</v>
      </c>
      <c r="I5" s="45"/>
      <c r="J5" s="45"/>
      <c r="K5" s="45"/>
      <c r="L5" s="45"/>
      <c r="M5" s="45"/>
      <c r="N5" s="45"/>
      <c r="O5" s="45"/>
      <c r="P5" s="45"/>
      <c r="Q5" s="45"/>
      <c r="R5" s="45"/>
      <c r="S5" s="45"/>
    </row>
    <row r="6" spans="1:19" x14ac:dyDescent="0.3">
      <c r="A6" s="47"/>
      <c r="H6" s="45"/>
      <c r="I6" s="45"/>
      <c r="J6" s="45"/>
      <c r="K6" s="45"/>
      <c r="L6" s="45"/>
      <c r="M6" s="45"/>
      <c r="N6" s="45"/>
      <c r="O6" s="45"/>
      <c r="P6" s="45"/>
      <c r="Q6" s="45"/>
      <c r="R6" s="45"/>
      <c r="S6" s="45"/>
    </row>
    <row r="7" spans="1:19" ht="15.75" customHeight="1" x14ac:dyDescent="0.3">
      <c r="A7" s="47" t="s">
        <v>50</v>
      </c>
      <c r="H7" s="45" t="s">
        <v>51</v>
      </c>
      <c r="I7" s="48" t="s">
        <v>52</v>
      </c>
      <c r="J7" s="49"/>
      <c r="K7" s="49"/>
      <c r="L7" s="49"/>
      <c r="M7" s="49"/>
      <c r="N7" s="49"/>
      <c r="O7" s="49"/>
      <c r="P7" s="49"/>
      <c r="Q7" s="49"/>
      <c r="R7" s="49"/>
      <c r="S7" s="49"/>
    </row>
    <row r="8" spans="1:19" x14ac:dyDescent="0.3">
      <c r="H8" s="45"/>
      <c r="I8" s="50"/>
      <c r="J8" s="45"/>
      <c r="K8" s="45"/>
      <c r="L8" s="45"/>
      <c r="M8" s="45"/>
      <c r="N8" s="51"/>
      <c r="O8" s="52"/>
      <c r="P8" s="52"/>
      <c r="Q8" s="52"/>
      <c r="R8" s="52"/>
      <c r="S8" s="52"/>
    </row>
    <row r="9" spans="1:19" x14ac:dyDescent="0.3">
      <c r="B9" s="53" t="s">
        <v>53</v>
      </c>
      <c r="C9" s="16"/>
      <c r="D9" s="54"/>
      <c r="E9" s="54"/>
      <c r="I9" s="56"/>
      <c r="N9" s="57"/>
      <c r="O9" s="58"/>
      <c r="P9" s="58"/>
      <c r="Q9" s="58"/>
      <c r="R9" s="58"/>
      <c r="S9" s="58"/>
    </row>
    <row r="10" spans="1:19" x14ac:dyDescent="0.3">
      <c r="B10" s="53" t="s">
        <v>54</v>
      </c>
      <c r="C10" s="16"/>
      <c r="D10" s="59"/>
      <c r="E10" s="59"/>
      <c r="I10" s="56"/>
      <c r="N10" s="60"/>
      <c r="O10" s="58"/>
      <c r="P10" s="58"/>
      <c r="Q10" s="58"/>
      <c r="R10" s="58"/>
      <c r="S10" s="58"/>
    </row>
    <row r="11" spans="1:19" x14ac:dyDescent="0.3">
      <c r="B11" s="15"/>
      <c r="C11" s="16"/>
      <c r="D11" s="59"/>
      <c r="E11" s="59"/>
      <c r="I11" s="56"/>
      <c r="N11" s="60"/>
      <c r="O11" s="58"/>
      <c r="P11" s="58"/>
      <c r="Q11" s="58"/>
      <c r="R11" s="58"/>
      <c r="S11" s="58"/>
    </row>
    <row r="12" spans="1:19" x14ac:dyDescent="0.3">
      <c r="B12" s="53" t="s">
        <v>62</v>
      </c>
      <c r="C12" s="16"/>
      <c r="D12" s="61"/>
      <c r="E12" s="61"/>
      <c r="I12" s="56"/>
      <c r="N12" s="60"/>
      <c r="O12" s="58"/>
      <c r="P12" s="58"/>
      <c r="Q12" s="58"/>
      <c r="R12" s="58"/>
      <c r="S12" s="58"/>
    </row>
    <row r="13" spans="1:19" ht="15.75" customHeight="1" thickBot="1" x14ac:dyDescent="0.35">
      <c r="B13" s="15"/>
      <c r="C13" s="16"/>
      <c r="D13" s="64"/>
      <c r="E13" s="64"/>
      <c r="I13" s="66"/>
      <c r="J13" s="66"/>
      <c r="K13" s="66"/>
      <c r="L13" s="66"/>
      <c r="M13" s="66"/>
      <c r="N13" s="66"/>
      <c r="O13" s="66"/>
      <c r="P13" s="66"/>
      <c r="Q13" s="66"/>
      <c r="R13" s="66"/>
      <c r="S13" s="66"/>
    </row>
    <row r="14" spans="1:19" ht="16.2" thickBot="1" x14ac:dyDescent="0.35">
      <c r="B14" s="67" t="s">
        <v>63</v>
      </c>
      <c r="C14" s="68">
        <v>150000</v>
      </c>
      <c r="D14" s="61"/>
      <c r="E14" s="61"/>
      <c r="I14" s="69"/>
      <c r="J14" s="66"/>
      <c r="K14" s="66"/>
      <c r="L14" s="66"/>
      <c r="M14" s="66"/>
      <c r="N14" s="66"/>
      <c r="O14" s="66"/>
      <c r="P14" s="66"/>
      <c r="Q14" s="66"/>
      <c r="R14" s="66"/>
      <c r="S14" s="66"/>
    </row>
    <row r="15" spans="1:19" ht="16.2" thickBot="1" x14ac:dyDescent="0.35">
      <c r="B15" s="70" t="s">
        <v>60</v>
      </c>
      <c r="C15" s="71">
        <v>135000</v>
      </c>
      <c r="I15" s="56"/>
      <c r="N15" s="60"/>
      <c r="O15" s="58"/>
      <c r="P15" s="58"/>
      <c r="Q15" s="58"/>
      <c r="R15" s="58"/>
      <c r="S15" s="58"/>
    </row>
    <row r="16" spans="1:19" ht="16.2" thickBot="1" x14ac:dyDescent="0.35">
      <c r="B16" s="70" t="s">
        <v>66</v>
      </c>
      <c r="C16" s="71">
        <v>75000</v>
      </c>
    </row>
    <row r="17" spans="2:5" ht="16.2" thickBot="1" x14ac:dyDescent="0.35">
      <c r="B17" s="70" t="s">
        <v>68</v>
      </c>
      <c r="C17" s="72">
        <v>0.05</v>
      </c>
    </row>
    <row r="18" spans="2:5" ht="16.2" thickBot="1" x14ac:dyDescent="0.35">
      <c r="B18" s="70" t="s">
        <v>70</v>
      </c>
      <c r="C18" s="72">
        <v>0.06</v>
      </c>
    </row>
    <row r="19" spans="2:5" ht="16.2" thickBot="1" x14ac:dyDescent="0.35">
      <c r="B19" s="70" t="s">
        <v>71</v>
      </c>
      <c r="C19" s="73">
        <v>10.5</v>
      </c>
    </row>
    <row r="20" spans="2:5" x14ac:dyDescent="0.3">
      <c r="B20" s="15"/>
      <c r="C20" s="16"/>
      <c r="D20" s="75"/>
      <c r="E20" s="75"/>
    </row>
    <row r="21" spans="2:5" x14ac:dyDescent="0.3">
      <c r="B21" s="76" t="s">
        <v>73</v>
      </c>
      <c r="C21" s="16"/>
      <c r="D21" s="75"/>
      <c r="E21" s="75"/>
    </row>
    <row r="22" spans="2:5" x14ac:dyDescent="0.3">
      <c r="B22" s="76" t="s">
        <v>74</v>
      </c>
      <c r="C22" s="16"/>
    </row>
  </sheetData>
  <sheetProtection algorithmName="SHA-512" hashValue="Za8E47VFxxtKk4wg/v2ZUt3lkGaSesItW+vIbjeScWEAgFFlEOy2vHuckwr5ltCG2v67O52GVbliXodIMxokOg==" saltValue="/Rpo+FizFqceusnrgxqLCQ==" spinCount="100000" sheet="1" formatCells="0" formatColumns="0" formatRows="0" insertColumns="0" insertRows="0"/>
  <pageMargins left="0.7" right="0.7" top="0.75" bottom="0.75" header="0.3" footer="0.3"/>
  <pageSetup scale="84" orientation="portrait" horizontalDpi="4294967293" verticalDpi="300" r:id="rId1"/>
  <colBreaks count="1" manualBreakCount="1">
    <brk id="7"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882DC2-3404-449B-9896-E7F109840CC9}">
  <dimension ref="A1:V22"/>
  <sheetViews>
    <sheetView zoomScale="77" zoomScaleNormal="100" workbookViewId="0">
      <selection activeCell="K19" sqref="K19"/>
    </sheetView>
  </sheetViews>
  <sheetFormatPr defaultColWidth="9.33203125" defaultRowHeight="15.6" x14ac:dyDescent="0.3"/>
  <cols>
    <col min="1" max="1" width="3.6640625" style="2" customWidth="1"/>
    <col min="2" max="2" width="33.5546875" style="2" customWidth="1"/>
    <col min="3" max="6" width="11.88671875" style="2" customWidth="1"/>
    <col min="7" max="7" width="1" style="43" customWidth="1"/>
    <col min="8" max="8" width="4" style="55" customWidth="1"/>
    <col min="9" max="9" width="9.33203125" style="55"/>
    <col min="10" max="10" width="17.44140625" style="55" customWidth="1"/>
    <col min="11" max="11" width="11.44140625" style="55" bestFit="1" customWidth="1"/>
    <col min="12" max="12" width="9.33203125" style="55"/>
    <col min="13" max="13" width="10.5546875" style="55" customWidth="1"/>
    <col min="14" max="14" width="11.33203125" style="55" customWidth="1"/>
    <col min="15" max="15" width="27.44140625" style="55" bestFit="1" customWidth="1"/>
    <col min="16" max="16" width="13" style="55" bestFit="1" customWidth="1"/>
    <col min="17" max="21" width="9.33203125" style="55"/>
    <col min="22" max="22" width="1" style="43" customWidth="1"/>
    <col min="23" max="16384" width="9.33203125" style="55"/>
  </cols>
  <sheetData>
    <row r="1" spans="1:21" x14ac:dyDescent="0.3">
      <c r="A1" s="1" t="s">
        <v>45</v>
      </c>
      <c r="H1" s="44" t="s">
        <v>45</v>
      </c>
      <c r="I1" s="45"/>
      <c r="J1" s="45"/>
      <c r="K1" s="45"/>
      <c r="L1" s="45"/>
      <c r="M1" s="45"/>
      <c r="N1" s="45"/>
      <c r="O1" s="45"/>
      <c r="P1" s="45"/>
      <c r="Q1" s="45"/>
      <c r="R1" s="45"/>
      <c r="S1" s="45"/>
      <c r="T1" s="45"/>
      <c r="U1" s="45"/>
    </row>
    <row r="2" spans="1:21" x14ac:dyDescent="0.3">
      <c r="A2" s="1" t="s">
        <v>46</v>
      </c>
      <c r="H2" s="44" t="s">
        <v>46</v>
      </c>
      <c r="I2" s="45"/>
      <c r="J2" s="45"/>
      <c r="K2" s="45"/>
      <c r="L2" s="45"/>
      <c r="M2" s="45"/>
      <c r="N2" s="45"/>
      <c r="O2" s="45"/>
      <c r="P2" s="45"/>
      <c r="Q2" s="45"/>
      <c r="R2" s="45"/>
      <c r="S2" s="45"/>
      <c r="T2" s="45"/>
      <c r="U2" s="45"/>
    </row>
    <row r="3" spans="1:21" x14ac:dyDescent="0.3">
      <c r="A3" s="1" t="s">
        <v>47</v>
      </c>
      <c r="H3" s="44" t="s">
        <v>47</v>
      </c>
      <c r="I3" s="45"/>
      <c r="J3" s="45"/>
      <c r="K3" s="45"/>
      <c r="L3" s="45"/>
      <c r="M3" s="45"/>
      <c r="N3" s="45"/>
      <c r="O3" s="45"/>
      <c r="P3" s="45"/>
      <c r="Q3" s="45"/>
      <c r="R3" s="45"/>
      <c r="S3" s="45"/>
      <c r="T3" s="45"/>
      <c r="U3" s="45"/>
    </row>
    <row r="4" spans="1:21" x14ac:dyDescent="0.3">
      <c r="H4" s="45"/>
      <c r="I4" s="45"/>
      <c r="J4" s="45"/>
      <c r="K4" s="45"/>
      <c r="L4" s="45"/>
      <c r="M4" s="45"/>
      <c r="N4" s="45"/>
      <c r="O4" s="45"/>
      <c r="P4" s="45"/>
      <c r="Q4" s="45"/>
      <c r="R4" s="45"/>
      <c r="S4" s="45"/>
      <c r="T4" s="45"/>
      <c r="U4" s="45"/>
    </row>
    <row r="5" spans="1:21" ht="16.2" x14ac:dyDescent="0.35">
      <c r="A5" s="5" t="s">
        <v>48</v>
      </c>
      <c r="H5" s="46" t="s">
        <v>49</v>
      </c>
      <c r="I5" s="45"/>
      <c r="J5" s="45"/>
      <c r="K5" s="45"/>
      <c r="L5" s="45"/>
      <c r="M5" s="45"/>
      <c r="N5" s="45"/>
      <c r="O5" s="45"/>
      <c r="P5" s="45"/>
      <c r="Q5" s="45"/>
      <c r="R5" s="45"/>
      <c r="S5" s="45"/>
      <c r="T5" s="45"/>
      <c r="U5" s="45"/>
    </row>
    <row r="6" spans="1:21" x14ac:dyDescent="0.3">
      <c r="A6" s="47"/>
      <c r="H6" s="45"/>
      <c r="I6" s="45"/>
      <c r="J6" s="45"/>
      <c r="K6" s="45"/>
      <c r="L6" s="45"/>
      <c r="M6" s="45"/>
      <c r="N6" s="45"/>
      <c r="O6" s="45"/>
      <c r="P6" s="45"/>
      <c r="Q6" s="45"/>
      <c r="R6" s="45"/>
      <c r="S6" s="45"/>
      <c r="T6" s="45"/>
      <c r="U6" s="45"/>
    </row>
    <row r="7" spans="1:21" ht="15.75" customHeight="1" x14ac:dyDescent="0.3">
      <c r="A7" s="47" t="s">
        <v>50</v>
      </c>
      <c r="H7" s="45" t="s">
        <v>51</v>
      </c>
      <c r="I7" s="48" t="s">
        <v>52</v>
      </c>
      <c r="J7" s="49"/>
      <c r="K7" s="49"/>
      <c r="L7" s="49"/>
      <c r="M7" s="49"/>
      <c r="N7" s="49"/>
      <c r="O7" s="49"/>
      <c r="P7" s="49"/>
      <c r="Q7" s="49"/>
      <c r="R7" s="49"/>
      <c r="S7" s="49"/>
      <c r="T7" s="49"/>
      <c r="U7" s="49"/>
    </row>
    <row r="8" spans="1:21" x14ac:dyDescent="0.3">
      <c r="H8" s="45"/>
      <c r="I8" s="50"/>
      <c r="J8" s="45"/>
      <c r="K8" s="45"/>
      <c r="L8" s="45"/>
      <c r="M8" s="45"/>
      <c r="N8" s="45"/>
      <c r="O8" s="45"/>
      <c r="P8" s="51"/>
      <c r="Q8" s="52"/>
      <c r="R8" s="52"/>
      <c r="S8" s="52"/>
      <c r="T8" s="52"/>
      <c r="U8" s="52"/>
    </row>
    <row r="9" spans="1:21" x14ac:dyDescent="0.3">
      <c r="B9" s="53" t="s">
        <v>53</v>
      </c>
      <c r="C9" s="16"/>
      <c r="D9" s="54"/>
      <c r="E9" s="54"/>
      <c r="I9" s="56"/>
      <c r="P9" s="57"/>
      <c r="Q9" s="58"/>
      <c r="R9" s="58"/>
      <c r="S9" s="58"/>
      <c r="T9" s="58"/>
      <c r="U9" s="58"/>
    </row>
    <row r="10" spans="1:21" x14ac:dyDescent="0.3">
      <c r="B10" s="53" t="s">
        <v>54</v>
      </c>
      <c r="C10" s="16"/>
      <c r="D10" s="59"/>
      <c r="E10" s="59"/>
      <c r="I10" s="56"/>
      <c r="P10" s="60"/>
      <c r="Q10" s="58"/>
      <c r="R10" s="58"/>
      <c r="S10" s="58"/>
      <c r="T10" s="58"/>
      <c r="U10" s="58"/>
    </row>
    <row r="11" spans="1:21" x14ac:dyDescent="0.3">
      <c r="B11" s="15"/>
      <c r="C11" s="16"/>
      <c r="D11" s="59"/>
      <c r="E11" s="59"/>
      <c r="I11" s="56" t="s">
        <v>55</v>
      </c>
      <c r="J11" s="55" t="s">
        <v>56</v>
      </c>
      <c r="K11" s="55" t="s">
        <v>18</v>
      </c>
      <c r="L11" s="55" t="s">
        <v>57</v>
      </c>
      <c r="M11" s="55" t="s">
        <v>58</v>
      </c>
      <c r="N11" s="55" t="s">
        <v>59</v>
      </c>
      <c r="O11" s="55" t="s">
        <v>60</v>
      </c>
      <c r="P11" s="60" t="s">
        <v>61</v>
      </c>
      <c r="Q11" s="58"/>
      <c r="R11" s="58"/>
      <c r="S11" s="58"/>
      <c r="T11" s="58"/>
      <c r="U11" s="58"/>
    </row>
    <row r="12" spans="1:21" x14ac:dyDescent="0.3">
      <c r="B12" s="53" t="s">
        <v>62</v>
      </c>
      <c r="C12" s="16"/>
      <c r="D12" s="61"/>
      <c r="E12" s="61"/>
      <c r="I12" s="56">
        <v>1</v>
      </c>
      <c r="J12" s="62">
        <f>C14</f>
        <v>150000</v>
      </c>
      <c r="K12" s="62">
        <f>C16</f>
        <v>75000</v>
      </c>
      <c r="L12" s="63">
        <v>-0.15</v>
      </c>
      <c r="M12" s="62">
        <f>J12*(L12)</f>
        <v>-22500</v>
      </c>
      <c r="N12" s="62">
        <f>K12*$C$18</f>
        <v>4500</v>
      </c>
      <c r="O12" s="62">
        <f>C15+N12</f>
        <v>139500</v>
      </c>
      <c r="P12" s="62">
        <f>J12+M12+N12</f>
        <v>132000</v>
      </c>
      <c r="Q12" s="58"/>
      <c r="R12" s="58"/>
      <c r="S12" s="58"/>
      <c r="T12" s="58"/>
      <c r="U12" s="58"/>
    </row>
    <row r="13" spans="1:21" ht="15.75" customHeight="1" thickBot="1" x14ac:dyDescent="0.35">
      <c r="B13" s="15"/>
      <c r="C13" s="16"/>
      <c r="D13" s="64"/>
      <c r="E13" s="64"/>
      <c r="I13" s="56">
        <v>2</v>
      </c>
      <c r="J13" s="62">
        <f>P12</f>
        <v>132000</v>
      </c>
      <c r="K13" s="62">
        <f>K12*(1+C17)</f>
        <v>78750</v>
      </c>
      <c r="L13" s="65">
        <v>0.04</v>
      </c>
      <c r="M13" s="62">
        <f>J13*(L13)</f>
        <v>5280</v>
      </c>
      <c r="N13" s="62">
        <f>K13*$C$18</f>
        <v>4725</v>
      </c>
      <c r="O13" s="62">
        <f>O12+N13</f>
        <v>144225</v>
      </c>
      <c r="P13" s="62">
        <f>J13+M13+N13</f>
        <v>142005</v>
      </c>
      <c r="Q13" s="66"/>
      <c r="R13" s="66"/>
      <c r="S13" s="66"/>
      <c r="T13" s="66"/>
      <c r="U13" s="66"/>
    </row>
    <row r="14" spans="1:21" ht="16.2" thickBot="1" x14ac:dyDescent="0.35">
      <c r="B14" s="67" t="s">
        <v>63</v>
      </c>
      <c r="C14" s="68">
        <v>150000</v>
      </c>
      <c r="D14" s="61"/>
      <c r="E14" s="61"/>
      <c r="I14" s="69"/>
      <c r="J14" s="66"/>
      <c r="K14" s="66"/>
      <c r="L14" s="66"/>
      <c r="M14" s="66"/>
      <c r="N14" s="66"/>
      <c r="O14" s="66"/>
      <c r="P14" s="66"/>
      <c r="Q14" s="66"/>
      <c r="R14" s="66"/>
      <c r="S14" s="66"/>
      <c r="T14" s="66"/>
      <c r="U14" s="66"/>
    </row>
    <row r="15" spans="1:21" ht="16.2" thickBot="1" x14ac:dyDescent="0.35">
      <c r="B15" s="70" t="s">
        <v>60</v>
      </c>
      <c r="C15" s="71">
        <v>135000</v>
      </c>
      <c r="I15" s="56"/>
      <c r="J15" s="55" t="s">
        <v>64</v>
      </c>
      <c r="K15" s="62">
        <f>MAX(O13,P13)</f>
        <v>144225</v>
      </c>
      <c r="L15" s="55" t="s">
        <v>65</v>
      </c>
      <c r="P15" s="60"/>
      <c r="Q15" s="58"/>
      <c r="R15" s="58"/>
      <c r="S15" s="58"/>
      <c r="T15" s="58"/>
      <c r="U15" s="58"/>
    </row>
    <row r="16" spans="1:21" ht="16.2" thickBot="1" x14ac:dyDescent="0.35">
      <c r="B16" s="70" t="s">
        <v>66</v>
      </c>
      <c r="C16" s="71">
        <v>75000</v>
      </c>
      <c r="J16" s="55" t="s">
        <v>67</v>
      </c>
      <c r="K16" s="55">
        <f>C19</f>
        <v>10.5</v>
      </c>
    </row>
    <row r="17" spans="2:11" ht="16.2" thickBot="1" x14ac:dyDescent="0.35">
      <c r="B17" s="70" t="s">
        <v>68</v>
      </c>
      <c r="C17" s="72">
        <v>0.05</v>
      </c>
      <c r="J17" s="55" t="s">
        <v>69</v>
      </c>
      <c r="K17" s="62">
        <f>ROUND(K15/K16,0)</f>
        <v>13736</v>
      </c>
    </row>
    <row r="18" spans="2:11" ht="16.2" thickBot="1" x14ac:dyDescent="0.35">
      <c r="B18" s="70" t="s">
        <v>70</v>
      </c>
      <c r="C18" s="72">
        <v>0.06</v>
      </c>
    </row>
    <row r="19" spans="2:11" ht="16.2" thickBot="1" x14ac:dyDescent="0.35">
      <c r="B19" s="70" t="s">
        <v>71</v>
      </c>
      <c r="C19" s="73">
        <v>10.5</v>
      </c>
      <c r="I19" s="55" t="s">
        <v>72</v>
      </c>
      <c r="K19" s="74">
        <f>K17/K13</f>
        <v>0.17442539682539682</v>
      </c>
    </row>
    <row r="20" spans="2:11" x14ac:dyDescent="0.3">
      <c r="B20" s="15"/>
      <c r="C20" s="16"/>
      <c r="D20" s="75"/>
      <c r="E20" s="75"/>
    </row>
    <row r="21" spans="2:11" x14ac:dyDescent="0.3">
      <c r="B21" s="76" t="s">
        <v>73</v>
      </c>
      <c r="C21" s="16"/>
      <c r="D21" s="75"/>
      <c r="E21" s="75"/>
    </row>
    <row r="22" spans="2:11" x14ac:dyDescent="0.3">
      <c r="B22" s="76" t="s">
        <v>74</v>
      </c>
      <c r="C22" s="16"/>
    </row>
  </sheetData>
  <sheetProtection algorithmName="SHA-512" hashValue="Za8E47VFxxtKk4wg/v2ZUt3lkGaSesItW+vIbjeScWEAgFFlEOy2vHuckwr5ltCG2v67O52GVbliXodIMxokOg==" saltValue="/Rpo+FizFqceusnrgxqLCQ==" spinCount="100000" sheet="1" formatCells="0" formatColumns="0" formatRows="0" insertColumns="0" insertRows="0"/>
  <pageMargins left="0.7" right="0.7" top="0.75" bottom="0.75" header="0.3" footer="0.3"/>
  <pageSetup scale="84" orientation="portrait" horizontalDpi="4294967293" verticalDpi="300" r:id="rId1"/>
  <colBreaks count="1" manualBreakCount="1">
    <brk id="7"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590B67-8A18-432A-A371-09E24A2B90D7}">
  <sheetPr>
    <tabColor theme="1"/>
  </sheetPr>
  <dimension ref="A1"/>
  <sheetViews>
    <sheetView workbookViewId="0"/>
  </sheetViews>
  <sheetFormatPr defaultRowHeight="14.4" x14ac:dyDescent="0.3"/>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273704-2377-4ADB-85D1-C4B788B2E5B8}">
  <dimension ref="A1:AA132"/>
  <sheetViews>
    <sheetView zoomScale="85" zoomScaleNormal="85" workbookViewId="0">
      <selection activeCell="AC37" sqref="AC37"/>
    </sheetView>
  </sheetViews>
  <sheetFormatPr defaultRowHeight="15.6" x14ac:dyDescent="0.3"/>
  <cols>
    <col min="1" max="1" width="3.6640625" style="2" customWidth="1"/>
    <col min="2" max="2" width="38.33203125" style="2" customWidth="1"/>
    <col min="3" max="3" width="41.33203125" style="2" customWidth="1"/>
    <col min="4" max="4" width="32.88671875" style="2" customWidth="1"/>
    <col min="5" max="5" width="6.88671875" style="2" bestFit="1" customWidth="1"/>
    <col min="6" max="6" width="10" style="2" hidden="1" customWidth="1"/>
    <col min="7" max="7" width="6.88671875" style="2" hidden="1" customWidth="1"/>
    <col min="8" max="8" width="10" style="2" hidden="1" customWidth="1"/>
    <col min="9" max="9" width="6.88671875" style="2" hidden="1" customWidth="1"/>
    <col min="10" max="10" width="10" style="2" hidden="1" customWidth="1"/>
    <col min="11" max="11" width="6.88671875" style="2" hidden="1" customWidth="1"/>
    <col min="12" max="12" width="10" style="2" hidden="1" customWidth="1"/>
    <col min="13" max="13" width="2.6640625" style="2" customWidth="1"/>
    <col min="14" max="14" width="1" style="3" customWidth="1"/>
    <col min="15" max="15" width="3.88671875" style="14" customWidth="1"/>
    <col min="16" max="16" width="12" style="14" customWidth="1"/>
    <col min="17" max="17" width="17.33203125" style="14" customWidth="1"/>
    <col min="18" max="18" width="13.44140625" style="14" customWidth="1"/>
    <col min="19" max="19" width="12.5546875" style="14" bestFit="1" customWidth="1"/>
    <col min="20" max="20" width="15" style="14" customWidth="1"/>
    <col min="21" max="21" width="8.88671875" style="14"/>
    <col min="22" max="22" width="11" style="14" customWidth="1"/>
    <col min="23" max="23" width="8.88671875" style="14"/>
    <col min="24" max="26" width="14.6640625" style="14" customWidth="1"/>
    <col min="27" max="27" width="1" style="3" customWidth="1"/>
  </cols>
  <sheetData>
    <row r="1" spans="1:26" x14ac:dyDescent="0.3">
      <c r="A1" s="1" t="s">
        <v>107</v>
      </c>
      <c r="O1" s="1" t="s">
        <v>107</v>
      </c>
      <c r="P1" s="2"/>
      <c r="Q1" s="2"/>
      <c r="R1" s="2"/>
      <c r="S1" s="2"/>
      <c r="T1" s="2"/>
      <c r="U1" s="2"/>
      <c r="V1" s="2"/>
      <c r="W1" s="2"/>
      <c r="X1" s="2"/>
      <c r="Y1" s="2"/>
      <c r="Z1" s="2"/>
    </row>
    <row r="2" spans="1:26" x14ac:dyDescent="0.3">
      <c r="A2" s="1" t="s">
        <v>1</v>
      </c>
      <c r="O2" s="1" t="s">
        <v>1</v>
      </c>
      <c r="P2" s="2"/>
      <c r="Q2" s="2"/>
      <c r="R2" s="2"/>
      <c r="S2" s="2"/>
      <c r="T2" s="2"/>
      <c r="U2" s="2"/>
      <c r="V2" s="2"/>
      <c r="W2" s="2"/>
      <c r="X2" s="2"/>
      <c r="Y2" s="2"/>
      <c r="Z2" s="2"/>
    </row>
    <row r="3" spans="1:26" x14ac:dyDescent="0.3">
      <c r="A3" s="1" t="s">
        <v>106</v>
      </c>
      <c r="O3" s="1" t="s">
        <v>106</v>
      </c>
      <c r="P3" s="2"/>
      <c r="Q3" s="2"/>
      <c r="R3" s="2"/>
      <c r="S3" s="2"/>
      <c r="T3" s="2"/>
      <c r="U3" s="2"/>
      <c r="V3" s="2"/>
      <c r="W3" s="2"/>
      <c r="X3" s="2"/>
      <c r="Y3" s="2"/>
      <c r="Z3" s="2"/>
    </row>
    <row r="4" spans="1:26" x14ac:dyDescent="0.3">
      <c r="O4" s="2"/>
      <c r="P4" s="2"/>
      <c r="Q4" s="2"/>
      <c r="R4" s="2"/>
      <c r="S4" s="2"/>
      <c r="T4" s="2"/>
      <c r="U4" s="2"/>
      <c r="V4" s="2"/>
      <c r="W4" s="2"/>
      <c r="X4" s="2"/>
      <c r="Y4" s="2"/>
      <c r="Z4" s="2"/>
    </row>
    <row r="5" spans="1:26" ht="16.2" customHeight="1" x14ac:dyDescent="0.35">
      <c r="A5" s="204" t="s">
        <v>105</v>
      </c>
      <c r="B5" s="204"/>
      <c r="C5" s="204"/>
      <c r="D5" s="204"/>
      <c r="E5" s="204"/>
      <c r="F5" s="204"/>
      <c r="G5" s="204"/>
      <c r="H5" s="204"/>
      <c r="I5" s="204"/>
      <c r="J5" s="204"/>
      <c r="K5" s="204"/>
      <c r="L5" s="204"/>
      <c r="M5" s="204"/>
      <c r="O5" s="5" t="s">
        <v>4</v>
      </c>
      <c r="P5" s="2"/>
      <c r="Q5" s="2"/>
      <c r="R5" s="2"/>
      <c r="S5" s="2"/>
      <c r="T5" s="2"/>
      <c r="U5" s="2"/>
      <c r="V5" s="2"/>
      <c r="W5" s="2"/>
      <c r="X5" s="2"/>
      <c r="Y5" s="2"/>
      <c r="Z5" s="2"/>
    </row>
    <row r="6" spans="1:26" x14ac:dyDescent="0.3">
      <c r="A6" s="204"/>
      <c r="B6" s="204"/>
      <c r="C6" s="204"/>
      <c r="D6" s="204"/>
      <c r="E6" s="204"/>
      <c r="F6" s="204"/>
      <c r="G6" s="204"/>
      <c r="H6" s="204"/>
      <c r="I6" s="204"/>
      <c r="J6" s="204"/>
      <c r="K6" s="204"/>
      <c r="L6" s="204"/>
      <c r="M6" s="204"/>
      <c r="O6" s="2"/>
      <c r="P6" s="2"/>
      <c r="Q6" s="2"/>
      <c r="R6" s="2"/>
      <c r="S6" s="2"/>
      <c r="T6" s="2"/>
      <c r="U6" s="2"/>
      <c r="V6" s="2"/>
      <c r="W6" s="2"/>
      <c r="X6" s="2"/>
      <c r="Y6" s="2"/>
      <c r="Z6" s="2"/>
    </row>
    <row r="7" spans="1:26" ht="15.6" customHeight="1" x14ac:dyDescent="0.3">
      <c r="A7" s="6"/>
      <c r="B7" s="6"/>
      <c r="C7" s="6"/>
      <c r="D7" s="6"/>
      <c r="E7" s="6"/>
      <c r="F7" s="6"/>
      <c r="G7" s="6"/>
      <c r="H7" s="6"/>
      <c r="I7" s="6"/>
      <c r="J7" s="6"/>
      <c r="K7" s="6"/>
      <c r="L7" s="6"/>
      <c r="M7" s="6"/>
      <c r="O7" s="2" t="s">
        <v>77</v>
      </c>
      <c r="P7" s="202" t="s">
        <v>104</v>
      </c>
      <c r="Q7" s="202"/>
      <c r="R7" s="202"/>
      <c r="S7" s="202"/>
      <c r="T7" s="202"/>
      <c r="U7" s="202"/>
      <c r="V7" s="202"/>
      <c r="W7" s="202"/>
      <c r="X7" s="202"/>
      <c r="Y7" s="202"/>
      <c r="Z7" s="202"/>
    </row>
    <row r="8" spans="1:26" ht="15.6" customHeight="1" x14ac:dyDescent="0.3">
      <c r="A8" s="6"/>
      <c r="B8" s="89" t="s">
        <v>103</v>
      </c>
      <c r="C8" s="9" t="s">
        <v>102</v>
      </c>
      <c r="D8" s="88" t="s">
        <v>101</v>
      </c>
      <c r="E8" s="6"/>
      <c r="F8" s="6"/>
      <c r="G8" s="6"/>
      <c r="H8" s="6"/>
      <c r="I8" s="6"/>
      <c r="J8" s="6"/>
      <c r="K8" s="6"/>
      <c r="L8" s="6"/>
      <c r="M8" s="6"/>
      <c r="O8" s="2"/>
      <c r="P8" s="202"/>
      <c r="Q8" s="202"/>
      <c r="R8" s="202"/>
      <c r="S8" s="202"/>
      <c r="T8" s="202"/>
      <c r="U8" s="202"/>
      <c r="V8" s="202"/>
      <c r="W8" s="202"/>
      <c r="X8" s="202"/>
      <c r="Y8" s="202"/>
      <c r="Z8" s="202"/>
    </row>
    <row r="9" spans="1:26" ht="15.75" customHeight="1" x14ac:dyDescent="0.3">
      <c r="A9" s="6"/>
      <c r="B9" s="205" t="s">
        <v>100</v>
      </c>
      <c r="C9" s="205" t="s">
        <v>99</v>
      </c>
      <c r="D9" s="83"/>
      <c r="E9" s="6"/>
      <c r="F9" s="6"/>
      <c r="G9" s="6"/>
      <c r="H9" s="6"/>
      <c r="I9" s="6"/>
      <c r="J9" s="6"/>
      <c r="K9" s="6"/>
      <c r="L9" s="6"/>
      <c r="M9" s="6"/>
      <c r="O9" s="2"/>
      <c r="P9" s="202"/>
      <c r="Q9" s="202"/>
      <c r="R9" s="202"/>
      <c r="S9" s="202"/>
      <c r="T9" s="202"/>
      <c r="U9" s="202"/>
      <c r="V9" s="202"/>
      <c r="W9" s="202"/>
      <c r="X9" s="202"/>
      <c r="Y9" s="202"/>
      <c r="Z9" s="202"/>
    </row>
    <row r="10" spans="1:26" ht="15.75" customHeight="1" x14ac:dyDescent="0.3">
      <c r="A10" s="6"/>
      <c r="B10" s="206"/>
      <c r="C10" s="206"/>
      <c r="D10" s="206" t="s">
        <v>98</v>
      </c>
      <c r="E10" s="6"/>
      <c r="F10" s="6"/>
      <c r="G10" s="6"/>
      <c r="H10" s="6"/>
      <c r="I10" s="6"/>
      <c r="J10" s="6"/>
      <c r="K10" s="6"/>
      <c r="L10" s="6"/>
      <c r="M10" s="6"/>
      <c r="O10" s="2"/>
      <c r="P10" s="202"/>
      <c r="Q10" s="202"/>
      <c r="R10" s="202"/>
      <c r="S10" s="202"/>
      <c r="T10" s="202"/>
      <c r="U10" s="202"/>
      <c r="V10" s="202"/>
      <c r="W10" s="202"/>
      <c r="X10" s="202"/>
      <c r="Y10" s="202"/>
      <c r="Z10" s="202"/>
    </row>
    <row r="11" spans="1:26" x14ac:dyDescent="0.3">
      <c r="A11" s="6"/>
      <c r="B11" s="206"/>
      <c r="C11" s="61"/>
      <c r="D11" s="206"/>
      <c r="E11" s="6"/>
      <c r="F11" s="6"/>
      <c r="G11" s="6"/>
      <c r="H11" s="6"/>
      <c r="I11" s="6"/>
      <c r="J11" s="6"/>
      <c r="K11" s="6"/>
      <c r="L11" s="6"/>
      <c r="M11" s="6"/>
      <c r="O11" s="2"/>
      <c r="P11" s="202"/>
      <c r="Q11" s="202"/>
      <c r="R11" s="202"/>
      <c r="S11" s="202"/>
      <c r="T11" s="202"/>
      <c r="U11" s="202"/>
      <c r="V11" s="202"/>
      <c r="W11" s="202"/>
      <c r="X11" s="202"/>
      <c r="Y11" s="202"/>
      <c r="Z11" s="202"/>
    </row>
    <row r="12" spans="1:26" ht="15" customHeight="1" x14ac:dyDescent="0.3">
      <c r="B12" s="206"/>
      <c r="C12" s="206" t="s">
        <v>97</v>
      </c>
      <c r="D12" s="206"/>
      <c r="O12" s="2"/>
      <c r="P12" s="202"/>
      <c r="Q12" s="202"/>
      <c r="R12" s="202"/>
      <c r="S12" s="202"/>
      <c r="T12" s="202"/>
      <c r="U12" s="202"/>
      <c r="V12" s="202"/>
      <c r="W12" s="202"/>
      <c r="X12" s="202"/>
      <c r="Y12" s="202"/>
      <c r="Z12" s="202"/>
    </row>
    <row r="13" spans="1:26" ht="15" customHeight="1" x14ac:dyDescent="0.3">
      <c r="B13" s="206"/>
      <c r="C13" s="206"/>
      <c r="D13" s="87"/>
      <c r="O13" s="2"/>
      <c r="P13" s="202"/>
      <c r="Q13" s="202"/>
      <c r="R13" s="202"/>
      <c r="S13" s="202"/>
      <c r="T13" s="202"/>
      <c r="U13" s="202"/>
      <c r="V13" s="202"/>
      <c r="W13" s="202"/>
      <c r="X13" s="202"/>
      <c r="Y13" s="202"/>
      <c r="Z13" s="202"/>
    </row>
    <row r="14" spans="1:26" ht="15.6" customHeight="1" x14ac:dyDescent="0.3">
      <c r="B14" s="206"/>
      <c r="C14" s="61"/>
      <c r="D14" s="208" t="s">
        <v>96</v>
      </c>
      <c r="O14" s="13"/>
      <c r="P14" s="29" t="s">
        <v>75</v>
      </c>
      <c r="Q14" s="13"/>
      <c r="R14" s="13"/>
      <c r="S14" s="13"/>
      <c r="T14" s="13"/>
      <c r="U14" s="13"/>
      <c r="V14" s="13"/>
      <c r="W14" s="13"/>
      <c r="X14" s="13"/>
      <c r="Y14" s="13"/>
      <c r="Z14" s="13"/>
    </row>
    <row r="15" spans="1:26" ht="15.6" customHeight="1" x14ac:dyDescent="0.3">
      <c r="B15" s="206"/>
      <c r="C15" s="206" t="s">
        <v>96</v>
      </c>
      <c r="D15" s="208"/>
      <c r="O15" s="13"/>
      <c r="P15" s="29"/>
      <c r="Q15" s="13"/>
      <c r="R15" s="13"/>
      <c r="S15" s="13"/>
      <c r="T15" s="13"/>
      <c r="U15" s="13"/>
      <c r="V15" s="13"/>
      <c r="W15" s="13"/>
      <c r="X15" s="13"/>
      <c r="Y15" s="13"/>
      <c r="Z15" s="13"/>
    </row>
    <row r="16" spans="1:26" x14ac:dyDescent="0.3">
      <c r="B16" s="207"/>
      <c r="C16" s="207"/>
      <c r="D16" s="86"/>
    </row>
    <row r="17" spans="1:17" ht="15.6" customHeight="1" x14ac:dyDescent="0.3">
      <c r="B17" s="12" t="s">
        <v>95</v>
      </c>
      <c r="C17" s="12" t="s">
        <v>94</v>
      </c>
      <c r="D17" s="12" t="s">
        <v>93</v>
      </c>
    </row>
    <row r="18" spans="1:17" x14ac:dyDescent="0.3">
      <c r="B18" s="205" t="s">
        <v>92</v>
      </c>
      <c r="C18" s="205" t="s">
        <v>91</v>
      </c>
      <c r="D18" s="209" t="s">
        <v>90</v>
      </c>
      <c r="Q18" s="32"/>
    </row>
    <row r="19" spans="1:17" x14ac:dyDescent="0.3">
      <c r="B19" s="207"/>
      <c r="C19" s="207"/>
      <c r="D19" s="210"/>
    </row>
    <row r="20" spans="1:17" ht="15.6" customHeight="1" x14ac:dyDescent="0.3">
      <c r="B20" s="205" t="s">
        <v>89</v>
      </c>
      <c r="C20" s="83"/>
      <c r="D20" s="205" t="s">
        <v>88</v>
      </c>
    </row>
    <row r="21" spans="1:17" ht="15.6" customHeight="1" x14ac:dyDescent="0.3">
      <c r="B21" s="206"/>
      <c r="C21" s="206" t="s">
        <v>87</v>
      </c>
      <c r="D21" s="206"/>
    </row>
    <row r="22" spans="1:17" ht="15.6" customHeight="1" x14ac:dyDescent="0.3">
      <c r="B22" s="206"/>
      <c r="C22" s="206"/>
      <c r="D22" s="85"/>
    </row>
    <row r="23" spans="1:17" ht="15.75" customHeight="1" x14ac:dyDescent="0.3">
      <c r="B23" s="206"/>
      <c r="C23" s="85"/>
      <c r="D23" s="206" t="s">
        <v>86</v>
      </c>
    </row>
    <row r="24" spans="1:17" x14ac:dyDescent="0.3">
      <c r="B24" s="206"/>
      <c r="C24" s="85" t="s">
        <v>85</v>
      </c>
      <c r="D24" s="206"/>
    </row>
    <row r="25" spans="1:17" ht="15.6" customHeight="1" x14ac:dyDescent="0.3">
      <c r="B25" s="207"/>
      <c r="C25" s="82"/>
      <c r="D25" s="207"/>
    </row>
    <row r="26" spans="1:17" ht="15.6" customHeight="1" x14ac:dyDescent="0.3">
      <c r="B26" s="6"/>
      <c r="C26" s="27"/>
      <c r="D26" s="27"/>
    </row>
    <row r="27" spans="1:17" ht="15.6" customHeight="1" x14ac:dyDescent="0.3">
      <c r="A27" s="53" t="s">
        <v>84</v>
      </c>
      <c r="B27" s="6"/>
      <c r="C27" s="27"/>
      <c r="D27" s="27"/>
    </row>
    <row r="28" spans="1:17" ht="15.6" customHeight="1" x14ac:dyDescent="0.3">
      <c r="B28" s="6"/>
      <c r="C28" s="27"/>
      <c r="D28" s="27"/>
    </row>
    <row r="29" spans="1:17" ht="15.6" customHeight="1" x14ac:dyDescent="0.3">
      <c r="B29" s="84"/>
      <c r="C29" s="24" t="s">
        <v>83</v>
      </c>
      <c r="D29" s="81"/>
    </row>
    <row r="30" spans="1:17" ht="15.6" customHeight="1" x14ac:dyDescent="0.3">
      <c r="B30" s="205" t="s">
        <v>82</v>
      </c>
      <c r="C30" s="211">
        <v>150000</v>
      </c>
      <c r="D30" s="213"/>
    </row>
    <row r="31" spans="1:17" ht="15.6" customHeight="1" x14ac:dyDescent="0.3">
      <c r="B31" s="207"/>
      <c r="C31" s="212"/>
      <c r="D31" s="213"/>
    </row>
    <row r="32" spans="1:17" ht="15.6" customHeight="1" x14ac:dyDescent="0.3">
      <c r="B32" s="12" t="s">
        <v>81</v>
      </c>
      <c r="C32" s="24">
        <v>62</v>
      </c>
      <c r="D32" s="81"/>
    </row>
    <row r="33" spans="1:17" ht="15.6" customHeight="1" x14ac:dyDescent="0.3">
      <c r="B33" s="12" t="s">
        <v>80</v>
      </c>
      <c r="C33" s="24" t="s">
        <v>79</v>
      </c>
      <c r="D33" s="81"/>
    </row>
    <row r="34" spans="1:17" ht="15.6" customHeight="1" x14ac:dyDescent="0.3">
      <c r="B34" s="12" t="s">
        <v>78</v>
      </c>
      <c r="C34" s="24">
        <v>15</v>
      </c>
      <c r="D34" s="81"/>
    </row>
    <row r="35" spans="1:17" ht="15.6" customHeight="1" x14ac:dyDescent="0.3">
      <c r="B35" s="6"/>
      <c r="C35" s="27"/>
      <c r="D35" s="27"/>
    </row>
    <row r="36" spans="1:17" ht="15.6" customHeight="1" x14ac:dyDescent="0.3">
      <c r="A36" s="2" t="s">
        <v>77</v>
      </c>
      <c r="B36" s="202" t="s">
        <v>76</v>
      </c>
      <c r="C36" s="202"/>
      <c r="D36" s="202"/>
      <c r="E36" s="202"/>
      <c r="F36" s="13"/>
      <c r="G36" s="13"/>
      <c r="H36" s="13"/>
      <c r="I36" s="13"/>
      <c r="J36" s="13"/>
      <c r="K36" s="13"/>
    </row>
    <row r="37" spans="1:17" x14ac:dyDescent="0.3">
      <c r="A37" s="13"/>
      <c r="B37" s="202"/>
      <c r="C37" s="202"/>
      <c r="D37" s="202"/>
      <c r="E37" s="202"/>
      <c r="F37" s="13"/>
      <c r="G37" s="13"/>
      <c r="H37" s="13"/>
      <c r="I37" s="13"/>
      <c r="J37" s="13"/>
      <c r="K37" s="13"/>
      <c r="Q37" s="17"/>
    </row>
    <row r="38" spans="1:17" ht="16.2" customHeight="1" x14ac:dyDescent="0.3">
      <c r="A38" s="13"/>
      <c r="B38" s="202"/>
      <c r="C38" s="202"/>
      <c r="D38" s="202"/>
      <c r="E38" s="202"/>
      <c r="F38" s="13"/>
      <c r="G38" s="13"/>
      <c r="H38" s="13"/>
      <c r="I38" s="13"/>
      <c r="J38" s="13"/>
      <c r="K38" s="13"/>
      <c r="Q38" s="17"/>
    </row>
    <row r="39" spans="1:17" ht="16.2" customHeight="1" x14ac:dyDescent="0.3">
      <c r="A39" s="13"/>
      <c r="B39" s="202"/>
      <c r="C39" s="202"/>
      <c r="D39" s="202"/>
      <c r="E39" s="202"/>
      <c r="F39" s="13"/>
      <c r="G39" s="13"/>
      <c r="H39" s="13"/>
      <c r="I39" s="13"/>
      <c r="J39" s="13"/>
      <c r="K39" s="13"/>
    </row>
    <row r="40" spans="1:17" ht="16.2" customHeight="1" x14ac:dyDescent="0.3">
      <c r="A40" s="13"/>
      <c r="B40" s="202"/>
      <c r="C40" s="202"/>
      <c r="D40" s="202"/>
      <c r="E40" s="202"/>
      <c r="F40" s="13"/>
      <c r="G40" s="13"/>
      <c r="H40" s="13"/>
      <c r="I40" s="13"/>
      <c r="J40" s="13"/>
      <c r="K40" s="13"/>
    </row>
    <row r="41" spans="1:17" x14ac:dyDescent="0.3">
      <c r="A41" s="13"/>
      <c r="B41" s="202"/>
      <c r="C41" s="202"/>
      <c r="D41" s="202"/>
      <c r="E41" s="202"/>
      <c r="F41" s="13"/>
      <c r="G41" s="13"/>
      <c r="H41" s="13"/>
      <c r="I41" s="13"/>
      <c r="J41" s="13"/>
      <c r="K41" s="13"/>
      <c r="Q41" s="17"/>
    </row>
    <row r="42" spans="1:17" x14ac:dyDescent="0.3">
      <c r="A42" s="13"/>
      <c r="B42" s="202"/>
      <c r="C42" s="202"/>
      <c r="D42" s="202"/>
      <c r="E42" s="202"/>
      <c r="F42" s="13"/>
      <c r="G42" s="13"/>
      <c r="H42" s="13"/>
      <c r="I42" s="13"/>
      <c r="J42" s="13"/>
      <c r="K42" s="13"/>
      <c r="Q42" s="17"/>
    </row>
    <row r="43" spans="1:17" x14ac:dyDescent="0.3">
      <c r="B43" s="29" t="s">
        <v>75</v>
      </c>
    </row>
    <row r="44" spans="1:17" ht="16.2" x14ac:dyDescent="0.3">
      <c r="B44" s="30" t="s">
        <v>40</v>
      </c>
      <c r="Q44" s="21"/>
    </row>
    <row r="47" spans="1:17" x14ac:dyDescent="0.3">
      <c r="Q47" s="17"/>
    </row>
    <row r="48" spans="1:17" x14ac:dyDescent="0.3">
      <c r="Q48" s="17"/>
    </row>
    <row r="49" spans="16:17" x14ac:dyDescent="0.3">
      <c r="Q49" s="17"/>
    </row>
    <row r="50" spans="16:17" x14ac:dyDescent="0.3">
      <c r="Q50" s="17"/>
    </row>
    <row r="51" spans="16:17" x14ac:dyDescent="0.3">
      <c r="Q51" s="17"/>
    </row>
    <row r="52" spans="16:17" x14ac:dyDescent="0.3">
      <c r="Q52" s="17"/>
    </row>
    <row r="54" spans="16:17" x14ac:dyDescent="0.3">
      <c r="Q54" s="31"/>
    </row>
    <row r="56" spans="16:17" x14ac:dyDescent="0.3">
      <c r="P56" s="32"/>
    </row>
    <row r="59" spans="16:17" x14ac:dyDescent="0.3">
      <c r="P59" s="33"/>
    </row>
    <row r="61" spans="16:17" x14ac:dyDescent="0.3">
      <c r="P61" s="21"/>
    </row>
    <row r="62" spans="16:17" x14ac:dyDescent="0.3">
      <c r="P62" s="21"/>
    </row>
    <row r="63" spans="16:17" x14ac:dyDescent="0.3">
      <c r="P63" s="17"/>
    </row>
    <row r="64" spans="16:17" ht="15.75" customHeight="1" x14ac:dyDescent="0.3">
      <c r="P64" s="21"/>
    </row>
    <row r="65" spans="16:18" x14ac:dyDescent="0.3">
      <c r="P65" s="21"/>
    </row>
    <row r="66" spans="16:18" x14ac:dyDescent="0.3">
      <c r="P66" s="21"/>
    </row>
    <row r="70" spans="16:18" x14ac:dyDescent="0.3">
      <c r="P70" s="17"/>
    </row>
    <row r="73" spans="16:18" x14ac:dyDescent="0.3">
      <c r="P73" s="31"/>
    </row>
    <row r="74" spans="16:18" x14ac:dyDescent="0.3">
      <c r="P74" s="31"/>
    </row>
    <row r="75" spans="16:18" x14ac:dyDescent="0.3">
      <c r="P75" s="17"/>
      <c r="R75" s="34"/>
    </row>
    <row r="76" spans="16:18" x14ac:dyDescent="0.3">
      <c r="P76" s="17"/>
    </row>
    <row r="77" spans="16:18" x14ac:dyDescent="0.3">
      <c r="P77" s="17"/>
    </row>
    <row r="78" spans="16:18" x14ac:dyDescent="0.3">
      <c r="P78" s="31"/>
    </row>
    <row r="79" spans="16:18" x14ac:dyDescent="0.3">
      <c r="P79" s="17"/>
    </row>
    <row r="80" spans="16:18" x14ac:dyDescent="0.3">
      <c r="P80" s="17"/>
    </row>
    <row r="81" spans="16:18" x14ac:dyDescent="0.3">
      <c r="P81" s="17"/>
    </row>
    <row r="82" spans="16:18" x14ac:dyDescent="0.3">
      <c r="P82" s="31"/>
    </row>
    <row r="83" spans="16:18" x14ac:dyDescent="0.3">
      <c r="P83" s="17"/>
    </row>
    <row r="84" spans="16:18" x14ac:dyDescent="0.3">
      <c r="P84" s="17"/>
    </row>
    <row r="85" spans="16:18" x14ac:dyDescent="0.3">
      <c r="P85" s="31"/>
    </row>
    <row r="86" spans="16:18" x14ac:dyDescent="0.3">
      <c r="P86" s="31"/>
    </row>
    <row r="87" spans="16:18" x14ac:dyDescent="0.3">
      <c r="P87" s="31"/>
    </row>
    <row r="95" spans="16:18" x14ac:dyDescent="0.3">
      <c r="R95" s="17"/>
    </row>
    <row r="97" spans="17:20" x14ac:dyDescent="0.3">
      <c r="R97" s="17"/>
    </row>
    <row r="98" spans="17:20" x14ac:dyDescent="0.3">
      <c r="R98" s="17"/>
    </row>
    <row r="101" spans="17:20" x14ac:dyDescent="0.3">
      <c r="R101" s="35"/>
    </row>
    <row r="102" spans="17:20" x14ac:dyDescent="0.3">
      <c r="R102" s="17"/>
    </row>
    <row r="104" spans="17:20" x14ac:dyDescent="0.3">
      <c r="R104" s="34"/>
    </row>
    <row r="105" spans="17:20" x14ac:dyDescent="0.3">
      <c r="R105" s="36"/>
    </row>
    <row r="106" spans="17:20" x14ac:dyDescent="0.3">
      <c r="Q106" s="17"/>
    </row>
    <row r="107" spans="17:20" x14ac:dyDescent="0.3">
      <c r="Q107" s="17"/>
    </row>
    <row r="109" spans="17:20" x14ac:dyDescent="0.3">
      <c r="Q109" s="37"/>
      <c r="R109" s="38"/>
      <c r="T109" s="38"/>
    </row>
    <row r="110" spans="17:20" x14ac:dyDescent="0.3">
      <c r="Q110" s="34"/>
      <c r="R110" s="34"/>
      <c r="S110" s="35"/>
      <c r="T110" s="34"/>
    </row>
    <row r="111" spans="17:20" x14ac:dyDescent="0.3">
      <c r="Q111" s="34"/>
      <c r="R111" s="34"/>
      <c r="S111" s="35"/>
      <c r="T111" s="34"/>
    </row>
    <row r="112" spans="17:20" x14ac:dyDescent="0.3">
      <c r="Q112" s="34"/>
      <c r="R112" s="34"/>
      <c r="S112" s="35"/>
      <c r="T112" s="34"/>
    </row>
    <row r="113" spans="16:20" x14ac:dyDescent="0.3">
      <c r="Q113" s="39"/>
      <c r="R113" s="39"/>
      <c r="S113" s="39"/>
      <c r="T113" s="39"/>
    </row>
    <row r="118" spans="16:20" x14ac:dyDescent="0.3">
      <c r="P118" s="40"/>
    </row>
    <row r="120" spans="16:20" x14ac:dyDescent="0.3">
      <c r="P120" s="21"/>
    </row>
    <row r="121" spans="16:20" x14ac:dyDescent="0.3">
      <c r="P121" s="21"/>
    </row>
    <row r="122" spans="16:20" x14ac:dyDescent="0.3">
      <c r="P122" s="21"/>
    </row>
    <row r="123" spans="16:20" x14ac:dyDescent="0.3">
      <c r="P123" s="21"/>
    </row>
    <row r="124" spans="16:20" x14ac:dyDescent="0.3">
      <c r="Q124" s="18"/>
    </row>
    <row r="127" spans="16:20" x14ac:dyDescent="0.3">
      <c r="P127" s="35"/>
      <c r="R127" s="80"/>
      <c r="S127" s="80"/>
      <c r="T127" s="41"/>
    </row>
    <row r="128" spans="16:20" x14ac:dyDescent="0.3">
      <c r="R128" s="21"/>
      <c r="S128" s="79"/>
      <c r="T128" s="21"/>
    </row>
    <row r="129" spans="15:20" x14ac:dyDescent="0.3">
      <c r="R129" s="21"/>
      <c r="S129" s="79"/>
      <c r="T129" s="21"/>
    </row>
    <row r="130" spans="15:20" x14ac:dyDescent="0.3">
      <c r="R130" s="78"/>
      <c r="S130" s="77"/>
      <c r="T130" s="21"/>
    </row>
    <row r="131" spans="15:20" x14ac:dyDescent="0.3">
      <c r="R131" s="21"/>
      <c r="S131" s="21"/>
      <c r="T131" s="21"/>
    </row>
    <row r="132" spans="15:20" x14ac:dyDescent="0.3">
      <c r="O132" s="42"/>
    </row>
  </sheetData>
  <sheetProtection algorithmName="SHA-512" hashValue="fXu2QBWNbHrns+dw4MKM/nMO/uZtPaUo7pPBmBnUxxnoDjLV3gJ4d2RCE6RUowF8jD4z4ZagsfFV24txN6FUtw==" saltValue="AFUEvX/GzWL2X0H2nKHGVg==" spinCount="100000" sheet="1" objects="1" scenarios="1" formatCells="0" formatColumns="0" formatRows="0" insertColumns="0" insertRows="0"/>
  <mergeCells count="19">
    <mergeCell ref="B30:B31"/>
    <mergeCell ref="C30:C31"/>
    <mergeCell ref="D30:D31"/>
    <mergeCell ref="B36:E42"/>
    <mergeCell ref="B18:B19"/>
    <mergeCell ref="C18:C19"/>
    <mergeCell ref="D18:D19"/>
    <mergeCell ref="B20:B25"/>
    <mergeCell ref="D20:D21"/>
    <mergeCell ref="C21:C22"/>
    <mergeCell ref="D23:D25"/>
    <mergeCell ref="A5:M6"/>
    <mergeCell ref="P7:Z13"/>
    <mergeCell ref="B9:B16"/>
    <mergeCell ref="C9:C10"/>
    <mergeCell ref="D10:D12"/>
    <mergeCell ref="C12:C13"/>
    <mergeCell ref="D14:D15"/>
    <mergeCell ref="C15:C16"/>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E7AE79-55A9-46DA-96B9-EAF04CDD5C0F}">
  <dimension ref="A1:Y81"/>
  <sheetViews>
    <sheetView zoomScale="85" zoomScaleNormal="85" zoomScaleSheetLayoutView="100" workbookViewId="0">
      <selection activeCell="B36" sqref="B36:E42"/>
    </sheetView>
  </sheetViews>
  <sheetFormatPr defaultColWidth="9.33203125" defaultRowHeight="15.6" x14ac:dyDescent="0.3"/>
  <cols>
    <col min="1" max="1" width="3.6640625" style="2" customWidth="1"/>
    <col min="2" max="2" width="39" style="2" customWidth="1"/>
    <col min="3" max="3" width="7.5546875" style="2" customWidth="1"/>
    <col min="4" max="4" width="14.6640625" style="2" customWidth="1"/>
    <col min="5" max="5" width="5.33203125" style="2" customWidth="1"/>
    <col min="6" max="6" width="10" style="2" bestFit="1" customWidth="1"/>
    <col min="7" max="7" width="9.33203125" style="2" customWidth="1"/>
    <col min="8" max="8" width="11.109375" style="2" customWidth="1"/>
    <col min="9" max="9" width="9.44140625" style="2" customWidth="1"/>
    <col min="10" max="10" width="10" style="2" bestFit="1" customWidth="1"/>
    <col min="11" max="11" width="2.6640625" style="2" customWidth="1"/>
    <col min="12" max="12" width="1" style="3" customWidth="1"/>
    <col min="13" max="13" width="4" style="55" customWidth="1"/>
    <col min="14" max="14" width="9.44140625" style="55" customWidth="1"/>
    <col min="15" max="15" width="20.44140625" style="55" customWidth="1"/>
    <col min="16" max="16" width="11.33203125" style="55" bestFit="1" customWidth="1"/>
    <col min="17" max="17" width="13.5546875" style="55" customWidth="1"/>
    <col min="18" max="18" width="15.109375" style="55" customWidth="1"/>
    <col min="19" max="19" width="14.5546875" style="55" customWidth="1"/>
    <col min="20" max="20" width="13.33203125" style="55" customWidth="1"/>
    <col min="21" max="21" width="12.33203125" style="55" customWidth="1"/>
    <col min="22" max="24" width="10.33203125" style="55" customWidth="1"/>
    <col min="25" max="25" width="1" style="43" customWidth="1"/>
    <col min="26" max="16384" width="9.33203125" style="55"/>
  </cols>
  <sheetData>
    <row r="1" spans="1:24" x14ac:dyDescent="0.3">
      <c r="A1" s="1" t="s">
        <v>136</v>
      </c>
      <c r="M1" s="1" t="s">
        <v>136</v>
      </c>
      <c r="N1" s="2"/>
      <c r="O1" s="2"/>
      <c r="P1" s="2"/>
      <c r="Q1" s="2"/>
      <c r="R1" s="2"/>
      <c r="S1" s="2"/>
      <c r="T1" s="2"/>
      <c r="U1" s="2"/>
      <c r="V1" s="2"/>
      <c r="W1" s="2"/>
      <c r="X1" s="2"/>
    </row>
    <row r="2" spans="1:24" x14ac:dyDescent="0.3">
      <c r="A2" s="1" t="s">
        <v>135</v>
      </c>
      <c r="M2" s="1" t="s">
        <v>135</v>
      </c>
      <c r="N2" s="2"/>
      <c r="O2" s="2"/>
      <c r="P2" s="2"/>
      <c r="Q2" s="2"/>
      <c r="R2" s="2"/>
      <c r="S2" s="2"/>
      <c r="T2" s="2"/>
      <c r="U2" s="2"/>
      <c r="V2" s="2"/>
      <c r="W2" s="2"/>
      <c r="X2" s="2"/>
    </row>
    <row r="3" spans="1:24" x14ac:dyDescent="0.3">
      <c r="A3" s="1" t="s">
        <v>106</v>
      </c>
      <c r="M3" s="1" t="s">
        <v>106</v>
      </c>
      <c r="N3" s="2"/>
      <c r="O3" s="2"/>
      <c r="P3" s="2"/>
      <c r="Q3" s="2"/>
      <c r="R3" s="2"/>
      <c r="S3" s="2"/>
      <c r="T3" s="2"/>
      <c r="U3" s="2"/>
      <c r="V3" s="2"/>
      <c r="W3" s="2"/>
      <c r="X3" s="2"/>
    </row>
    <row r="4" spans="1:24" x14ac:dyDescent="0.3">
      <c r="M4" s="2"/>
      <c r="N4" s="2"/>
      <c r="O4" s="2"/>
      <c r="P4" s="2"/>
      <c r="Q4" s="2"/>
      <c r="R4" s="2"/>
      <c r="S4" s="2"/>
      <c r="T4" s="2"/>
      <c r="U4" s="2"/>
      <c r="V4" s="2"/>
      <c r="W4" s="2"/>
      <c r="X4" s="2"/>
    </row>
    <row r="5" spans="1:24" ht="16.2" x14ac:dyDescent="0.35">
      <c r="A5" s="5" t="s">
        <v>48</v>
      </c>
      <c r="M5" s="5" t="s">
        <v>49</v>
      </c>
      <c r="N5" s="2"/>
      <c r="O5" s="2"/>
      <c r="P5" s="2"/>
      <c r="Q5" s="2"/>
      <c r="R5" s="2"/>
      <c r="S5" s="2"/>
      <c r="T5" s="2"/>
      <c r="U5" s="2"/>
      <c r="V5" s="2"/>
      <c r="W5" s="2"/>
      <c r="X5" s="2"/>
    </row>
    <row r="6" spans="1:24" x14ac:dyDescent="0.3">
      <c r="A6" s="47"/>
      <c r="M6" s="2"/>
      <c r="N6" s="2"/>
      <c r="O6" s="2"/>
      <c r="P6" s="2"/>
      <c r="Q6" s="2"/>
      <c r="R6" s="2"/>
      <c r="S6" s="2"/>
      <c r="T6" s="2"/>
      <c r="U6" s="2"/>
      <c r="V6" s="2"/>
      <c r="W6" s="2"/>
      <c r="X6" s="2"/>
    </row>
    <row r="7" spans="1:24" ht="15.75" customHeight="1" x14ac:dyDescent="0.3">
      <c r="A7" s="47" t="s">
        <v>50</v>
      </c>
      <c r="M7" s="2" t="s">
        <v>51</v>
      </c>
      <c r="N7" s="202" t="s">
        <v>134</v>
      </c>
      <c r="O7" s="202"/>
      <c r="P7" s="202"/>
      <c r="Q7" s="202"/>
      <c r="R7" s="202"/>
      <c r="S7" s="202"/>
      <c r="T7" s="202"/>
      <c r="U7" s="202"/>
      <c r="V7" s="202"/>
      <c r="W7" s="202"/>
      <c r="X7" s="202"/>
    </row>
    <row r="8" spans="1:24" x14ac:dyDescent="0.3">
      <c r="M8" s="2"/>
      <c r="N8" s="13"/>
      <c r="O8" s="202" t="s">
        <v>133</v>
      </c>
      <c r="P8" s="235"/>
      <c r="Q8" s="235"/>
      <c r="R8" s="235"/>
      <c r="S8" s="13"/>
      <c r="T8" s="13"/>
      <c r="U8" s="13"/>
      <c r="V8" s="13"/>
      <c r="W8" s="13"/>
      <c r="X8" s="13"/>
    </row>
    <row r="9" spans="1:24" x14ac:dyDescent="0.3">
      <c r="B9" s="54" t="s">
        <v>132</v>
      </c>
      <c r="C9" s="54"/>
      <c r="D9" s="54"/>
      <c r="E9" s="54"/>
      <c r="F9" s="54"/>
      <c r="G9" s="54"/>
      <c r="H9" s="54"/>
      <c r="I9" s="54"/>
      <c r="J9" s="54"/>
      <c r="M9" s="2"/>
      <c r="N9" s="75"/>
      <c r="O9" s="2"/>
      <c r="P9" s="2"/>
      <c r="Q9" s="2"/>
      <c r="R9" s="2"/>
      <c r="S9" s="144"/>
      <c r="T9" s="8"/>
      <c r="U9" s="8"/>
      <c r="V9" s="8"/>
      <c r="W9" s="8"/>
      <c r="X9" s="8"/>
    </row>
    <row r="10" spans="1:24" x14ac:dyDescent="0.3">
      <c r="B10" s="59"/>
      <c r="C10" s="59"/>
      <c r="D10" s="59"/>
      <c r="E10" s="59"/>
      <c r="F10" s="59"/>
      <c r="G10" s="59"/>
      <c r="H10" s="59"/>
      <c r="I10" s="59"/>
      <c r="J10" s="59"/>
      <c r="M10" s="2"/>
      <c r="N10" s="75" t="s">
        <v>127</v>
      </c>
      <c r="O10" s="2"/>
      <c r="P10" s="2"/>
      <c r="Q10" s="2"/>
      <c r="R10" s="2"/>
      <c r="S10" s="144"/>
      <c r="T10" s="8"/>
      <c r="U10" s="8"/>
      <c r="V10" s="8"/>
      <c r="W10" s="8"/>
      <c r="X10" s="8"/>
    </row>
    <row r="11" spans="1:24" x14ac:dyDescent="0.3">
      <c r="B11" s="12"/>
      <c r="C11" s="236" t="s">
        <v>131</v>
      </c>
      <c r="D11" s="237"/>
      <c r="E11" s="238"/>
      <c r="F11" s="239"/>
      <c r="G11" s="239"/>
      <c r="H11" s="239"/>
      <c r="I11" s="239"/>
      <c r="J11" s="239"/>
      <c r="M11" s="2"/>
      <c r="N11" s="75"/>
      <c r="O11" s="2"/>
      <c r="P11" s="2"/>
      <c r="Q11" s="2"/>
      <c r="R11" s="2"/>
      <c r="S11" s="147"/>
      <c r="T11" s="8"/>
      <c r="U11" s="8"/>
      <c r="V11" s="8"/>
      <c r="W11" s="8"/>
      <c r="X11" s="8"/>
    </row>
    <row r="12" spans="1:24" ht="31.2" x14ac:dyDescent="0.3">
      <c r="B12" s="12" t="s">
        <v>82</v>
      </c>
      <c r="C12" s="229">
        <v>150000</v>
      </c>
      <c r="D12" s="230"/>
      <c r="E12" s="231"/>
      <c r="F12" s="232"/>
      <c r="G12" s="232"/>
      <c r="H12" s="232"/>
      <c r="I12" s="232"/>
      <c r="J12" s="232"/>
      <c r="M12" s="2"/>
      <c r="N12" s="152" t="s">
        <v>130</v>
      </c>
      <c r="O12" s="2"/>
      <c r="P12" s="2"/>
      <c r="Q12" s="2"/>
      <c r="R12" s="2"/>
      <c r="S12" s="147"/>
      <c r="T12" s="8"/>
      <c r="U12" s="8"/>
      <c r="V12" s="8"/>
      <c r="W12" s="8"/>
      <c r="X12" s="8"/>
    </row>
    <row r="13" spans="1:24" x14ac:dyDescent="0.3">
      <c r="B13" s="11" t="s">
        <v>81</v>
      </c>
      <c r="C13" s="149">
        <v>62</v>
      </c>
      <c r="D13" s="148"/>
      <c r="E13" s="142"/>
      <c r="F13" s="61"/>
      <c r="G13" s="151"/>
      <c r="H13" s="61"/>
      <c r="I13" s="151"/>
      <c r="J13" s="61"/>
      <c r="M13" s="2"/>
      <c r="N13" s="150" t="s">
        <v>75</v>
      </c>
      <c r="O13" s="29"/>
      <c r="P13" s="29"/>
      <c r="Q13" s="29"/>
      <c r="R13" s="13"/>
      <c r="S13" s="13"/>
      <c r="T13" s="13"/>
      <c r="U13" s="13"/>
      <c r="V13" s="13"/>
      <c r="W13" s="13"/>
      <c r="X13" s="13"/>
    </row>
    <row r="14" spans="1:24" x14ac:dyDescent="0.3">
      <c r="B14" s="11" t="s">
        <v>80</v>
      </c>
      <c r="C14" s="233" t="s">
        <v>129</v>
      </c>
      <c r="D14" s="234"/>
      <c r="M14" s="2"/>
      <c r="N14" s="29"/>
      <c r="O14" s="13"/>
      <c r="P14" s="13"/>
      <c r="Q14" s="13"/>
      <c r="R14" s="13"/>
      <c r="S14" s="13"/>
      <c r="T14" s="13"/>
      <c r="U14" s="13"/>
      <c r="V14" s="13"/>
      <c r="W14" s="13"/>
      <c r="X14" s="13"/>
    </row>
    <row r="15" spans="1:24" x14ac:dyDescent="0.3">
      <c r="B15" s="11" t="s">
        <v>78</v>
      </c>
      <c r="C15" s="149">
        <v>15</v>
      </c>
      <c r="D15" s="148" t="s">
        <v>128</v>
      </c>
      <c r="M15" s="2"/>
      <c r="N15" s="133" t="s">
        <v>127</v>
      </c>
      <c r="O15" s="2"/>
      <c r="P15" s="2"/>
      <c r="Q15" s="2"/>
      <c r="R15" s="2"/>
      <c r="S15" s="147"/>
      <c r="T15" s="8"/>
      <c r="U15" s="8"/>
      <c r="V15" s="8"/>
      <c r="W15" s="8"/>
      <c r="X15" s="8"/>
    </row>
    <row r="16" spans="1:24" x14ac:dyDescent="0.3">
      <c r="B16" s="145"/>
      <c r="C16" s="144"/>
      <c r="M16" s="45"/>
      <c r="N16" s="45"/>
      <c r="O16" s="45"/>
      <c r="P16" s="45"/>
      <c r="Q16" s="45"/>
      <c r="R16" s="45"/>
      <c r="S16" s="45"/>
      <c r="T16" s="45"/>
      <c r="U16" s="45"/>
      <c r="V16" s="45"/>
      <c r="W16" s="45"/>
      <c r="X16" s="45"/>
    </row>
    <row r="17" spans="2:24" x14ac:dyDescent="0.3">
      <c r="B17" s="146" t="s">
        <v>126</v>
      </c>
      <c r="C17" s="144"/>
      <c r="M17" s="45"/>
      <c r="N17" s="45"/>
      <c r="O17" s="45" t="s">
        <v>120</v>
      </c>
      <c r="P17" s="100" t="s">
        <v>119</v>
      </c>
      <c r="Q17" s="100" t="s">
        <v>118</v>
      </c>
      <c r="R17" s="100" t="s">
        <v>117</v>
      </c>
      <c r="S17" s="45"/>
      <c r="T17" s="45"/>
      <c r="U17" s="45"/>
      <c r="V17" s="45"/>
      <c r="W17" s="45"/>
      <c r="X17" s="45"/>
    </row>
    <row r="18" spans="2:24" x14ac:dyDescent="0.3">
      <c r="B18" s="145"/>
      <c r="C18" s="144"/>
      <c r="M18" s="45"/>
      <c r="N18" s="98"/>
      <c r="O18" s="91">
        <f>C20*H20+C21*(C12-H21)</f>
        <v>2700</v>
      </c>
      <c r="P18" s="130">
        <v>0</v>
      </c>
      <c r="Q18" s="129">
        <f>C15</f>
        <v>15</v>
      </c>
      <c r="R18" s="91">
        <f>O18*(1-P18)*Q18</f>
        <v>40500</v>
      </c>
      <c r="S18" s="45"/>
      <c r="T18" s="45"/>
      <c r="U18" s="45"/>
      <c r="V18" s="45"/>
      <c r="W18" s="45"/>
      <c r="X18" s="45"/>
    </row>
    <row r="19" spans="2:24" x14ac:dyDescent="0.3">
      <c r="B19" s="9" t="s">
        <v>115</v>
      </c>
      <c r="C19" s="225" t="s">
        <v>102</v>
      </c>
      <c r="D19" s="226"/>
      <c r="E19" s="227"/>
      <c r="F19" s="227"/>
      <c r="G19" s="227"/>
      <c r="H19" s="227"/>
      <c r="I19" s="228"/>
      <c r="M19" s="45"/>
      <c r="N19" s="98"/>
      <c r="O19" s="45"/>
      <c r="P19" s="45"/>
      <c r="Q19" s="45"/>
      <c r="R19" s="45"/>
      <c r="S19" s="45"/>
      <c r="T19" s="45"/>
      <c r="U19" s="45"/>
      <c r="V19" s="45"/>
      <c r="W19" s="45"/>
      <c r="X19" s="45"/>
    </row>
    <row r="20" spans="2:24" ht="15.45" customHeight="1" x14ac:dyDescent="0.3">
      <c r="B20" s="205" t="s">
        <v>100</v>
      </c>
      <c r="C20" s="127">
        <v>1.4E-2</v>
      </c>
      <c r="D20" s="216" t="s">
        <v>125</v>
      </c>
      <c r="E20" s="217"/>
      <c r="F20" s="217"/>
      <c r="G20" s="217"/>
      <c r="H20" s="143">
        <v>50000</v>
      </c>
      <c r="I20" s="126"/>
      <c r="M20" s="45"/>
      <c r="N20" s="98"/>
      <c r="O20" s="45" t="s">
        <v>72</v>
      </c>
      <c r="P20" s="45"/>
      <c r="Q20" s="128">
        <f>R18/C12</f>
        <v>0.27</v>
      </c>
      <c r="R20" s="45"/>
      <c r="S20" s="45"/>
      <c r="T20" s="45"/>
      <c r="U20" s="45"/>
      <c r="V20" s="45"/>
      <c r="W20" s="45"/>
      <c r="X20" s="45"/>
    </row>
    <row r="21" spans="2:24" ht="15.45" customHeight="1" x14ac:dyDescent="0.3">
      <c r="B21" s="214"/>
      <c r="C21" s="142">
        <v>0.02</v>
      </c>
      <c r="D21" s="218" t="s">
        <v>124</v>
      </c>
      <c r="E21" s="219"/>
      <c r="F21" s="219"/>
      <c r="G21" s="219"/>
      <c r="H21" s="141">
        <v>50000</v>
      </c>
      <c r="I21" s="140"/>
      <c r="M21" s="45"/>
      <c r="N21" s="107"/>
      <c r="O21" s="45"/>
      <c r="P21" s="45"/>
      <c r="Q21" s="45"/>
      <c r="R21" s="106"/>
      <c r="S21" s="106"/>
      <c r="T21" s="106"/>
      <c r="U21" s="106"/>
      <c r="V21" s="45"/>
      <c r="W21" s="45"/>
      <c r="X21" s="45"/>
    </row>
    <row r="22" spans="2:24" ht="15.45" customHeight="1" x14ac:dyDescent="0.3">
      <c r="B22" s="215"/>
      <c r="C22" s="139" t="s">
        <v>113</v>
      </c>
      <c r="D22" s="138"/>
      <c r="E22" s="137"/>
      <c r="F22" s="137"/>
      <c r="G22" s="137"/>
      <c r="H22" s="136"/>
      <c r="I22" s="110"/>
      <c r="M22" s="45"/>
      <c r="N22" s="16"/>
      <c r="O22" s="104"/>
      <c r="P22" s="16"/>
      <c r="Q22" s="16"/>
      <c r="R22" s="16"/>
      <c r="S22" s="16"/>
      <c r="T22" s="132"/>
      <c r="U22" s="16"/>
      <c r="V22" s="45"/>
      <c r="W22" s="45"/>
      <c r="X22" s="45"/>
    </row>
    <row r="23" spans="2:24" x14ac:dyDescent="0.3">
      <c r="B23" s="11" t="s">
        <v>112</v>
      </c>
      <c r="C23" s="135">
        <v>0.5</v>
      </c>
      <c r="D23" s="123" t="s">
        <v>123</v>
      </c>
      <c r="E23" s="134"/>
      <c r="F23" s="123"/>
      <c r="G23" s="123"/>
      <c r="H23" s="123"/>
      <c r="I23" s="122"/>
      <c r="M23" s="45"/>
      <c r="N23" s="133" t="s">
        <v>122</v>
      </c>
      <c r="O23" s="2"/>
      <c r="P23" s="2"/>
      <c r="Q23" s="2"/>
      <c r="R23" s="2"/>
      <c r="S23" s="16"/>
      <c r="T23" s="132"/>
      <c r="U23" s="16"/>
      <c r="V23" s="45"/>
      <c r="W23" s="45"/>
      <c r="X23" s="45"/>
    </row>
    <row r="24" spans="2:24" ht="15.45" customHeight="1" x14ac:dyDescent="0.3">
      <c r="B24" s="11" t="s">
        <v>78</v>
      </c>
      <c r="C24" s="121">
        <v>2.5000000000000001E-3</v>
      </c>
      <c r="D24" s="220" t="s">
        <v>110</v>
      </c>
      <c r="E24" s="221"/>
      <c r="F24" s="120">
        <v>60</v>
      </c>
      <c r="G24" s="119"/>
      <c r="H24" s="119"/>
      <c r="I24" s="118"/>
      <c r="J24" s="75"/>
      <c r="M24" s="45"/>
      <c r="N24" s="45"/>
      <c r="O24" s="45"/>
      <c r="P24" s="45"/>
      <c r="Q24" s="45"/>
      <c r="R24" s="45"/>
      <c r="S24" s="93"/>
      <c r="T24" s="94"/>
      <c r="U24" s="94"/>
      <c r="V24" s="45"/>
      <c r="W24" s="45"/>
      <c r="X24" s="45"/>
    </row>
    <row r="25" spans="2:24" x14ac:dyDescent="0.3">
      <c r="B25" s="205" t="s">
        <v>89</v>
      </c>
      <c r="C25" s="131">
        <v>0.6</v>
      </c>
      <c r="D25" s="115" t="s">
        <v>121</v>
      </c>
      <c r="E25" s="116"/>
      <c r="F25" s="115"/>
      <c r="G25" s="114"/>
      <c r="H25" s="114"/>
      <c r="I25" s="113"/>
      <c r="J25" s="75"/>
      <c r="M25" s="45"/>
      <c r="N25" s="45"/>
      <c r="O25" s="45" t="s">
        <v>120</v>
      </c>
      <c r="P25" s="100" t="s">
        <v>119</v>
      </c>
      <c r="Q25" s="100" t="s">
        <v>118</v>
      </c>
      <c r="R25" s="100" t="s">
        <v>117</v>
      </c>
      <c r="S25" s="93"/>
      <c r="T25" s="94"/>
      <c r="U25" s="94"/>
      <c r="V25" s="45"/>
      <c r="W25" s="45"/>
      <c r="X25" s="45"/>
    </row>
    <row r="26" spans="2:24" x14ac:dyDescent="0.3">
      <c r="B26" s="215"/>
      <c r="C26" s="112" t="s">
        <v>116</v>
      </c>
      <c r="D26" s="111"/>
      <c r="E26" s="111"/>
      <c r="F26" s="111"/>
      <c r="G26" s="111"/>
      <c r="H26" s="111"/>
      <c r="I26" s="110"/>
      <c r="M26" s="45"/>
      <c r="N26" s="98"/>
      <c r="O26" s="91">
        <f>C29*C12</f>
        <v>2700</v>
      </c>
      <c r="P26" s="130">
        <f>C32*12*(F32-C13)</f>
        <v>0.18</v>
      </c>
      <c r="Q26" s="129">
        <f>C15</f>
        <v>15</v>
      </c>
      <c r="R26" s="91">
        <f>O26*(1-P26)*Q26</f>
        <v>33210</v>
      </c>
      <c r="S26" s="93"/>
      <c r="T26" s="94"/>
      <c r="U26" s="94"/>
      <c r="V26" s="45"/>
      <c r="W26" s="45"/>
      <c r="X26" s="45"/>
    </row>
    <row r="27" spans="2:24" x14ac:dyDescent="0.3">
      <c r="M27" s="45"/>
      <c r="N27" s="98"/>
      <c r="O27" s="45"/>
      <c r="P27" s="45"/>
      <c r="Q27" s="45"/>
      <c r="R27" s="45"/>
      <c r="S27" s="93"/>
      <c r="T27" s="94"/>
      <c r="U27" s="94"/>
      <c r="V27" s="45"/>
      <c r="W27" s="45"/>
      <c r="X27" s="45"/>
    </row>
    <row r="28" spans="2:24" x14ac:dyDescent="0.3">
      <c r="B28" s="9" t="s">
        <v>115</v>
      </c>
      <c r="C28" s="225" t="s">
        <v>101</v>
      </c>
      <c r="D28" s="226"/>
      <c r="E28" s="227"/>
      <c r="F28" s="227"/>
      <c r="G28" s="227"/>
      <c r="H28" s="227"/>
      <c r="I28" s="228"/>
      <c r="M28" s="45"/>
      <c r="N28" s="98"/>
      <c r="O28" s="45" t="s">
        <v>72</v>
      </c>
      <c r="P28" s="45"/>
      <c r="Q28" s="128">
        <f>R26/C12</f>
        <v>0.22140000000000001</v>
      </c>
      <c r="R28" s="45"/>
      <c r="S28" s="45"/>
      <c r="T28" s="45"/>
      <c r="U28" s="45"/>
      <c r="V28" s="45"/>
      <c r="W28" s="45"/>
      <c r="X28" s="45"/>
    </row>
    <row r="29" spans="2:24" x14ac:dyDescent="0.3">
      <c r="B29" s="205" t="s">
        <v>100</v>
      </c>
      <c r="C29" s="127">
        <v>1.7999999999999999E-2</v>
      </c>
      <c r="D29" s="216" t="s">
        <v>114</v>
      </c>
      <c r="E29" s="217"/>
      <c r="F29" s="217"/>
      <c r="G29" s="217"/>
      <c r="H29" s="217"/>
      <c r="I29" s="126"/>
      <c r="M29" s="45"/>
      <c r="N29" s="107"/>
      <c r="O29" s="45"/>
      <c r="P29" s="45"/>
      <c r="Q29" s="45"/>
      <c r="R29" s="106"/>
      <c r="S29" s="45"/>
      <c r="T29" s="45"/>
      <c r="U29" s="45"/>
      <c r="V29" s="45"/>
      <c r="W29" s="45"/>
      <c r="X29" s="45"/>
    </row>
    <row r="30" spans="2:24" ht="15.45" customHeight="1" x14ac:dyDescent="0.3">
      <c r="B30" s="215"/>
      <c r="C30" s="222" t="s">
        <v>113</v>
      </c>
      <c r="D30" s="223"/>
      <c r="E30" s="223"/>
      <c r="F30" s="223"/>
      <c r="G30" s="223"/>
      <c r="H30" s="223"/>
      <c r="I30" s="224"/>
      <c r="M30" s="45"/>
      <c r="N30" s="96"/>
      <c r="O30" s="45"/>
      <c r="P30" s="92"/>
      <c r="Q30" s="51"/>
      <c r="R30" s="97"/>
      <c r="S30" s="45"/>
      <c r="T30" s="45"/>
      <c r="U30" s="45"/>
      <c r="V30" s="45"/>
      <c r="W30" s="45"/>
      <c r="X30" s="45"/>
    </row>
    <row r="31" spans="2:24" x14ac:dyDescent="0.3">
      <c r="B31" s="11" t="s">
        <v>112</v>
      </c>
      <c r="C31" s="125">
        <v>0.02</v>
      </c>
      <c r="D31" s="123" t="s">
        <v>111</v>
      </c>
      <c r="E31" s="124"/>
      <c r="F31" s="123"/>
      <c r="G31" s="123"/>
      <c r="H31" s="123"/>
      <c r="I31" s="122"/>
      <c r="M31" s="45"/>
      <c r="N31" s="96"/>
      <c r="O31" s="45"/>
      <c r="P31" s="92"/>
      <c r="Q31" s="51"/>
      <c r="R31" s="97"/>
      <c r="S31" s="45"/>
      <c r="T31" s="45"/>
      <c r="U31" s="45"/>
      <c r="V31" s="45"/>
      <c r="W31" s="45"/>
      <c r="X31" s="45"/>
    </row>
    <row r="32" spans="2:24" x14ac:dyDescent="0.3">
      <c r="B32" s="11" t="s">
        <v>78</v>
      </c>
      <c r="C32" s="121">
        <v>5.0000000000000001E-3</v>
      </c>
      <c r="D32" s="220" t="s">
        <v>110</v>
      </c>
      <c r="E32" s="221"/>
      <c r="F32" s="120">
        <v>65</v>
      </c>
      <c r="G32" s="119"/>
      <c r="H32" s="119"/>
      <c r="I32" s="118"/>
      <c r="M32" s="45"/>
      <c r="N32" s="98"/>
      <c r="O32" s="45"/>
      <c r="P32" s="92"/>
      <c r="Q32" s="51"/>
      <c r="R32" s="97"/>
      <c r="S32" s="45"/>
      <c r="T32" s="16"/>
      <c r="U32" s="45"/>
      <c r="V32" s="45"/>
      <c r="W32" s="45"/>
      <c r="X32" s="45"/>
    </row>
    <row r="33" spans="2:24" ht="15.45" customHeight="1" x14ac:dyDescent="0.45">
      <c r="B33" s="205" t="s">
        <v>89</v>
      </c>
      <c r="C33" s="117" t="s">
        <v>109</v>
      </c>
      <c r="D33" s="114"/>
      <c r="E33" s="116"/>
      <c r="F33" s="115"/>
      <c r="G33" s="114"/>
      <c r="H33" s="114"/>
      <c r="I33" s="113"/>
      <c r="M33" s="45"/>
      <c r="N33" s="96"/>
      <c r="O33" s="45"/>
      <c r="P33" s="92"/>
      <c r="Q33" s="51"/>
      <c r="R33" s="95"/>
      <c r="S33" s="45"/>
      <c r="T33" s="16"/>
      <c r="U33" s="45"/>
      <c r="V33" s="45"/>
      <c r="W33" s="45"/>
      <c r="X33" s="45"/>
    </row>
    <row r="34" spans="2:24" ht="15.45" customHeight="1" x14ac:dyDescent="0.3">
      <c r="B34" s="215"/>
      <c r="C34" s="112" t="s">
        <v>108</v>
      </c>
      <c r="D34" s="111"/>
      <c r="E34" s="111"/>
      <c r="F34" s="111"/>
      <c r="G34" s="111"/>
      <c r="H34" s="111"/>
      <c r="I34" s="110"/>
      <c r="M34" s="45"/>
      <c r="N34" s="16"/>
      <c r="O34" s="16"/>
      <c r="P34" s="16"/>
      <c r="Q34" s="104"/>
      <c r="R34" s="16"/>
      <c r="S34" s="16"/>
      <c r="T34" s="16"/>
      <c r="U34" s="45"/>
      <c r="V34" s="45"/>
      <c r="W34" s="45"/>
      <c r="X34" s="45"/>
    </row>
    <row r="35" spans="2:24" x14ac:dyDescent="0.3">
      <c r="M35" s="45"/>
      <c r="N35" s="16"/>
      <c r="O35" s="94"/>
      <c r="P35" s="93"/>
      <c r="Q35" s="93"/>
      <c r="R35" s="94"/>
      <c r="S35" s="93"/>
      <c r="T35" s="16"/>
      <c r="U35" s="45"/>
      <c r="V35" s="45"/>
      <c r="W35" s="45"/>
      <c r="X35" s="45"/>
    </row>
    <row r="36" spans="2:24" x14ac:dyDescent="0.3">
      <c r="M36" s="45"/>
      <c r="N36" s="16"/>
      <c r="O36" s="94"/>
      <c r="P36" s="93"/>
      <c r="Q36" s="93"/>
      <c r="R36" s="94"/>
      <c r="S36" s="93"/>
      <c r="T36" s="16"/>
      <c r="U36" s="45"/>
      <c r="V36" s="45"/>
      <c r="W36" s="45"/>
      <c r="X36" s="45"/>
    </row>
    <row r="37" spans="2:24" x14ac:dyDescent="0.3">
      <c r="M37" s="45"/>
      <c r="N37" s="16"/>
      <c r="O37" s="94"/>
      <c r="P37" s="93"/>
      <c r="Q37" s="93"/>
      <c r="R37" s="94"/>
      <c r="S37" s="93"/>
      <c r="T37" s="16"/>
      <c r="U37" s="45"/>
      <c r="V37" s="45"/>
      <c r="W37" s="45"/>
      <c r="X37" s="45"/>
    </row>
    <row r="38" spans="2:24" x14ac:dyDescent="0.3">
      <c r="M38" s="45"/>
      <c r="N38" s="16"/>
      <c r="O38" s="94"/>
      <c r="P38" s="93"/>
      <c r="Q38" s="93"/>
      <c r="R38" s="94"/>
      <c r="S38" s="93"/>
      <c r="T38" s="16"/>
      <c r="U38" s="45"/>
      <c r="V38" s="45"/>
      <c r="W38" s="45"/>
      <c r="X38" s="45"/>
    </row>
    <row r="39" spans="2:24" x14ac:dyDescent="0.3">
      <c r="M39" s="45"/>
      <c r="N39" s="107"/>
      <c r="O39" s="45"/>
      <c r="P39" s="45"/>
      <c r="Q39" s="45"/>
      <c r="R39" s="45"/>
      <c r="S39" s="45"/>
      <c r="T39" s="16"/>
      <c r="U39" s="45"/>
      <c r="V39" s="45"/>
      <c r="W39" s="45"/>
      <c r="X39" s="45"/>
    </row>
    <row r="40" spans="2:24" x14ac:dyDescent="0.3">
      <c r="M40" s="45"/>
      <c r="N40" s="45"/>
      <c r="O40" s="45"/>
      <c r="P40" s="92"/>
      <c r="Q40" s="51"/>
      <c r="R40" s="91"/>
      <c r="S40" s="45"/>
      <c r="T40" s="90"/>
      <c r="U40" s="45"/>
      <c r="V40" s="45"/>
      <c r="W40" s="45"/>
      <c r="X40" s="45"/>
    </row>
    <row r="41" spans="2:24" x14ac:dyDescent="0.3">
      <c r="M41" s="45"/>
      <c r="N41" s="45"/>
      <c r="O41" s="45"/>
      <c r="P41" s="45"/>
      <c r="Q41" s="45"/>
      <c r="R41" s="45"/>
      <c r="S41" s="45"/>
      <c r="T41" s="90"/>
      <c r="U41" s="45"/>
      <c r="V41" s="45"/>
      <c r="W41" s="45"/>
      <c r="X41" s="45"/>
    </row>
    <row r="42" spans="2:24" x14ac:dyDescent="0.3">
      <c r="M42" s="45"/>
      <c r="N42" s="109"/>
      <c r="O42" s="45"/>
      <c r="P42" s="45"/>
      <c r="Q42" s="45"/>
      <c r="R42" s="45"/>
      <c r="S42" s="45"/>
      <c r="T42" s="45"/>
      <c r="U42" s="45"/>
      <c r="V42" s="45"/>
      <c r="W42" s="45"/>
      <c r="X42" s="45"/>
    </row>
    <row r="43" spans="2:24" x14ac:dyDescent="0.3">
      <c r="M43" s="45"/>
      <c r="N43" s="98"/>
      <c r="O43" s="45"/>
      <c r="P43" s="45"/>
      <c r="Q43" s="45"/>
      <c r="R43" s="45"/>
      <c r="S43" s="45"/>
      <c r="T43" s="45"/>
      <c r="U43" s="45"/>
      <c r="V43" s="45"/>
      <c r="W43" s="45"/>
      <c r="X43" s="45"/>
    </row>
    <row r="44" spans="2:24" x14ac:dyDescent="0.3">
      <c r="M44" s="45"/>
      <c r="N44" s="45"/>
      <c r="O44" s="108"/>
      <c r="P44" s="108"/>
      <c r="Q44" s="108"/>
      <c r="R44" s="108"/>
      <c r="S44" s="45"/>
      <c r="T44" s="45"/>
      <c r="U44" s="45"/>
      <c r="V44" s="45"/>
      <c r="W44" s="45"/>
      <c r="X44" s="45"/>
    </row>
    <row r="45" spans="2:24" x14ac:dyDescent="0.3">
      <c r="M45" s="45"/>
      <c r="N45" s="98"/>
      <c r="O45" s="45"/>
      <c r="P45" s="92"/>
      <c r="Q45" s="51"/>
      <c r="R45" s="97"/>
      <c r="S45" s="45"/>
      <c r="T45" s="45"/>
      <c r="U45" s="45"/>
      <c r="V45" s="45"/>
      <c r="W45" s="45"/>
      <c r="X45" s="45"/>
    </row>
    <row r="46" spans="2:24" x14ac:dyDescent="0.3">
      <c r="M46" s="45"/>
      <c r="N46" s="107"/>
      <c r="O46" s="45"/>
      <c r="P46" s="45"/>
      <c r="Q46" s="45"/>
      <c r="R46" s="106"/>
      <c r="S46" s="106"/>
      <c r="T46" s="106"/>
      <c r="U46" s="105"/>
      <c r="V46" s="45"/>
      <c r="W46" s="45"/>
      <c r="X46" s="45"/>
    </row>
    <row r="47" spans="2:24" x14ac:dyDescent="0.3">
      <c r="M47" s="45"/>
      <c r="N47" s="16"/>
      <c r="O47" s="104"/>
      <c r="P47" s="16"/>
      <c r="Q47" s="104"/>
      <c r="R47" s="16"/>
      <c r="S47" s="16"/>
      <c r="T47" s="104"/>
      <c r="U47" s="45"/>
      <c r="V47" s="45"/>
      <c r="W47" s="45"/>
      <c r="X47" s="45"/>
    </row>
    <row r="48" spans="2:24" x14ac:dyDescent="0.3">
      <c r="M48" s="45"/>
      <c r="N48" s="16"/>
      <c r="O48" s="103"/>
      <c r="P48" s="102"/>
      <c r="Q48" s="94"/>
      <c r="R48" s="94"/>
      <c r="S48" s="93"/>
      <c r="T48" s="94"/>
      <c r="U48" s="101"/>
      <c r="V48" s="45"/>
      <c r="W48" s="45"/>
      <c r="X48" s="45"/>
    </row>
    <row r="49" spans="13:24" x14ac:dyDescent="0.3">
      <c r="M49" s="45"/>
      <c r="N49" s="16"/>
      <c r="O49" s="103"/>
      <c r="P49" s="102"/>
      <c r="Q49" s="93"/>
      <c r="R49" s="94"/>
      <c r="S49" s="93"/>
      <c r="T49" s="94"/>
      <c r="U49" s="101"/>
      <c r="V49" s="45"/>
      <c r="W49" s="45"/>
      <c r="X49" s="45"/>
    </row>
    <row r="50" spans="13:24" x14ac:dyDescent="0.3">
      <c r="M50" s="45"/>
      <c r="N50" s="16"/>
      <c r="O50" s="103"/>
      <c r="P50" s="102"/>
      <c r="Q50" s="93"/>
      <c r="R50" s="94"/>
      <c r="S50" s="93"/>
      <c r="T50" s="94"/>
      <c r="U50" s="101"/>
      <c r="V50" s="45"/>
      <c r="W50" s="45"/>
      <c r="X50" s="45"/>
    </row>
    <row r="51" spans="13:24" x14ac:dyDescent="0.3">
      <c r="M51" s="45"/>
      <c r="N51" s="16"/>
      <c r="O51" s="103"/>
      <c r="P51" s="102"/>
      <c r="Q51" s="93"/>
      <c r="R51" s="94"/>
      <c r="S51" s="93"/>
      <c r="T51" s="94"/>
      <c r="U51" s="101"/>
      <c r="V51" s="45"/>
      <c r="W51" s="45"/>
      <c r="X51" s="45"/>
    </row>
    <row r="52" spans="13:24" x14ac:dyDescent="0.3">
      <c r="M52" s="45"/>
      <c r="N52" s="45"/>
      <c r="O52" s="45"/>
      <c r="P52" s="100"/>
      <c r="Q52" s="45"/>
      <c r="R52" s="99"/>
      <c r="S52" s="45"/>
      <c r="T52" s="45"/>
      <c r="U52" s="45"/>
      <c r="V52" s="45"/>
      <c r="W52" s="45"/>
      <c r="X52" s="45"/>
    </row>
    <row r="53" spans="13:24" x14ac:dyDescent="0.3">
      <c r="M53" s="45"/>
      <c r="N53" s="45"/>
      <c r="O53" s="45"/>
      <c r="P53" s="92"/>
      <c r="Q53" s="51"/>
      <c r="R53" s="91"/>
      <c r="S53" s="45"/>
      <c r="T53" s="45"/>
      <c r="U53" s="45"/>
      <c r="V53" s="45"/>
      <c r="W53" s="45"/>
      <c r="X53" s="45"/>
    </row>
    <row r="54" spans="13:24" x14ac:dyDescent="0.3">
      <c r="M54" s="45"/>
      <c r="N54" s="45"/>
      <c r="O54" s="45"/>
      <c r="P54" s="45"/>
      <c r="Q54" s="45"/>
      <c r="R54" s="45"/>
      <c r="S54" s="45"/>
      <c r="T54" s="45"/>
      <c r="U54" s="45"/>
      <c r="V54" s="45"/>
      <c r="W54" s="45"/>
      <c r="X54" s="45"/>
    </row>
    <row r="55" spans="13:24" x14ac:dyDescent="0.3">
      <c r="M55" s="45"/>
      <c r="N55" s="98"/>
      <c r="O55" s="45"/>
      <c r="P55" s="92"/>
      <c r="Q55" s="51"/>
      <c r="R55" s="97"/>
      <c r="S55" s="45"/>
      <c r="T55" s="45"/>
      <c r="U55" s="45"/>
      <c r="V55" s="45"/>
      <c r="W55" s="45"/>
      <c r="X55" s="45"/>
    </row>
    <row r="56" spans="13:24" ht="17.399999999999999" x14ac:dyDescent="0.45">
      <c r="M56" s="45"/>
      <c r="N56" s="96"/>
      <c r="O56" s="45"/>
      <c r="P56" s="92"/>
      <c r="Q56" s="51"/>
      <c r="R56" s="95"/>
      <c r="S56" s="45"/>
      <c r="T56" s="16"/>
      <c r="U56" s="45"/>
      <c r="V56" s="45"/>
      <c r="W56" s="45"/>
      <c r="X56" s="45"/>
    </row>
    <row r="57" spans="13:24" x14ac:dyDescent="0.3">
      <c r="M57" s="45"/>
      <c r="N57" s="16"/>
      <c r="O57" s="16"/>
      <c r="P57" s="16"/>
      <c r="Q57" s="16"/>
      <c r="R57" s="16"/>
      <c r="S57" s="45"/>
      <c r="T57" s="16"/>
      <c r="U57" s="45"/>
      <c r="V57" s="45"/>
      <c r="W57" s="45"/>
      <c r="X57" s="45"/>
    </row>
    <row r="58" spans="13:24" x14ac:dyDescent="0.3">
      <c r="M58" s="45"/>
      <c r="N58" s="16"/>
      <c r="O58" s="94"/>
      <c r="P58" s="93"/>
      <c r="Q58" s="94"/>
      <c r="R58" s="93"/>
      <c r="S58" s="45"/>
      <c r="T58" s="16"/>
      <c r="U58" s="45"/>
      <c r="V58" s="45"/>
      <c r="W58" s="45"/>
      <c r="X58" s="45"/>
    </row>
    <row r="59" spans="13:24" x14ac:dyDescent="0.3">
      <c r="M59" s="45"/>
      <c r="N59" s="16"/>
      <c r="O59" s="94"/>
      <c r="P59" s="93"/>
      <c r="Q59" s="94"/>
      <c r="R59" s="93"/>
      <c r="S59" s="45"/>
      <c r="T59" s="16"/>
      <c r="U59" s="45"/>
      <c r="V59" s="45"/>
      <c r="W59" s="45"/>
      <c r="X59" s="45"/>
    </row>
    <row r="60" spans="13:24" x14ac:dyDescent="0.3">
      <c r="M60" s="45"/>
      <c r="N60" s="16"/>
      <c r="O60" s="94"/>
      <c r="P60" s="93"/>
      <c r="Q60" s="94"/>
      <c r="R60" s="93"/>
      <c r="S60" s="45"/>
      <c r="T60" s="16"/>
      <c r="U60" s="45"/>
      <c r="V60" s="45"/>
      <c r="W60" s="45"/>
      <c r="X60" s="45"/>
    </row>
    <row r="61" spans="13:24" x14ac:dyDescent="0.3">
      <c r="M61" s="45"/>
      <c r="N61" s="16"/>
      <c r="O61" s="94"/>
      <c r="P61" s="93"/>
      <c r="Q61" s="94"/>
      <c r="R61" s="93"/>
      <c r="S61" s="45"/>
      <c r="T61" s="16"/>
      <c r="U61" s="45"/>
      <c r="V61" s="45"/>
      <c r="W61" s="45"/>
      <c r="X61" s="45"/>
    </row>
    <row r="62" spans="13:24" x14ac:dyDescent="0.3">
      <c r="M62" s="45"/>
      <c r="N62" s="45"/>
      <c r="O62" s="45"/>
      <c r="P62" s="45"/>
      <c r="Q62" s="45"/>
      <c r="R62" s="45"/>
      <c r="S62" s="45"/>
      <c r="T62" s="16"/>
      <c r="U62" s="45"/>
      <c r="V62" s="45"/>
      <c r="W62" s="45"/>
      <c r="X62" s="45"/>
    </row>
    <row r="63" spans="13:24" x14ac:dyDescent="0.3">
      <c r="M63" s="45"/>
      <c r="N63" s="45"/>
      <c r="O63" s="45"/>
      <c r="P63" s="92"/>
      <c r="Q63" s="51"/>
      <c r="R63" s="91"/>
      <c r="S63" s="45"/>
      <c r="T63" s="16"/>
      <c r="U63" s="45"/>
      <c r="V63" s="45"/>
      <c r="W63" s="45"/>
      <c r="X63" s="45"/>
    </row>
    <row r="64" spans="13:24" x14ac:dyDescent="0.3">
      <c r="M64" s="45"/>
      <c r="N64" s="45"/>
      <c r="O64" s="45"/>
      <c r="P64" s="45"/>
      <c r="Q64" s="45"/>
      <c r="R64" s="45"/>
      <c r="S64" s="45"/>
      <c r="T64" s="16"/>
      <c r="U64" s="45"/>
      <c r="V64" s="45"/>
      <c r="W64" s="45"/>
      <c r="X64" s="45"/>
    </row>
    <row r="65" spans="13:24" x14ac:dyDescent="0.3">
      <c r="M65" s="45"/>
      <c r="N65" s="45"/>
      <c r="O65" s="45"/>
      <c r="P65" s="45"/>
      <c r="Q65" s="45"/>
      <c r="R65" s="45"/>
      <c r="S65" s="45"/>
      <c r="T65" s="90"/>
      <c r="U65" s="45"/>
      <c r="V65" s="45"/>
      <c r="W65" s="45"/>
      <c r="X65" s="45"/>
    </row>
    <row r="66" spans="13:24" x14ac:dyDescent="0.3">
      <c r="M66" s="45"/>
      <c r="N66" s="45"/>
      <c r="O66" s="45"/>
      <c r="P66" s="45"/>
      <c r="Q66" s="45"/>
      <c r="R66" s="45"/>
      <c r="S66" s="45"/>
      <c r="T66" s="90"/>
      <c r="U66" s="45"/>
      <c r="V66" s="45"/>
      <c r="W66" s="45"/>
      <c r="X66" s="45"/>
    </row>
    <row r="67" spans="13:24" x14ac:dyDescent="0.3">
      <c r="M67" s="45"/>
      <c r="N67" s="45"/>
      <c r="O67" s="45"/>
      <c r="P67" s="45"/>
      <c r="Q67" s="45"/>
      <c r="R67" s="45"/>
      <c r="S67" s="45"/>
      <c r="T67" s="45"/>
      <c r="U67" s="45"/>
      <c r="V67" s="45"/>
      <c r="W67" s="45"/>
      <c r="X67" s="45"/>
    </row>
    <row r="68" spans="13:24" x14ac:dyDescent="0.3">
      <c r="M68" s="45"/>
      <c r="N68" s="45"/>
      <c r="O68" s="45"/>
      <c r="P68" s="45"/>
      <c r="Q68" s="45"/>
      <c r="R68" s="45"/>
      <c r="S68" s="45"/>
      <c r="T68" s="45"/>
      <c r="U68" s="45"/>
      <c r="V68" s="45"/>
      <c r="W68" s="45"/>
      <c r="X68" s="45"/>
    </row>
    <row r="69" spans="13:24" x14ac:dyDescent="0.3">
      <c r="M69" s="45"/>
      <c r="N69" s="45"/>
      <c r="O69" s="45"/>
      <c r="P69" s="45"/>
      <c r="Q69" s="45"/>
      <c r="R69" s="45"/>
      <c r="S69" s="45"/>
      <c r="T69" s="45"/>
      <c r="U69" s="45"/>
      <c r="V69" s="45"/>
      <c r="W69" s="45"/>
      <c r="X69" s="45"/>
    </row>
    <row r="70" spans="13:24" x14ac:dyDescent="0.3">
      <c r="M70" s="45"/>
      <c r="N70" s="45"/>
      <c r="O70" s="45"/>
      <c r="P70" s="45"/>
      <c r="Q70" s="45"/>
      <c r="R70" s="45"/>
      <c r="S70" s="45"/>
      <c r="T70" s="45"/>
      <c r="U70" s="45"/>
      <c r="V70" s="45"/>
      <c r="W70" s="45"/>
      <c r="X70" s="45"/>
    </row>
    <row r="71" spans="13:24" x14ac:dyDescent="0.3">
      <c r="M71" s="45"/>
      <c r="N71" s="45"/>
      <c r="O71" s="45"/>
      <c r="P71" s="45"/>
      <c r="Q71" s="45"/>
      <c r="R71" s="45"/>
      <c r="S71" s="45"/>
      <c r="T71" s="45"/>
      <c r="U71" s="45"/>
      <c r="V71" s="45"/>
      <c r="W71" s="45"/>
      <c r="X71" s="45"/>
    </row>
    <row r="72" spans="13:24" x14ac:dyDescent="0.3">
      <c r="M72" s="45"/>
      <c r="N72" s="45"/>
      <c r="O72" s="45"/>
      <c r="P72" s="45"/>
      <c r="Q72" s="45"/>
      <c r="R72" s="45"/>
      <c r="S72" s="45"/>
      <c r="T72" s="45"/>
      <c r="U72" s="45"/>
      <c r="V72" s="45"/>
      <c r="W72" s="45"/>
      <c r="X72" s="45"/>
    </row>
    <row r="73" spans="13:24" x14ac:dyDescent="0.3">
      <c r="M73" s="45"/>
      <c r="N73" s="45"/>
      <c r="O73" s="45"/>
      <c r="P73" s="45"/>
      <c r="Q73" s="45"/>
      <c r="R73" s="45"/>
      <c r="S73" s="45"/>
      <c r="T73" s="45"/>
      <c r="U73" s="45"/>
      <c r="V73" s="45"/>
      <c r="W73" s="45"/>
      <c r="X73" s="45"/>
    </row>
    <row r="74" spans="13:24" x14ac:dyDescent="0.3">
      <c r="M74" s="45"/>
      <c r="N74" s="45"/>
      <c r="O74" s="45"/>
      <c r="P74" s="45"/>
      <c r="Q74" s="45"/>
      <c r="R74" s="45"/>
      <c r="S74" s="45"/>
      <c r="T74" s="45"/>
      <c r="U74" s="45"/>
      <c r="V74" s="45"/>
      <c r="W74" s="45"/>
      <c r="X74" s="45"/>
    </row>
    <row r="75" spans="13:24" x14ac:dyDescent="0.3">
      <c r="M75" s="45"/>
      <c r="N75" s="45"/>
      <c r="O75" s="45"/>
      <c r="P75" s="45"/>
      <c r="Q75" s="45"/>
      <c r="R75" s="45"/>
      <c r="S75" s="45"/>
      <c r="T75" s="45"/>
      <c r="U75" s="45"/>
      <c r="V75" s="45"/>
      <c r="W75" s="45"/>
      <c r="X75" s="45"/>
    </row>
    <row r="76" spans="13:24" x14ac:dyDescent="0.3">
      <c r="M76" s="45"/>
      <c r="N76" s="45"/>
      <c r="O76" s="45"/>
      <c r="P76" s="45"/>
      <c r="Q76" s="45"/>
      <c r="R76" s="45"/>
      <c r="S76" s="45"/>
      <c r="T76" s="45"/>
      <c r="U76" s="45"/>
      <c r="V76" s="45"/>
      <c r="W76" s="45"/>
      <c r="X76" s="45"/>
    </row>
    <row r="77" spans="13:24" x14ac:dyDescent="0.3">
      <c r="M77" s="45"/>
      <c r="N77" s="45"/>
      <c r="O77" s="45"/>
      <c r="P77" s="45"/>
      <c r="Q77" s="45"/>
      <c r="R77" s="45"/>
      <c r="S77" s="45"/>
      <c r="T77" s="45"/>
      <c r="U77" s="45"/>
      <c r="V77" s="45"/>
      <c r="W77" s="45"/>
      <c r="X77" s="45"/>
    </row>
    <row r="78" spans="13:24" x14ac:dyDescent="0.3">
      <c r="M78" s="45"/>
      <c r="N78" s="45"/>
      <c r="O78" s="45"/>
      <c r="P78" s="45"/>
      <c r="Q78" s="45"/>
      <c r="R78" s="45"/>
      <c r="S78" s="45"/>
      <c r="T78" s="45"/>
      <c r="U78" s="45"/>
      <c r="V78" s="45"/>
      <c r="W78" s="45"/>
      <c r="X78" s="45"/>
    </row>
    <row r="79" spans="13:24" x14ac:dyDescent="0.3">
      <c r="M79" s="45"/>
      <c r="N79" s="45"/>
      <c r="O79" s="45"/>
      <c r="P79" s="45"/>
      <c r="Q79" s="45"/>
      <c r="R79" s="45"/>
      <c r="S79" s="45"/>
      <c r="T79" s="45"/>
      <c r="U79" s="45"/>
      <c r="V79" s="45"/>
      <c r="W79" s="45"/>
      <c r="X79" s="45"/>
    </row>
    <row r="80" spans="13:24" x14ac:dyDescent="0.3">
      <c r="M80" s="45"/>
      <c r="N80" s="45"/>
      <c r="O80" s="45"/>
      <c r="P80" s="45"/>
      <c r="Q80" s="45"/>
      <c r="R80" s="45"/>
      <c r="S80" s="45"/>
      <c r="T80" s="45"/>
      <c r="U80" s="45"/>
      <c r="V80" s="45"/>
      <c r="W80" s="45"/>
      <c r="X80" s="45"/>
    </row>
    <row r="81" spans="13:24" x14ac:dyDescent="0.3">
      <c r="M81" s="45"/>
      <c r="N81" s="45"/>
      <c r="O81" s="45"/>
      <c r="P81" s="45"/>
      <c r="Q81" s="45"/>
      <c r="R81" s="45"/>
      <c r="S81" s="45"/>
      <c r="T81" s="45"/>
      <c r="U81" s="45"/>
      <c r="V81" s="45"/>
      <c r="W81" s="45"/>
      <c r="X81" s="45"/>
    </row>
  </sheetData>
  <sheetProtection formatCells="0" formatColumns="0" formatRows="0" insertColumns="0" insertRows="0"/>
  <mergeCells count="23">
    <mergeCell ref="N7:X7"/>
    <mergeCell ref="O8:R8"/>
    <mergeCell ref="C11:D11"/>
    <mergeCell ref="E11:F11"/>
    <mergeCell ref="G11:H11"/>
    <mergeCell ref="I11:J11"/>
    <mergeCell ref="C28:I28"/>
    <mergeCell ref="C12:D12"/>
    <mergeCell ref="E12:F12"/>
    <mergeCell ref="G12:H12"/>
    <mergeCell ref="I12:J12"/>
    <mergeCell ref="C14:D14"/>
    <mergeCell ref="C19:I19"/>
    <mergeCell ref="B29:B30"/>
    <mergeCell ref="D29:H29"/>
    <mergeCell ref="C30:I30"/>
    <mergeCell ref="D32:E32"/>
    <mergeCell ref="B33:B34"/>
    <mergeCell ref="B20:B22"/>
    <mergeCell ref="D20:G20"/>
    <mergeCell ref="D21:G21"/>
    <mergeCell ref="D24:E24"/>
    <mergeCell ref="B25:B26"/>
  </mergeCells>
  <pageMargins left="0.7" right="0.7" top="0.75" bottom="0.75" header="0.3" footer="0.3"/>
  <pageSetup scale="68" orientation="portrait" horizontalDpi="4294967293"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6AE639BB4E74542A43DE6E767DBCE18" ma:contentTypeVersion="11" ma:contentTypeDescription="Create a new document." ma:contentTypeScope="" ma:versionID="681f7fff1efaa5d4527fe8ca50b73cf7">
  <xsd:schema xmlns:xsd="http://www.w3.org/2001/XMLSchema" xmlns:xs="http://www.w3.org/2001/XMLSchema" xmlns:p="http://schemas.microsoft.com/office/2006/metadata/properties" xmlns:ns2="2a829cb1-c3bd-48aa-b101-cd51227f80d0" xmlns:ns3="c264fd13-c93d-4e63-9fb0-02334996df4b" targetNamespace="http://schemas.microsoft.com/office/2006/metadata/properties" ma:root="true" ma:fieldsID="e809d16dd66263efebf52ef89ed394f9" ns2:_="" ns3:_="">
    <xsd:import namespace="2a829cb1-c3bd-48aa-b101-cd51227f80d0"/>
    <xsd:import namespace="c264fd13-c93d-4e63-9fb0-02334996df4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a829cb1-c3bd-48aa-b101-cd51227f80d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5267e5f2-3cc9-4b2c-97a9-20aec386c2b0"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264fd13-c93d-4e63-9fb0-02334996df4b"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cda015f8-e9b6-4fc3-9b4e-646117ef80f2}" ma:internalName="TaxCatchAll" ma:showField="CatchAllData" ma:web="c264fd13-c93d-4e63-9fb0-02334996df4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c264fd13-c93d-4e63-9fb0-02334996df4b" xsi:nil="true"/>
    <lcf76f155ced4ddcb4097134ff3c332f xmlns="2a829cb1-c3bd-48aa-b101-cd51227f80d0">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E64919F7-207E-4A63-8DDF-E5BDAA57617A}"/>
</file>

<file path=customXml/itemProps2.xml><?xml version="1.0" encoding="utf-8"?>
<ds:datastoreItem xmlns:ds="http://schemas.openxmlformats.org/officeDocument/2006/customXml" ds:itemID="{BD2CDFEE-B0CE-44D8-ACB2-79D4B5A61CA2}"/>
</file>

<file path=customXml/itemProps3.xml><?xml version="1.0" encoding="utf-8"?>
<ds:datastoreItem xmlns:ds="http://schemas.openxmlformats.org/officeDocument/2006/customXml" ds:itemID="{DAFFD6A4-2923-449A-9395-029B22274E0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Cover </vt:lpstr>
      <vt:lpstr>RET 101 LO 1</vt:lpstr>
      <vt:lpstr>DAC-Fall22-Q8</vt:lpstr>
      <vt:lpstr>DAC-Fall22-Q8Ans</vt:lpstr>
      <vt:lpstr>DAU-Spring24-Q4</vt:lpstr>
      <vt:lpstr>DAU-Spring24-Q4Ans</vt:lpstr>
      <vt:lpstr>RET 101 LO 2</vt:lpstr>
      <vt:lpstr>DAC-Fall21-Q10</vt:lpstr>
      <vt:lpstr>DAC-Fall21-Q10Ans</vt:lpstr>
      <vt:lpstr>DAC-Spring24-Q10</vt:lpstr>
      <vt:lpstr>DAC-Spring24-Q10Ans</vt:lpstr>
      <vt:lpstr>RET 101 LO 4</vt:lpstr>
      <vt:lpstr>DAC-Fall21-Q4</vt:lpstr>
      <vt:lpstr>DAC-Fall21-Q4Ans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Vanderweide (Fiscal Research)</dc:creator>
  <cp:lastModifiedBy>Douglas Norris</cp:lastModifiedBy>
  <dcterms:created xsi:type="dcterms:W3CDTF">2025-06-05T17:55:50Z</dcterms:created>
  <dcterms:modified xsi:type="dcterms:W3CDTF">2025-06-27T21:13:00Z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0x010100F6AE639BB4E74542A43DE6E767DBCE18</vt:lpwstr>
  </property>
</Properties>
</file>