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602" documentId="11_F25DC773A252ABDACC1048E089DE79AE5ADE58ED" xr6:coauthVersionLast="47" xr6:coauthVersionMax="47" xr10:uidLastSave="{5952F583-51D1-4D8F-84C8-FA244B820C01}"/>
  <bookViews>
    <workbookView xWindow="28680" yWindow="-120" windowWidth="38640" windowHeight="21120" xr2:uid="{00000000-000D-0000-FFFF-FFFF00000000}"/>
  </bookViews>
  <sheets>
    <sheet name="Cover " sheetId="39" r:id="rId1"/>
    <sheet name="Q! LO 1a Allen Ch 3" sheetId="2" r:id="rId2"/>
    <sheet name="A1" sheetId="22" r:id="rId3"/>
    <sheet name="Q3 LO 2a 2d McGill Ch 9" sheetId="25" r:id="rId4"/>
    <sheet name="A3" sheetId="26" r:id="rId5"/>
    <sheet name="Q4 LO 1b RET101-101-25" sheetId="27" r:id="rId6"/>
    <sheet name="A4" sheetId="28" r:id="rId7"/>
    <sheet name="Q5 LO 1c RET101-107-25" sheetId="29" r:id="rId8"/>
    <sheet name="A5" sheetId="30" r:id="rId9"/>
    <sheet name="Q6 LO 2b RET101-111-25" sheetId="31" r:id="rId10"/>
    <sheet name="A6" sheetId="32" r:id="rId11"/>
    <sheet name="Q8 LO 4a-4n Morneau Shep Ch 14" sheetId="35" r:id="rId12"/>
    <sheet name="A8" sheetId="38" r:id="rId13"/>
    <sheet name="Q9 LO 4a-4n RET101-115-25" sheetId="36" r:id="rId14"/>
    <sheet name="A9" sheetId="37" r:id="rId15"/>
  </sheets>
  <externalReferences>
    <externalReference r:id="rId16"/>
    <externalReference r:id="rId17"/>
  </externalReferences>
  <definedNames>
    <definedName name="Allocations">#REF!</definedName>
    <definedName name="Non_Fac">'[1]User Input'!$C$74</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38" l="1"/>
  <c r="K61" i="38" s="1"/>
  <c r="K62" i="38" s="1"/>
  <c r="J60" i="38"/>
  <c r="C60" i="38"/>
  <c r="C61" i="38" s="1"/>
  <c r="J38" i="38"/>
  <c r="K38" i="38" s="1"/>
  <c r="I38" i="38"/>
  <c r="I60" i="38" s="1"/>
  <c r="I61" i="38" s="1"/>
  <c r="C38" i="38"/>
  <c r="E38" i="38" s="1"/>
  <c r="B38" i="38"/>
  <c r="B60" i="38" s="1"/>
  <c r="E60" i="38" s="1"/>
  <c r="F60" i="38" s="1"/>
  <c r="G60" i="38" s="1"/>
  <c r="A38" i="38"/>
  <c r="A60" i="38" s="1"/>
  <c r="A61" i="38" s="1"/>
  <c r="A62" i="38" s="1"/>
  <c r="A63" i="38" s="1"/>
  <c r="A64" i="38" s="1"/>
  <c r="A65" i="38" s="1"/>
  <c r="A66" i="38" s="1"/>
  <c r="A67" i="38" s="1"/>
  <c r="A68" i="38" s="1"/>
  <c r="A69" i="38" s="1"/>
  <c r="A70" i="38" s="1"/>
  <c r="A71" i="38" s="1"/>
  <c r="A72" i="38" s="1"/>
  <c r="A73" i="38" s="1"/>
  <c r="A74" i="38" s="1"/>
  <c r="L60" i="38" l="1"/>
  <c r="M60" i="38" s="1"/>
  <c r="N60" i="38" s="1"/>
  <c r="O60" i="38" s="1"/>
  <c r="I62" i="38"/>
  <c r="J61" i="38"/>
  <c r="L38" i="38"/>
  <c r="M38" i="38"/>
  <c r="C62" i="38"/>
  <c r="D61" i="38"/>
  <c r="K63" i="38"/>
  <c r="L62" i="38"/>
  <c r="A39" i="38"/>
  <c r="L61" i="38"/>
  <c r="D60" i="38"/>
  <c r="B39" i="38"/>
  <c r="I39" i="38"/>
  <c r="J39" i="38"/>
  <c r="J40" i="38" s="1"/>
  <c r="J41" i="38" s="1"/>
  <c r="J42" i="38" s="1"/>
  <c r="J43" i="38" s="1"/>
  <c r="J44" i="38" s="1"/>
  <c r="J45" i="38" s="1"/>
  <c r="J46" i="38" s="1"/>
  <c r="J47" i="38" s="1"/>
  <c r="J48" i="38" s="1"/>
  <c r="J49" i="38" s="1"/>
  <c r="J50" i="38" s="1"/>
  <c r="J51" i="38" s="1"/>
  <c r="J52" i="38" s="1"/>
  <c r="D38" i="38"/>
  <c r="F38" i="38" s="1"/>
  <c r="K64" i="38" l="1"/>
  <c r="L63" i="38"/>
  <c r="C39" i="38"/>
  <c r="D39" i="38" s="1"/>
  <c r="E39" i="38" s="1"/>
  <c r="A40" i="38"/>
  <c r="K39" i="38"/>
  <c r="L39" i="38" s="1"/>
  <c r="M39" i="38" s="1"/>
  <c r="I40" i="38"/>
  <c r="B61" i="38"/>
  <c r="E61" i="38" s="1"/>
  <c r="B40" i="38"/>
  <c r="D62" i="38"/>
  <c r="C63" i="38"/>
  <c r="N38" i="38"/>
  <c r="N39" i="38" s="1"/>
  <c r="M61" i="38"/>
  <c r="I63" i="38"/>
  <c r="J62" i="38"/>
  <c r="M62" i="38" s="1"/>
  <c r="N62" i="38" s="1"/>
  <c r="B41" i="38" l="1"/>
  <c r="B62" i="38"/>
  <c r="E62" i="38" s="1"/>
  <c r="F62" i="38" s="1"/>
  <c r="K40" i="38"/>
  <c r="L40" i="38" s="1"/>
  <c r="M40" i="38" s="1"/>
  <c r="I41" i="38"/>
  <c r="F39" i="38"/>
  <c r="F61" i="38"/>
  <c r="G61" i="38"/>
  <c r="G62" i="38" s="1"/>
  <c r="C40" i="38"/>
  <c r="D40" i="38" s="1"/>
  <c r="E40" i="38" s="1"/>
  <c r="A41" i="38"/>
  <c r="N40" i="38"/>
  <c r="C64" i="38"/>
  <c r="D63" i="38"/>
  <c r="I64" i="38"/>
  <c r="J63" i="38"/>
  <c r="M63" i="38" s="1"/>
  <c r="N63" i="38" s="1"/>
  <c r="N61" i="38"/>
  <c r="O61" i="38"/>
  <c r="O62" i="38" s="1"/>
  <c r="K65" i="38"/>
  <c r="L64" i="38"/>
  <c r="C41" i="38" l="1"/>
  <c r="D41" i="38" s="1"/>
  <c r="E41" i="38" s="1"/>
  <c r="A42" i="38"/>
  <c r="C65" i="38"/>
  <c r="D64" i="38"/>
  <c r="F40" i="38"/>
  <c r="K66" i="38"/>
  <c r="L65" i="38"/>
  <c r="O63" i="38"/>
  <c r="K41" i="38"/>
  <c r="L41" i="38" s="1"/>
  <c r="M41" i="38" s="1"/>
  <c r="I42" i="38"/>
  <c r="I65" i="38"/>
  <c r="J64" i="38"/>
  <c r="M64" i="38" s="1"/>
  <c r="N64" i="38" s="1"/>
  <c r="B63" i="38"/>
  <c r="E63" i="38" s="1"/>
  <c r="F63" i="38" s="1"/>
  <c r="B42" i="38"/>
  <c r="O64" i="38" l="1"/>
  <c r="K67" i="38"/>
  <c r="L66" i="38"/>
  <c r="G63" i="38"/>
  <c r="F41" i="38"/>
  <c r="B43" i="38"/>
  <c r="B64" i="38"/>
  <c r="E64" i="38" s="1"/>
  <c r="F64" i="38" s="1"/>
  <c r="D65" i="38"/>
  <c r="C66" i="38"/>
  <c r="N41" i="38"/>
  <c r="C42" i="38"/>
  <c r="D42" i="38" s="1"/>
  <c r="E42" i="38" s="1"/>
  <c r="A43" i="38"/>
  <c r="K42" i="38"/>
  <c r="L42" i="38" s="1"/>
  <c r="M42" i="38" s="1"/>
  <c r="I43" i="38"/>
  <c r="I66" i="38"/>
  <c r="J65" i="38"/>
  <c r="M65" i="38" s="1"/>
  <c r="N65" i="38" s="1"/>
  <c r="N42" i="38" l="1"/>
  <c r="C67" i="38"/>
  <c r="D66" i="38"/>
  <c r="B65" i="38"/>
  <c r="E65" i="38" s="1"/>
  <c r="F65" i="38" s="1"/>
  <c r="B44" i="38"/>
  <c r="C43" i="38"/>
  <c r="D43" i="38" s="1"/>
  <c r="E43" i="38" s="1"/>
  <c r="A44" i="38"/>
  <c r="F42" i="38"/>
  <c r="F43" i="38" s="1"/>
  <c r="O65" i="38"/>
  <c r="G64" i="38"/>
  <c r="I67" i="38"/>
  <c r="J66" i="38"/>
  <c r="M66" i="38" s="1"/>
  <c r="N66" i="38" s="1"/>
  <c r="K43" i="38"/>
  <c r="L43" i="38" s="1"/>
  <c r="M43" i="38" s="1"/>
  <c r="I44" i="38"/>
  <c r="L67" i="38"/>
  <c r="K68" i="38"/>
  <c r="G65" i="38" l="1"/>
  <c r="O66" i="38"/>
  <c r="C44" i="38"/>
  <c r="D44" i="38" s="1"/>
  <c r="E44" i="38" s="1"/>
  <c r="A45" i="38"/>
  <c r="I68" i="38"/>
  <c r="J67" i="38"/>
  <c r="M67" i="38" s="1"/>
  <c r="N67" i="38" s="1"/>
  <c r="K44" i="38"/>
  <c r="L44" i="38" s="1"/>
  <c r="M44" i="38" s="1"/>
  <c r="I45" i="38"/>
  <c r="C68" i="38"/>
  <c r="D67" i="38"/>
  <c r="G66" i="38"/>
  <c r="B45" i="38"/>
  <c r="B66" i="38"/>
  <c r="E66" i="38" s="1"/>
  <c r="F66" i="38" s="1"/>
  <c r="K69" i="38"/>
  <c r="L68" i="38"/>
  <c r="N43" i="38"/>
  <c r="F44" i="38" l="1"/>
  <c r="I69" i="38"/>
  <c r="J68" i="38"/>
  <c r="M68" i="38" s="1"/>
  <c r="N68" i="38" s="1"/>
  <c r="K45" i="38"/>
  <c r="L45" i="38" s="1"/>
  <c r="M45" i="38" s="1"/>
  <c r="I46" i="38"/>
  <c r="N44" i="38"/>
  <c r="N45" i="38" s="1"/>
  <c r="C45" i="38"/>
  <c r="D45" i="38" s="1"/>
  <c r="E45" i="38" s="1"/>
  <c r="A46" i="38"/>
  <c r="B46" i="38"/>
  <c r="B67" i="38"/>
  <c r="E67" i="38" s="1"/>
  <c r="F67" i="38" s="1"/>
  <c r="D68" i="38"/>
  <c r="C69" i="38"/>
  <c r="K70" i="38"/>
  <c r="L69" i="38"/>
  <c r="O67" i="38"/>
  <c r="O68" i="38" s="1"/>
  <c r="F45" i="38" l="1"/>
  <c r="K46" i="38"/>
  <c r="L46" i="38" s="1"/>
  <c r="M46" i="38" s="1"/>
  <c r="I47" i="38"/>
  <c r="G67" i="38"/>
  <c r="C70" i="38"/>
  <c r="D69" i="38"/>
  <c r="B47" i="38"/>
  <c r="B68" i="38"/>
  <c r="E68" i="38" s="1"/>
  <c r="F68" i="38" s="1"/>
  <c r="C46" i="38"/>
  <c r="D46" i="38" s="1"/>
  <c r="E46" i="38" s="1"/>
  <c r="A47" i="38"/>
  <c r="N46" i="38"/>
  <c r="K71" i="38"/>
  <c r="L70" i="38"/>
  <c r="I70" i="38"/>
  <c r="J69" i="38"/>
  <c r="M69" i="38" s="1"/>
  <c r="N69" i="38" s="1"/>
  <c r="K72" i="38" l="1"/>
  <c r="L71" i="38"/>
  <c r="B69" i="38"/>
  <c r="E69" i="38" s="1"/>
  <c r="F69" i="38" s="1"/>
  <c r="B48" i="38"/>
  <c r="C71" i="38"/>
  <c r="D70" i="38"/>
  <c r="K47" i="38"/>
  <c r="L47" i="38" s="1"/>
  <c r="M47" i="38" s="1"/>
  <c r="I48" i="38"/>
  <c r="N47" i="38"/>
  <c r="C47" i="38"/>
  <c r="D47" i="38" s="1"/>
  <c r="E47" i="38" s="1"/>
  <c r="A48" i="38"/>
  <c r="F46" i="38"/>
  <c r="G68" i="38"/>
  <c r="G69" i="38" s="1"/>
  <c r="I71" i="38"/>
  <c r="J70" i="38"/>
  <c r="M70" i="38" s="1"/>
  <c r="N70" i="38" s="1"/>
  <c r="O69" i="38"/>
  <c r="O70" i="38" l="1"/>
  <c r="C48" i="38"/>
  <c r="D48" i="38" s="1"/>
  <c r="E48" i="38" s="1"/>
  <c r="A49" i="38"/>
  <c r="B49" i="38"/>
  <c r="B70" i="38"/>
  <c r="E70" i="38" s="1"/>
  <c r="F70" i="38" s="1"/>
  <c r="C72" i="38"/>
  <c r="D71" i="38"/>
  <c r="K48" i="38"/>
  <c r="L48" i="38" s="1"/>
  <c r="M48" i="38" s="1"/>
  <c r="I49" i="38"/>
  <c r="F47" i="38"/>
  <c r="F48" i="38" s="1"/>
  <c r="I72" i="38"/>
  <c r="J71" i="38"/>
  <c r="M71" i="38" s="1"/>
  <c r="N71" i="38" s="1"/>
  <c r="K73" i="38"/>
  <c r="L72" i="38"/>
  <c r="K49" i="38" l="1"/>
  <c r="L49" i="38" s="1"/>
  <c r="M49" i="38" s="1"/>
  <c r="I50" i="38"/>
  <c r="O71" i="38"/>
  <c r="I73" i="38"/>
  <c r="J72" i="38"/>
  <c r="M72" i="38" s="1"/>
  <c r="N72" i="38" s="1"/>
  <c r="K74" i="38"/>
  <c r="L74" i="38" s="1"/>
  <c r="L73" i="38"/>
  <c r="C49" i="38"/>
  <c r="D49" i="38" s="1"/>
  <c r="E49" i="38" s="1"/>
  <c r="A50" i="38"/>
  <c r="C73" i="38"/>
  <c r="D72" i="38"/>
  <c r="B71" i="38"/>
  <c r="E71" i="38" s="1"/>
  <c r="F71" i="38" s="1"/>
  <c r="B50" i="38"/>
  <c r="G70" i="38"/>
  <c r="N48" i="38"/>
  <c r="I74" i="38" l="1"/>
  <c r="J74" i="38" s="1"/>
  <c r="M74" i="38" s="1"/>
  <c r="N74" i="38" s="1"/>
  <c r="J73" i="38"/>
  <c r="M73" i="38" s="1"/>
  <c r="N73" i="38" s="1"/>
  <c r="N49" i="38"/>
  <c r="F49" i="38"/>
  <c r="O72" i="38"/>
  <c r="C74" i="38"/>
  <c r="D74" i="38" s="1"/>
  <c r="D73" i="38"/>
  <c r="C50" i="38"/>
  <c r="D50" i="38" s="1"/>
  <c r="E50" i="38" s="1"/>
  <c r="A51" i="38"/>
  <c r="G71" i="38"/>
  <c r="G72" i="38" s="1"/>
  <c r="K50" i="38"/>
  <c r="L50" i="38" s="1"/>
  <c r="M50" i="38" s="1"/>
  <c r="I51" i="38"/>
  <c r="B72" i="38"/>
  <c r="E72" i="38" s="1"/>
  <c r="F72" i="38" s="1"/>
  <c r="B51" i="38"/>
  <c r="K51" i="38" l="1"/>
  <c r="L51" i="38" s="1"/>
  <c r="M51" i="38" s="1"/>
  <c r="I52" i="38"/>
  <c r="K52" i="38" s="1"/>
  <c r="L52" i="38" s="1"/>
  <c r="M52" i="38" s="1"/>
  <c r="C51" i="38"/>
  <c r="D51" i="38" s="1"/>
  <c r="E51" i="38" s="1"/>
  <c r="A52" i="38"/>
  <c r="O73" i="38"/>
  <c r="O74" i="38" s="1"/>
  <c r="O75" i="38" s="1"/>
  <c r="F50" i="38"/>
  <c r="F51" i="38" s="1"/>
  <c r="N50" i="38"/>
  <c r="B52" i="38"/>
  <c r="B74" i="38" s="1"/>
  <c r="E74" i="38" s="1"/>
  <c r="F74" i="38" s="1"/>
  <c r="B73" i="38"/>
  <c r="E73" i="38" s="1"/>
  <c r="F73" i="38" s="1"/>
  <c r="N51" i="38" l="1"/>
  <c r="N52" i="38" s="1"/>
  <c r="N53" i="38" s="1"/>
  <c r="C52" i="38"/>
  <c r="D52" i="38" s="1"/>
  <c r="E52" i="38" s="1"/>
  <c r="G73" i="38"/>
  <c r="G74" i="38" s="1"/>
  <c r="G75" i="38" s="1"/>
  <c r="F52" i="38" l="1"/>
  <c r="F53" i="38" s="1"/>
  <c r="I8" i="37"/>
  <c r="K8" i="37" s="1"/>
  <c r="S8" i="37" s="1"/>
  <c r="I9" i="37"/>
  <c r="K9" i="37" s="1"/>
  <c r="I10" i="37"/>
  <c r="K10" i="37" s="1"/>
  <c r="L10" i="37" s="1"/>
  <c r="I11" i="37"/>
  <c r="K11" i="37" s="1"/>
  <c r="I12" i="37"/>
  <c r="K12" i="37" s="1"/>
  <c r="I13" i="37"/>
  <c r="K13" i="37"/>
  <c r="I14" i="37"/>
  <c r="K14" i="37" s="1"/>
  <c r="I15" i="37"/>
  <c r="K15" i="37" s="1"/>
  <c r="I16" i="37"/>
  <c r="K16" i="37" s="1"/>
  <c r="L16" i="37" s="1"/>
  <c r="I17" i="37"/>
  <c r="K17" i="37" s="1"/>
  <c r="I18" i="37"/>
  <c r="K18" i="37" s="1"/>
  <c r="I19" i="37"/>
  <c r="K19" i="37" s="1"/>
  <c r="I20" i="37"/>
  <c r="K20" i="37" s="1"/>
  <c r="I21" i="37"/>
  <c r="K21" i="37" s="1"/>
  <c r="I22" i="37"/>
  <c r="K22" i="37" s="1"/>
  <c r="L22" i="37" s="1"/>
  <c r="I23" i="37"/>
  <c r="K23" i="37" s="1"/>
  <c r="I24" i="37"/>
  <c r="K24" i="37" s="1"/>
  <c r="I25" i="37"/>
  <c r="K25" i="37"/>
  <c r="I26" i="37"/>
  <c r="K26" i="37" s="1"/>
  <c r="I27" i="37"/>
  <c r="K27" i="37" s="1"/>
  <c r="I28" i="37"/>
  <c r="K28" i="37" s="1"/>
  <c r="L28" i="37" s="1"/>
  <c r="I29" i="37"/>
  <c r="K29" i="37" s="1"/>
  <c r="I30" i="37"/>
  <c r="K30" i="37" s="1"/>
  <c r="I31" i="37"/>
  <c r="K31" i="37" s="1"/>
  <c r="L31" i="37" s="1"/>
  <c r="I32" i="37"/>
  <c r="K32" i="37" s="1"/>
  <c r="L32" i="37" s="1"/>
  <c r="I40" i="37"/>
  <c r="K40" i="37" s="1"/>
  <c r="L40" i="37" s="1"/>
  <c r="I41" i="37"/>
  <c r="K41" i="37"/>
  <c r="L41" i="37" s="1"/>
  <c r="I42" i="37"/>
  <c r="K42" i="37" s="1"/>
  <c r="I43" i="37"/>
  <c r="K43" i="37" s="1"/>
  <c r="L43" i="37" s="1"/>
  <c r="I44" i="37"/>
  <c r="K44" i="37" s="1"/>
  <c r="L44" i="37" s="1"/>
  <c r="I45" i="37"/>
  <c r="K45" i="37" s="1"/>
  <c r="L45" i="37" s="1"/>
  <c r="I46" i="37"/>
  <c r="K46" i="37" s="1"/>
  <c r="L46" i="37" s="1"/>
  <c r="I47" i="37"/>
  <c r="K47" i="37"/>
  <c r="I48" i="37"/>
  <c r="K48" i="37" s="1"/>
  <c r="I49" i="37"/>
  <c r="K49" i="37" s="1"/>
  <c r="L49" i="37" s="1"/>
  <c r="I50" i="37"/>
  <c r="K50" i="37" s="1"/>
  <c r="I51" i="37"/>
  <c r="K51" i="37" s="1"/>
  <c r="I52" i="37"/>
  <c r="K52" i="37" s="1"/>
  <c r="I53" i="37"/>
  <c r="K53" i="37" s="1"/>
  <c r="L53" i="37" s="1"/>
  <c r="I54" i="37"/>
  <c r="K54" i="37" s="1"/>
  <c r="I55" i="37"/>
  <c r="K55" i="37" s="1"/>
  <c r="L55" i="37" s="1"/>
  <c r="I56" i="37"/>
  <c r="K56" i="37" s="1"/>
  <c r="L56" i="37" s="1"/>
  <c r="I57" i="37"/>
  <c r="K57" i="37" s="1"/>
  <c r="L57" i="37" s="1"/>
  <c r="I58" i="37"/>
  <c r="K58" i="37" s="1"/>
  <c r="L58" i="37" s="1"/>
  <c r="I59" i="37"/>
  <c r="K59" i="37"/>
  <c r="L59" i="37" s="1"/>
  <c r="I60" i="37"/>
  <c r="K60" i="37" s="1"/>
  <c r="I61" i="37"/>
  <c r="K61" i="37" s="1"/>
  <c r="L61" i="37" s="1"/>
  <c r="I62" i="37"/>
  <c r="K62" i="37" s="1"/>
  <c r="I63" i="37"/>
  <c r="K63" i="37" s="1"/>
  <c r="L63" i="37" s="1"/>
  <c r="I64" i="37"/>
  <c r="K64" i="37" s="1"/>
  <c r="L64" i="37" s="1"/>
  <c r="S42" i="37" l="1"/>
  <c r="T42" i="37" s="1"/>
  <c r="O14" i="37"/>
  <c r="P14" i="37" s="1"/>
  <c r="L12" i="37"/>
  <c r="O20" i="37"/>
  <c r="P20" i="37" s="1"/>
  <c r="L18" i="37"/>
  <c r="O26" i="37"/>
  <c r="P26" i="37" s="1"/>
  <c r="L24" i="37"/>
  <c r="O32" i="37"/>
  <c r="P32" i="37" s="1"/>
  <c r="L30" i="37"/>
  <c r="O42" i="37"/>
  <c r="P42" i="37" s="1"/>
  <c r="S49" i="37"/>
  <c r="T49" i="37" s="1"/>
  <c r="O49" i="37"/>
  <c r="P49" i="37" s="1"/>
  <c r="O43" i="37"/>
  <c r="P43" i="37" s="1"/>
  <c r="S43" i="37"/>
  <c r="T43" i="37" s="1"/>
  <c r="S57" i="37"/>
  <c r="T57" i="37" s="1"/>
  <c r="L47" i="37"/>
  <c r="O54" i="37"/>
  <c r="P54" i="37" s="1"/>
  <c r="O53" i="37"/>
  <c r="P53" i="37" s="1"/>
  <c r="S56" i="37"/>
  <c r="T56" i="37" s="1"/>
  <c r="L52" i="37"/>
  <c r="S55" i="37"/>
  <c r="T55" i="37" s="1"/>
  <c r="L62" i="37"/>
  <c r="O64" i="37"/>
  <c r="P64" i="37" s="1"/>
  <c r="M41" i="37"/>
  <c r="S64" i="37"/>
  <c r="T64" i="37" s="1"/>
  <c r="L60" i="37"/>
  <c r="S63" i="37"/>
  <c r="T63" i="37" s="1"/>
  <c r="S62" i="37"/>
  <c r="T62" i="37" s="1"/>
  <c r="O60" i="37"/>
  <c r="P60" i="37" s="1"/>
  <c r="O62" i="37"/>
  <c r="P62" i="37" s="1"/>
  <c r="L50" i="37"/>
  <c r="S54" i="37"/>
  <c r="T54" i="37" s="1"/>
  <c r="O52" i="37"/>
  <c r="P52" i="37" s="1"/>
  <c r="S53" i="37"/>
  <c r="T53" i="37" s="1"/>
  <c r="L27" i="37"/>
  <c r="S31" i="37"/>
  <c r="T31" i="37" s="1"/>
  <c r="S30" i="37"/>
  <c r="T30" i="37" s="1"/>
  <c r="O29" i="37"/>
  <c r="P29" i="37" s="1"/>
  <c r="L21" i="37"/>
  <c r="S25" i="37"/>
  <c r="T25" i="37" s="1"/>
  <c r="O23" i="37"/>
  <c r="P23" i="37" s="1"/>
  <c r="S24" i="37"/>
  <c r="T24" i="37" s="1"/>
  <c r="L15" i="37"/>
  <c r="S19" i="37"/>
  <c r="T19" i="37" s="1"/>
  <c r="S18" i="37"/>
  <c r="T18" i="37" s="1"/>
  <c r="O17" i="37"/>
  <c r="P17" i="37" s="1"/>
  <c r="L9" i="37"/>
  <c r="S13" i="37"/>
  <c r="T13" i="37" s="1"/>
  <c r="K33" i="37"/>
  <c r="K35" i="37"/>
  <c r="S12" i="37"/>
  <c r="T12" i="37" s="1"/>
  <c r="O11" i="37"/>
  <c r="P11" i="37" s="1"/>
  <c r="T8" i="37"/>
  <c r="U8" i="37"/>
  <c r="S61" i="37"/>
  <c r="T61" i="37" s="1"/>
  <c r="O31" i="37"/>
  <c r="P31" i="37" s="1"/>
  <c r="L29" i="37"/>
  <c r="S27" i="37"/>
  <c r="T27" i="37" s="1"/>
  <c r="O25" i="37"/>
  <c r="P25" i="37" s="1"/>
  <c r="L23" i="37"/>
  <c r="O19" i="37"/>
  <c r="P19" i="37" s="1"/>
  <c r="S21" i="37"/>
  <c r="T21" i="37" s="1"/>
  <c r="L17" i="37"/>
  <c r="O13" i="37"/>
  <c r="P13" i="37" s="1"/>
  <c r="S15" i="37"/>
  <c r="T15" i="37" s="1"/>
  <c r="L11" i="37"/>
  <c r="K67" i="37"/>
  <c r="O47" i="37"/>
  <c r="P47" i="37" s="1"/>
  <c r="S50" i="37"/>
  <c r="T50" i="37" s="1"/>
  <c r="O58" i="37"/>
  <c r="P58" i="37" s="1"/>
  <c r="O57" i="37"/>
  <c r="P57" i="37" s="1"/>
  <c r="S45" i="37"/>
  <c r="T45" i="37" s="1"/>
  <c r="S29" i="37"/>
  <c r="T29" i="37" s="1"/>
  <c r="S23" i="37"/>
  <c r="T23" i="37" s="1"/>
  <c r="S17" i="37"/>
  <c r="T17" i="37" s="1"/>
  <c r="K66" i="37"/>
  <c r="S51" i="37"/>
  <c r="T51" i="37" s="1"/>
  <c r="S46" i="37"/>
  <c r="T46" i="37" s="1"/>
  <c r="O44" i="37"/>
  <c r="P44" i="37" s="1"/>
  <c r="L42" i="37"/>
  <c r="M63" i="37" s="1"/>
  <c r="O40" i="37"/>
  <c r="O51" i="37"/>
  <c r="P51" i="37" s="1"/>
  <c r="S59" i="37"/>
  <c r="T59" i="37" s="1"/>
  <c r="O18" i="37"/>
  <c r="P18" i="37" s="1"/>
  <c r="O12" i="37"/>
  <c r="P12" i="37" s="1"/>
  <c r="O59" i="37"/>
  <c r="P59" i="37" s="1"/>
  <c r="O48" i="37"/>
  <c r="P48" i="37" s="1"/>
  <c r="M40" i="37"/>
  <c r="K68" i="37"/>
  <c r="O55" i="37"/>
  <c r="P55" i="37" s="1"/>
  <c r="L51" i="37"/>
  <c r="S41" i="37"/>
  <c r="T41" i="37" s="1"/>
  <c r="S48" i="37"/>
  <c r="T48" i="37" s="1"/>
  <c r="O24" i="37"/>
  <c r="P24" i="37" s="1"/>
  <c r="S60" i="37"/>
  <c r="T60" i="37" s="1"/>
  <c r="S52" i="37"/>
  <c r="T52" i="37" s="1"/>
  <c r="O50" i="37"/>
  <c r="P50" i="37" s="1"/>
  <c r="L48" i="37"/>
  <c r="O46" i="37"/>
  <c r="P46" i="37" s="1"/>
  <c r="O45" i="37"/>
  <c r="P45" i="37" s="1"/>
  <c r="S40" i="37"/>
  <c r="K65" i="37"/>
  <c r="O63" i="37"/>
  <c r="P63" i="37" s="1"/>
  <c r="O30" i="37"/>
  <c r="P30" i="37" s="1"/>
  <c r="O61" i="37"/>
  <c r="P61" i="37" s="1"/>
  <c r="S44" i="37"/>
  <c r="T44" i="37" s="1"/>
  <c r="S32" i="37"/>
  <c r="T32" i="37" s="1"/>
  <c r="S26" i="37"/>
  <c r="T26" i="37" s="1"/>
  <c r="S20" i="37"/>
  <c r="T20" i="37" s="1"/>
  <c r="S14" i="37"/>
  <c r="T14" i="37" s="1"/>
  <c r="S58" i="37"/>
  <c r="T58" i="37" s="1"/>
  <c r="O56" i="37"/>
  <c r="P56" i="37" s="1"/>
  <c r="L54" i="37"/>
  <c r="S47" i="37"/>
  <c r="T47" i="37" s="1"/>
  <c r="O41" i="37"/>
  <c r="P41" i="37" s="1"/>
  <c r="O28" i="37"/>
  <c r="P28" i="37" s="1"/>
  <c r="L26" i="37"/>
  <c r="S28" i="37"/>
  <c r="T28" i="37" s="1"/>
  <c r="O22" i="37"/>
  <c r="P22" i="37" s="1"/>
  <c r="L20" i="37"/>
  <c r="S22" i="37"/>
  <c r="T22" i="37" s="1"/>
  <c r="O16" i="37"/>
  <c r="P16" i="37" s="1"/>
  <c r="L14" i="37"/>
  <c r="S16" i="37"/>
  <c r="T16" i="37" s="1"/>
  <c r="O10" i="37"/>
  <c r="P10" i="37" s="1"/>
  <c r="S11" i="37"/>
  <c r="T11" i="37" s="1"/>
  <c r="L8" i="37"/>
  <c r="O9" i="37"/>
  <c r="P9" i="37" s="1"/>
  <c r="M8" i="37"/>
  <c r="S10" i="37"/>
  <c r="T10" i="37" s="1"/>
  <c r="O8" i="37"/>
  <c r="K34" i="37"/>
  <c r="K36" i="37"/>
  <c r="S9" i="37"/>
  <c r="T9" i="37" s="1"/>
  <c r="L25" i="37"/>
  <c r="L19" i="37"/>
  <c r="L13" i="37"/>
  <c r="O27" i="37"/>
  <c r="P27" i="37" s="1"/>
  <c r="O21" i="37"/>
  <c r="P21" i="37" s="1"/>
  <c r="O15" i="37"/>
  <c r="P15" i="37" s="1"/>
  <c r="S33" i="37" l="1"/>
  <c r="M44" i="37"/>
  <c r="M54" i="37"/>
  <c r="M45" i="37"/>
  <c r="M59" i="37"/>
  <c r="M62" i="37"/>
  <c r="M51" i="37"/>
  <c r="M56" i="37"/>
  <c r="M42" i="37"/>
  <c r="O33" i="37"/>
  <c r="Q8" i="37"/>
  <c r="O34" i="37"/>
  <c r="O36" i="37"/>
  <c r="P8" i="37"/>
  <c r="O35" i="37"/>
  <c r="M43" i="37"/>
  <c r="M50" i="37"/>
  <c r="S35" i="37"/>
  <c r="M52" i="37"/>
  <c r="M57" i="37"/>
  <c r="M55" i="37"/>
  <c r="M49" i="37"/>
  <c r="M64" i="37"/>
  <c r="S36" i="37"/>
  <c r="M61" i="37"/>
  <c r="M46" i="37"/>
  <c r="Q40" i="37"/>
  <c r="O66" i="37"/>
  <c r="O68" i="37"/>
  <c r="O65" i="37"/>
  <c r="P40" i="37"/>
  <c r="O67" i="37"/>
  <c r="M9" i="37"/>
  <c r="M15" i="37"/>
  <c r="M21" i="37"/>
  <c r="M27" i="37"/>
  <c r="M14" i="37"/>
  <c r="M20" i="37"/>
  <c r="M26" i="37"/>
  <c r="M32" i="37"/>
  <c r="M25" i="37"/>
  <c r="M13" i="37"/>
  <c r="M19" i="37"/>
  <c r="M31" i="37"/>
  <c r="M11" i="37"/>
  <c r="M17" i="37"/>
  <c r="M23" i="37"/>
  <c r="M29" i="37"/>
  <c r="M12" i="37"/>
  <c r="M18" i="37"/>
  <c r="M24" i="37"/>
  <c r="M30" i="37"/>
  <c r="M10" i="37"/>
  <c r="M16" i="37"/>
  <c r="M22" i="37"/>
  <c r="M28" i="37"/>
  <c r="M60" i="37"/>
  <c r="T40" i="37"/>
  <c r="S67" i="37"/>
  <c r="S65" i="37"/>
  <c r="U40" i="37"/>
  <c r="S66" i="37"/>
  <c r="S68" i="37"/>
  <c r="S34" i="37"/>
  <c r="M47" i="37"/>
  <c r="M58" i="37"/>
  <c r="M48" i="37"/>
  <c r="U12" i="37"/>
  <c r="U18" i="37"/>
  <c r="U24" i="37"/>
  <c r="U30" i="37"/>
  <c r="U11" i="37"/>
  <c r="U17" i="37"/>
  <c r="U23" i="37"/>
  <c r="U29" i="37"/>
  <c r="U28" i="37"/>
  <c r="U10" i="37"/>
  <c r="U16" i="37"/>
  <c r="U22" i="37"/>
  <c r="U14" i="37"/>
  <c r="U20" i="37"/>
  <c r="U26" i="37"/>
  <c r="U32" i="37"/>
  <c r="U31" i="37"/>
  <c r="U19" i="37"/>
  <c r="U9" i="37"/>
  <c r="U15" i="37"/>
  <c r="U21" i="37"/>
  <c r="U27" i="37"/>
  <c r="U25" i="37"/>
  <c r="U13" i="37"/>
  <c r="M53" i="37"/>
  <c r="M65" i="37" l="1"/>
  <c r="M36" i="37"/>
  <c r="M68" i="37"/>
  <c r="U35" i="37"/>
  <c r="M66" i="37"/>
  <c r="M34" i="37"/>
  <c r="U33" i="37"/>
  <c r="M35" i="37"/>
  <c r="Q11" i="37"/>
  <c r="Q17" i="37"/>
  <c r="Q23" i="37"/>
  <c r="Q29" i="37"/>
  <c r="Q10" i="37"/>
  <c r="Q16" i="37"/>
  <c r="Q22" i="37"/>
  <c r="Q28" i="37"/>
  <c r="Q9" i="37"/>
  <c r="Q15" i="37"/>
  <c r="Q21" i="37"/>
  <c r="Q27" i="37"/>
  <c r="Q14" i="37"/>
  <c r="Q20" i="37"/>
  <c r="Q26" i="37"/>
  <c r="Q32" i="37"/>
  <c r="Q13" i="37"/>
  <c r="Q19" i="37"/>
  <c r="Q25" i="37"/>
  <c r="Q31" i="37"/>
  <c r="Q12" i="37"/>
  <c r="Q18" i="37"/>
  <c r="Q24" i="37"/>
  <c r="Q30" i="37"/>
  <c r="U36" i="37"/>
  <c r="U41" i="37"/>
  <c r="U47" i="37"/>
  <c r="U53" i="37"/>
  <c r="U65" i="37" s="1"/>
  <c r="U59" i="37"/>
  <c r="U42" i="37"/>
  <c r="U50" i="37"/>
  <c r="U54" i="37"/>
  <c r="U52" i="37"/>
  <c r="U61" i="37"/>
  <c r="U51" i="37"/>
  <c r="U64" i="37"/>
  <c r="U49" i="37"/>
  <c r="U44" i="37"/>
  <c r="U55" i="37"/>
  <c r="U57" i="37"/>
  <c r="U63" i="37"/>
  <c r="U46" i="37"/>
  <c r="U60" i="37"/>
  <c r="U58" i="37"/>
  <c r="U62" i="37"/>
  <c r="U43" i="37"/>
  <c r="U45" i="37"/>
  <c r="U48" i="37"/>
  <c r="U56" i="37"/>
  <c r="U34" i="37"/>
  <c r="M33" i="37"/>
  <c r="Q46" i="37"/>
  <c r="Q52" i="37"/>
  <c r="Q58" i="37"/>
  <c r="Q64" i="37"/>
  <c r="Q45" i="37"/>
  <c r="Q51" i="37"/>
  <c r="Q57" i="37"/>
  <c r="Q44" i="37"/>
  <c r="Q50" i="37"/>
  <c r="Q56" i="37"/>
  <c r="Q62" i="37"/>
  <c r="Q55" i="37"/>
  <c r="Q60" i="37"/>
  <c r="Q63" i="37"/>
  <c r="Q41" i="37"/>
  <c r="Q49" i="37"/>
  <c r="Q54" i="37"/>
  <c r="Q59" i="37"/>
  <c r="Q47" i="37"/>
  <c r="Q43" i="37"/>
  <c r="Q48" i="37"/>
  <c r="Q53" i="37"/>
  <c r="Q61" i="37"/>
  <c r="Q42" i="37"/>
  <c r="M67" i="37"/>
  <c r="Q33" i="37" l="1"/>
  <c r="Q34" i="37"/>
  <c r="Q66" i="37"/>
  <c r="U68" i="37"/>
  <c r="Q36" i="37"/>
  <c r="Q35" i="37"/>
  <c r="U67" i="37"/>
  <c r="Q65" i="37"/>
  <c r="Q67" i="37"/>
  <c r="U66" i="37"/>
  <c r="Q68" i="37"/>
  <c r="AU64" i="32" l="1"/>
  <c r="AG64" i="32"/>
  <c r="S64" i="32"/>
  <c r="AV63" i="32"/>
  <c r="AH63" i="32"/>
  <c r="AI63" i="32" s="1"/>
  <c r="AJ63" i="32" s="1"/>
  <c r="AK63" i="32" s="1"/>
  <c r="AL63" i="32" s="1"/>
  <c r="AM63" i="32" s="1"/>
  <c r="AN63" i="32" s="1"/>
  <c r="AO63" i="32" s="1"/>
  <c r="AP63" i="32" s="1"/>
  <c r="AQ63" i="32" s="1"/>
  <c r="AR63" i="32" s="1"/>
  <c r="T63" i="32"/>
  <c r="U63" i="32" s="1"/>
  <c r="V63" i="32" s="1"/>
  <c r="W63" i="32" s="1"/>
  <c r="X63" i="32" s="1"/>
  <c r="Y63" i="32" s="1"/>
  <c r="Z63" i="32" s="1"/>
  <c r="AA63" i="32" s="1"/>
  <c r="AB63" i="32" s="1"/>
  <c r="AC63" i="32" s="1"/>
  <c r="AD63" i="32" s="1"/>
  <c r="AV62" i="32"/>
  <c r="AW62" i="32" s="1"/>
  <c r="AH62" i="32"/>
  <c r="AH64" i="32" s="1"/>
  <c r="T62" i="32"/>
  <c r="T64" i="32" s="1"/>
  <c r="AU58" i="32"/>
  <c r="AG58" i="32"/>
  <c r="S58" i="32"/>
  <c r="AV57" i="32"/>
  <c r="AW57" i="32" s="1"/>
  <c r="AX57" i="32" s="1"/>
  <c r="AY57" i="32" s="1"/>
  <c r="AZ57" i="32" s="1"/>
  <c r="BA57" i="32" s="1"/>
  <c r="BB57" i="32" s="1"/>
  <c r="BC57" i="32" s="1"/>
  <c r="BD57" i="32" s="1"/>
  <c r="BE57" i="32" s="1"/>
  <c r="BF57" i="32" s="1"/>
  <c r="AH57" i="32"/>
  <c r="AI57" i="32" s="1"/>
  <c r="AJ57" i="32" s="1"/>
  <c r="AK57" i="32" s="1"/>
  <c r="AL57" i="32" s="1"/>
  <c r="AM57" i="32" s="1"/>
  <c r="AN57" i="32" s="1"/>
  <c r="AO57" i="32" s="1"/>
  <c r="AP57" i="32" s="1"/>
  <c r="AQ57" i="32" s="1"/>
  <c r="AR57" i="32" s="1"/>
  <c r="T57" i="32"/>
  <c r="U57" i="32" s="1"/>
  <c r="V57" i="32" s="1"/>
  <c r="W57" i="32" s="1"/>
  <c r="X57" i="32" s="1"/>
  <c r="Y57" i="32" s="1"/>
  <c r="Z57" i="32" s="1"/>
  <c r="AA57" i="32" s="1"/>
  <c r="AB57" i="32" s="1"/>
  <c r="AC57" i="32" s="1"/>
  <c r="AD57" i="32" s="1"/>
  <c r="AV56" i="32"/>
  <c r="AH56" i="32"/>
  <c r="AI56" i="32" s="1"/>
  <c r="T56" i="32"/>
  <c r="U56" i="32" s="1"/>
  <c r="AZ46" i="32"/>
  <c r="BA46" i="32" s="1"/>
  <c r="AK46" i="32"/>
  <c r="AL46" i="32" s="1"/>
  <c r="AM46" i="32" s="1"/>
  <c r="AN46" i="32" s="1"/>
  <c r="AO46" i="32" s="1"/>
  <c r="AP46" i="32" s="1"/>
  <c r="AQ46" i="32" s="1"/>
  <c r="U46" i="32"/>
  <c r="AZ41" i="32"/>
  <c r="BA41" i="32" s="1"/>
  <c r="BB41" i="32" s="1"/>
  <c r="AK41" i="32"/>
  <c r="U41" i="32"/>
  <c r="V41" i="32" s="1"/>
  <c r="AU33" i="32"/>
  <c r="AG33" i="32"/>
  <c r="S33" i="32"/>
  <c r="E33" i="32"/>
  <c r="AV32" i="32"/>
  <c r="AW32" i="32" s="1"/>
  <c r="AX32" i="32" s="1"/>
  <c r="AY32" i="32" s="1"/>
  <c r="AZ32" i="32" s="1"/>
  <c r="BA32" i="32" s="1"/>
  <c r="BB32" i="32" s="1"/>
  <c r="BC32" i="32" s="1"/>
  <c r="BD32" i="32" s="1"/>
  <c r="BE32" i="32" s="1"/>
  <c r="BF32" i="32" s="1"/>
  <c r="AH32" i="32"/>
  <c r="AI32" i="32" s="1"/>
  <c r="T32" i="32"/>
  <c r="U32" i="32" s="1"/>
  <c r="V32" i="32" s="1"/>
  <c r="W32" i="32" s="1"/>
  <c r="X32" i="32" s="1"/>
  <c r="Y32" i="32" s="1"/>
  <c r="Z32" i="32" s="1"/>
  <c r="AA32" i="32" s="1"/>
  <c r="AB32" i="32" s="1"/>
  <c r="AC32" i="32" s="1"/>
  <c r="AD32" i="32" s="1"/>
  <c r="F32" i="32"/>
  <c r="G32" i="32" s="1"/>
  <c r="H32" i="32" s="1"/>
  <c r="I32" i="32" s="1"/>
  <c r="J32" i="32" s="1"/>
  <c r="K32" i="32" s="1"/>
  <c r="L32" i="32" s="1"/>
  <c r="M32" i="32" s="1"/>
  <c r="N32" i="32" s="1"/>
  <c r="O32" i="32" s="1"/>
  <c r="P32" i="32" s="1"/>
  <c r="AV31" i="32"/>
  <c r="AW31" i="32" s="1"/>
  <c r="AI31" i="32"/>
  <c r="AJ31" i="32" s="1"/>
  <c r="AH31" i="32"/>
  <c r="AH33" i="32" s="1"/>
  <c r="T31" i="32"/>
  <c r="T33" i="32" s="1"/>
  <c r="F31" i="32"/>
  <c r="AU27" i="32"/>
  <c r="AG27" i="32"/>
  <c r="S27" i="32"/>
  <c r="F27" i="32"/>
  <c r="E27" i="32"/>
  <c r="AV26" i="32"/>
  <c r="AW26" i="32" s="1"/>
  <c r="AX26" i="32" s="1"/>
  <c r="AY26" i="32" s="1"/>
  <c r="AZ26" i="32" s="1"/>
  <c r="BA26" i="32" s="1"/>
  <c r="BB26" i="32" s="1"/>
  <c r="BC26" i="32" s="1"/>
  <c r="BD26" i="32" s="1"/>
  <c r="BE26" i="32" s="1"/>
  <c r="BF26" i="32" s="1"/>
  <c r="AH26" i="32"/>
  <c r="AI26" i="32" s="1"/>
  <c r="AJ26" i="32" s="1"/>
  <c r="AK26" i="32" s="1"/>
  <c r="AL26" i="32" s="1"/>
  <c r="AM26" i="32" s="1"/>
  <c r="AN26" i="32" s="1"/>
  <c r="AO26" i="32" s="1"/>
  <c r="AP26" i="32" s="1"/>
  <c r="AQ26" i="32" s="1"/>
  <c r="AR26" i="32" s="1"/>
  <c r="T26" i="32"/>
  <c r="U26" i="32" s="1"/>
  <c r="V26" i="32" s="1"/>
  <c r="W26" i="32" s="1"/>
  <c r="X26" i="32" s="1"/>
  <c r="Y26" i="32" s="1"/>
  <c r="Z26" i="32" s="1"/>
  <c r="AA26" i="32" s="1"/>
  <c r="AB26" i="32" s="1"/>
  <c r="AC26" i="32" s="1"/>
  <c r="AD26" i="32" s="1"/>
  <c r="F26" i="32"/>
  <c r="G26" i="32" s="1"/>
  <c r="H26" i="32" s="1"/>
  <c r="I26" i="32" s="1"/>
  <c r="J26" i="32" s="1"/>
  <c r="K26" i="32" s="1"/>
  <c r="L26" i="32" s="1"/>
  <c r="M26" i="32" s="1"/>
  <c r="N26" i="32" s="1"/>
  <c r="O26" i="32" s="1"/>
  <c r="P26" i="32" s="1"/>
  <c r="AV25" i="32"/>
  <c r="AW25" i="32" s="1"/>
  <c r="AH25" i="32"/>
  <c r="AI25" i="32" s="1"/>
  <c r="T25" i="32"/>
  <c r="U25" i="32" s="1"/>
  <c r="F25" i="32"/>
  <c r="G25" i="32" s="1"/>
  <c r="BF15" i="32"/>
  <c r="AR15" i="32"/>
  <c r="AD15" i="32"/>
  <c r="P15" i="32"/>
  <c r="BF10" i="32"/>
  <c r="AR10" i="32"/>
  <c r="AD10" i="32"/>
  <c r="P10" i="32"/>
  <c r="Q31" i="28"/>
  <c r="O31" i="28"/>
  <c r="P31" i="28" s="1"/>
  <c r="L31" i="28"/>
  <c r="J31" i="28"/>
  <c r="K31" i="28" s="1"/>
  <c r="Q29" i="28"/>
  <c r="J29" i="28"/>
  <c r="K29" i="28" s="1"/>
  <c r="Q27" i="28"/>
  <c r="O27" i="28"/>
  <c r="P27" i="28" s="1"/>
  <c r="L27" i="28"/>
  <c r="L29" i="28" s="1"/>
  <c r="J27" i="28"/>
  <c r="K27" i="28" s="1"/>
  <c r="Q20" i="28"/>
  <c r="P20" i="28"/>
  <c r="O20" i="28"/>
  <c r="L20" i="28"/>
  <c r="K20" i="28"/>
  <c r="J20" i="28"/>
  <c r="O16" i="28"/>
  <c r="P16" i="28" s="1"/>
  <c r="Q16" i="28" s="1"/>
  <c r="J16" i="28"/>
  <c r="K16" i="28" s="1"/>
  <c r="L16" i="28" s="1"/>
  <c r="Q11" i="28"/>
  <c r="Q22" i="28" s="1"/>
  <c r="Q24" i="28" s="1"/>
  <c r="P11" i="28"/>
  <c r="P22" i="28" s="1"/>
  <c r="P24" i="28" s="1"/>
  <c r="O11" i="28"/>
  <c r="L11" i="28"/>
  <c r="L22" i="28" s="1"/>
  <c r="L24" i="28" s="1"/>
  <c r="K11" i="28"/>
  <c r="K22" i="28" s="1"/>
  <c r="K24" i="28" s="1"/>
  <c r="J11" i="28"/>
  <c r="J15" i="28" s="1"/>
  <c r="J17" i="28" s="1"/>
  <c r="Q65" i="26"/>
  <c r="Q69" i="26" s="1"/>
  <c r="O65" i="26"/>
  <c r="O69" i="26" s="1"/>
  <c r="Q62" i="26"/>
  <c r="O62" i="26"/>
  <c r="Q56" i="26"/>
  <c r="O56" i="26"/>
  <c r="M56" i="26"/>
  <c r="K56" i="26"/>
  <c r="I56" i="26"/>
  <c r="Q51" i="26"/>
  <c r="Q49" i="26"/>
  <c r="O49" i="26"/>
  <c r="M49" i="26"/>
  <c r="K49" i="26"/>
  <c r="I49" i="26"/>
  <c r="I54" i="26" s="1"/>
  <c r="Q43" i="26"/>
  <c r="O43" i="26"/>
  <c r="M43" i="26"/>
  <c r="K43" i="26"/>
  <c r="I43" i="26"/>
  <c r="Q41" i="26"/>
  <c r="O41" i="26"/>
  <c r="O51" i="26" s="1"/>
  <c r="Q36" i="26"/>
  <c r="O36" i="26"/>
  <c r="M36" i="26"/>
  <c r="M41" i="26" s="1"/>
  <c r="K36" i="26"/>
  <c r="K41" i="26" s="1"/>
  <c r="K51" i="26" s="1"/>
  <c r="K54" i="26" s="1"/>
  <c r="I36" i="26"/>
  <c r="I41" i="26" s="1"/>
  <c r="Q30" i="26"/>
  <c r="O30" i="26"/>
  <c r="M30" i="26"/>
  <c r="K30" i="26"/>
  <c r="I30" i="26"/>
  <c r="Q28" i="26"/>
  <c r="Q23" i="26"/>
  <c r="O23" i="26"/>
  <c r="O28" i="26" s="1"/>
  <c r="M23" i="26"/>
  <c r="M28" i="26" s="1"/>
  <c r="K23" i="26"/>
  <c r="K28" i="26" s="1"/>
  <c r="I23" i="26"/>
  <c r="I28" i="26" s="1"/>
  <c r="I11" i="26"/>
  <c r="Q65" i="25"/>
  <c r="Q64" i="25"/>
  <c r="Q63" i="25"/>
  <c r="Q62" i="25"/>
  <c r="Q61" i="25"/>
  <c r="Q60" i="25"/>
  <c r="Q59" i="25"/>
  <c r="Q58" i="25"/>
  <c r="Q57" i="25"/>
  <c r="Q56" i="25"/>
  <c r="Q55" i="25"/>
  <c r="Q54" i="25"/>
  <c r="Q53" i="25"/>
  <c r="Q52" i="25"/>
  <c r="Q51" i="25"/>
  <c r="Q50" i="25"/>
  <c r="Q49" i="25"/>
  <c r="Q48" i="25"/>
  <c r="Q47" i="25"/>
  <c r="Q46" i="25"/>
  <c r="Q45" i="25"/>
  <c r="Q44"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Q13" i="25"/>
  <c r="Q12" i="25"/>
  <c r="Q11" i="25"/>
  <c r="R10" i="25"/>
  <c r="S10" i="25" s="1"/>
  <c r="AC55" i="22"/>
  <c r="V55" i="22"/>
  <c r="V57" i="22" s="1"/>
  <c r="U55" i="22"/>
  <c r="U57" i="22" s="1"/>
  <c r="AC54" i="22"/>
  <c r="AB54" i="22"/>
  <c r="AB55" i="22" s="1"/>
  <c r="AA54" i="22"/>
  <c r="AA55" i="22" s="1"/>
  <c r="AA57" i="22" s="1"/>
  <c r="Z54" i="22"/>
  <c r="Z55" i="22" s="1"/>
  <c r="Z57" i="22" s="1"/>
  <c r="Y54" i="22"/>
  <c r="Y55" i="22" s="1"/>
  <c r="X54" i="22"/>
  <c r="X55" i="22" s="1"/>
  <c r="W54" i="22"/>
  <c r="W55" i="22" s="1"/>
  <c r="W57" i="22" s="1"/>
  <c r="V54" i="22"/>
  <c r="U54" i="22"/>
  <c r="T54" i="22"/>
  <c r="T55" i="22" s="1"/>
  <c r="S54" i="22"/>
  <c r="S55" i="22" s="1"/>
  <c r="S57" i="22" s="1"/>
  <c r="CD46" i="22"/>
  <c r="CA46" i="22"/>
  <c r="AB46" i="22"/>
  <c r="AB48" i="22" s="1"/>
  <c r="Y46" i="22"/>
  <c r="Y48" i="22" s="1"/>
  <c r="U46" i="22"/>
  <c r="CK45" i="22"/>
  <c r="CK46" i="22" s="1"/>
  <c r="CK48" i="22" s="1"/>
  <c r="CJ45" i="22"/>
  <c r="CJ46" i="22" s="1"/>
  <c r="CI45" i="22"/>
  <c r="CI46" i="22" s="1"/>
  <c r="CH45" i="22"/>
  <c r="CH46" i="22" s="1"/>
  <c r="CH48" i="22" s="1"/>
  <c r="CG45" i="22"/>
  <c r="CG46" i="22" s="1"/>
  <c r="CG48" i="22" s="1"/>
  <c r="CF45" i="22"/>
  <c r="CF46" i="22" s="1"/>
  <c r="CE45" i="22"/>
  <c r="CE46" i="22" s="1"/>
  <c r="CD45" i="22"/>
  <c r="CC45" i="22"/>
  <c r="CC46" i="22" s="1"/>
  <c r="CC48" i="22" s="1"/>
  <c r="CB45" i="22"/>
  <c r="CB46" i="22" s="1"/>
  <c r="CB48" i="22" s="1"/>
  <c r="CA45" i="22"/>
  <c r="AC45" i="22"/>
  <c r="AC46" i="22" s="1"/>
  <c r="AB45" i="22"/>
  <c r="AA45" i="22"/>
  <c r="AA46" i="22" s="1"/>
  <c r="AA48" i="22" s="1"/>
  <c r="Z45" i="22"/>
  <c r="Z46" i="22" s="1"/>
  <c r="Y45" i="22"/>
  <c r="X45" i="22"/>
  <c r="X46" i="22" s="1"/>
  <c r="X48" i="22" s="1"/>
  <c r="W45" i="22"/>
  <c r="W46" i="22" s="1"/>
  <c r="W48" i="22" s="1"/>
  <c r="V45" i="22"/>
  <c r="V46" i="22" s="1"/>
  <c r="V48" i="22" s="1"/>
  <c r="U45" i="22"/>
  <c r="T45" i="22"/>
  <c r="T46" i="22" s="1"/>
  <c r="S45" i="22"/>
  <c r="S46" i="22" s="1"/>
  <c r="S48" i="22" s="1"/>
  <c r="CE37" i="22"/>
  <c r="CB37" i="22"/>
  <c r="CB39" i="22" s="1"/>
  <c r="AA37" i="22"/>
  <c r="X37" i="22"/>
  <c r="X39" i="22" s="1"/>
  <c r="V37" i="22"/>
  <c r="V39" i="22" s="1"/>
  <c r="S37" i="22"/>
  <c r="CK36" i="22"/>
  <c r="CK37" i="22" s="1"/>
  <c r="CK39" i="22" s="1"/>
  <c r="CJ36" i="22"/>
  <c r="CJ37" i="22" s="1"/>
  <c r="CJ39" i="22" s="1"/>
  <c r="CI36" i="22"/>
  <c r="CI37" i="22" s="1"/>
  <c r="CH36" i="22"/>
  <c r="CH37" i="22" s="1"/>
  <c r="CG36" i="22"/>
  <c r="CG37" i="22" s="1"/>
  <c r="CF36" i="22"/>
  <c r="CF37" i="22" s="1"/>
  <c r="CE36" i="22"/>
  <c r="CD36" i="22"/>
  <c r="CD37" i="22" s="1"/>
  <c r="CD39" i="22" s="1"/>
  <c r="CC36" i="22"/>
  <c r="CC37" i="22" s="1"/>
  <c r="CC39" i="22" s="1"/>
  <c r="CB36" i="22"/>
  <c r="CA36" i="22"/>
  <c r="CA37" i="22" s="1"/>
  <c r="CA39" i="22" s="1"/>
  <c r="AC36" i="22"/>
  <c r="AC37" i="22" s="1"/>
  <c r="AB36" i="22"/>
  <c r="AB37" i="22" s="1"/>
  <c r="AA36" i="22"/>
  <c r="Z36" i="22"/>
  <c r="Z37" i="22" s="1"/>
  <c r="Y36" i="22"/>
  <c r="Y37" i="22" s="1"/>
  <c r="Y39" i="22" s="1"/>
  <c r="X36" i="22"/>
  <c r="W36" i="22"/>
  <c r="W37" i="22" s="1"/>
  <c r="W39" i="22" s="1"/>
  <c r="V36" i="22"/>
  <c r="U36" i="22"/>
  <c r="U37" i="22" s="1"/>
  <c r="U39" i="22" s="1"/>
  <c r="T36" i="22"/>
  <c r="T37" i="22" s="1"/>
  <c r="T39" i="22" s="1"/>
  <c r="S36" i="22"/>
  <c r="CJ23" i="22"/>
  <c r="CI23" i="22"/>
  <c r="CJ48" i="22" s="1"/>
  <c r="CH23" i="22"/>
  <c r="CG23" i="22"/>
  <c r="CF23" i="22"/>
  <c r="CI24" i="22" s="1"/>
  <c r="CE23" i="22"/>
  <c r="CH24" i="22" s="1"/>
  <c r="CD23" i="22"/>
  <c r="CG24" i="22" s="1"/>
  <c r="CG26" i="22" s="1"/>
  <c r="CG27" i="22" s="1"/>
  <c r="CG29" i="22" s="1"/>
  <c r="CC23" i="22"/>
  <c r="CB23" i="22"/>
  <c r="CA23" i="22"/>
  <c r="CD24" i="22" s="1"/>
  <c r="BZ23" i="22"/>
  <c r="CC24" i="22" s="1"/>
  <c r="CC26" i="22" s="1"/>
  <c r="CC27" i="22" s="1"/>
  <c r="CC29" i="22" s="1"/>
  <c r="BY23" i="22"/>
  <c r="BX23" i="22"/>
  <c r="CA24" i="22" s="1"/>
  <c r="AB23" i="22"/>
  <c r="AC24" i="22" s="1"/>
  <c r="AA23" i="22"/>
  <c r="Z23" i="22"/>
  <c r="Y23" i="22"/>
  <c r="AB24" i="22" s="1"/>
  <c r="X23" i="22"/>
  <c r="AA24" i="22" s="1"/>
  <c r="W23" i="22"/>
  <c r="X24" i="22" s="1"/>
  <c r="V23" i="22"/>
  <c r="Y24" i="22" s="1"/>
  <c r="U23" i="22"/>
  <c r="T23" i="22"/>
  <c r="W24" i="22" s="1"/>
  <c r="S23" i="22"/>
  <c r="V24" i="22" s="1"/>
  <c r="R23" i="22"/>
  <c r="Q23" i="22"/>
  <c r="T24" i="22" s="1"/>
  <c r="T26" i="22" s="1"/>
  <c r="T27" i="22" s="1"/>
  <c r="T29" i="22" s="1"/>
  <c r="P23" i="22"/>
  <c r="S24" i="22" s="1"/>
  <c r="S26" i="22" s="1"/>
  <c r="S27" i="22" s="1"/>
  <c r="S29" i="22" s="1"/>
  <c r="CK22" i="22"/>
  <c r="CJ22" i="22"/>
  <c r="CI22" i="22"/>
  <c r="CH22" i="22"/>
  <c r="CG22" i="22"/>
  <c r="CF22" i="22"/>
  <c r="CE22" i="22"/>
  <c r="CD22" i="22"/>
  <c r="CC22" i="22"/>
  <c r="CB22" i="22"/>
  <c r="CA22" i="22"/>
  <c r="BZ22" i="22"/>
  <c r="BY22" i="22"/>
  <c r="BX22" i="22"/>
  <c r="AC22" i="22"/>
  <c r="AB22" i="22"/>
  <c r="AA22" i="22"/>
  <c r="Z22" i="22"/>
  <c r="Y22" i="22"/>
  <c r="X22" i="22"/>
  <c r="W22" i="22"/>
  <c r="W26" i="22" s="1"/>
  <c r="W27" i="22" s="1"/>
  <c r="W29" i="22" s="1"/>
  <c r="V22" i="22"/>
  <c r="U22" i="22"/>
  <c r="T22" i="22"/>
  <c r="S22" i="22"/>
  <c r="R22" i="22"/>
  <c r="Q22" i="22"/>
  <c r="P22" i="22"/>
  <c r="AF17" i="22"/>
  <c r="AF14" i="22"/>
  <c r="Y12" i="22"/>
  <c r="DA11" i="22"/>
  <c r="CZ11" i="22"/>
  <c r="CY11" i="22"/>
  <c r="CX11" i="22"/>
  <c r="CW11" i="22"/>
  <c r="CZ12" i="22" s="1"/>
  <c r="CV11" i="22"/>
  <c r="CY12" i="22" s="1"/>
  <c r="CY14" i="22" s="1"/>
  <c r="CU11" i="22"/>
  <c r="CT11" i="22"/>
  <c r="CS11" i="22"/>
  <c r="CR11" i="22"/>
  <c r="CQ11" i="22"/>
  <c r="CP11" i="22"/>
  <c r="CO11" i="22"/>
  <c r="CR12" i="22" s="1"/>
  <c r="CJ11" i="22"/>
  <c r="CI11" i="22"/>
  <c r="CH11" i="22"/>
  <c r="CK12" i="22" s="1"/>
  <c r="CG11" i="22"/>
  <c r="CF11" i="22"/>
  <c r="CE11" i="22"/>
  <c r="CD11" i="22"/>
  <c r="CC11" i="22"/>
  <c r="CF12" i="22" s="1"/>
  <c r="CB11" i="22"/>
  <c r="CA11" i="22"/>
  <c r="BZ11" i="22"/>
  <c r="CC12" i="22" s="1"/>
  <c r="BY11" i="22"/>
  <c r="CB12" i="22" s="1"/>
  <c r="BX11" i="22"/>
  <c r="CA12" i="22" s="1"/>
  <c r="CA14" i="22" s="1"/>
  <c r="CA15" i="22" s="1"/>
  <c r="CA17" i="22" s="1"/>
  <c r="AF11" i="22"/>
  <c r="AB11" i="22"/>
  <c r="AA11" i="22"/>
  <c r="Z11" i="22"/>
  <c r="AC12" i="22" s="1"/>
  <c r="Y11" i="22"/>
  <c r="X11" i="22"/>
  <c r="W11" i="22"/>
  <c r="V11" i="22"/>
  <c r="U11" i="22"/>
  <c r="T11" i="22"/>
  <c r="W12" i="22" s="1"/>
  <c r="S11" i="22"/>
  <c r="R11" i="22"/>
  <c r="Q11" i="22"/>
  <c r="P11" i="22"/>
  <c r="DB10" i="22"/>
  <c r="DA10" i="22"/>
  <c r="CZ10" i="22"/>
  <c r="CY10" i="22"/>
  <c r="CX10" i="22"/>
  <c r="CW10" i="22"/>
  <c r="CV10" i="22"/>
  <c r="CU10" i="22"/>
  <c r="CT10" i="22"/>
  <c r="CS10" i="22"/>
  <c r="CR10" i="22"/>
  <c r="CQ10" i="22"/>
  <c r="CP10" i="22"/>
  <c r="CO10" i="22"/>
  <c r="CK10" i="22"/>
  <c r="CJ10" i="22"/>
  <c r="CI10" i="22"/>
  <c r="CH10" i="22"/>
  <c r="CG10" i="22"/>
  <c r="CF10" i="22"/>
  <c r="CF14" i="22" s="1"/>
  <c r="CF15" i="22" s="1"/>
  <c r="CF17" i="22" s="1"/>
  <c r="CE10" i="22"/>
  <c r="CD10" i="22"/>
  <c r="CC10" i="22"/>
  <c r="CB10" i="22"/>
  <c r="CA10" i="22"/>
  <c r="BZ10" i="22"/>
  <c r="BY10" i="22"/>
  <c r="BX10" i="22"/>
  <c r="BT10" i="22"/>
  <c r="BS10" i="22"/>
  <c r="BR10" i="22"/>
  <c r="BQ10" i="22"/>
  <c r="BP10" i="22"/>
  <c r="BO10" i="22"/>
  <c r="BN10" i="22"/>
  <c r="BM10" i="22"/>
  <c r="BL10" i="22"/>
  <c r="BK10" i="22"/>
  <c r="BJ10" i="22"/>
  <c r="BI10" i="22"/>
  <c r="BH10" i="22"/>
  <c r="BG10" i="22"/>
  <c r="AC10" i="22"/>
  <c r="AB10" i="22"/>
  <c r="AA10" i="22"/>
  <c r="Z10" i="22"/>
  <c r="Y10" i="22"/>
  <c r="X10" i="22"/>
  <c r="W10" i="22"/>
  <c r="V10" i="22"/>
  <c r="U10" i="22"/>
  <c r="T10" i="22"/>
  <c r="S10" i="22"/>
  <c r="R10" i="22"/>
  <c r="Q10" i="22"/>
  <c r="P10" i="22"/>
  <c r="AB39" i="22" l="1"/>
  <c r="CB14" i="22"/>
  <c r="CB15" i="22" s="1"/>
  <c r="CB17" i="22" s="1"/>
  <c r="AC39" i="22"/>
  <c r="T57" i="22"/>
  <c r="Y14" i="22"/>
  <c r="Y15" i="22" s="1"/>
  <c r="Y17" i="22" s="1"/>
  <c r="CR14" i="22"/>
  <c r="CR19" i="22" s="1"/>
  <c r="CR21" i="22" s="1"/>
  <c r="CJ24" i="22"/>
  <c r="X14" i="22"/>
  <c r="X15" i="22" s="1"/>
  <c r="X17" i="22" s="1"/>
  <c r="AB26" i="22"/>
  <c r="AB27" i="22" s="1"/>
  <c r="AB29" i="22" s="1"/>
  <c r="T12" i="22"/>
  <c r="T14" i="22" s="1"/>
  <c r="T15" i="22" s="1"/>
  <c r="T17" i="22" s="1"/>
  <c r="CJ26" i="22"/>
  <c r="CJ27" i="22" s="1"/>
  <c r="CJ29" i="22" s="1"/>
  <c r="CS14" i="22"/>
  <c r="CS19" i="22" s="1"/>
  <c r="U12" i="22"/>
  <c r="O22" i="28"/>
  <c r="O24" i="28" s="1"/>
  <c r="W14" i="22"/>
  <c r="W15" i="22" s="1"/>
  <c r="W17" i="22" s="1"/>
  <c r="X12" i="22"/>
  <c r="V26" i="22"/>
  <c r="V27" i="22" s="1"/>
  <c r="V29" i="22" s="1"/>
  <c r="CB24" i="22"/>
  <c r="CB26" i="22" s="1"/>
  <c r="CB27" i="22" s="1"/>
  <c r="CB29" i="22" s="1"/>
  <c r="Y57" i="22"/>
  <c r="M51" i="26"/>
  <c r="M54" i="26" s="1"/>
  <c r="CE39" i="22"/>
  <c r="CF48" i="22"/>
  <c r="CD48" i="22"/>
  <c r="AA10" i="25"/>
  <c r="CE48" i="22"/>
  <c r="Y26" i="22"/>
  <c r="Y27" i="22" s="1"/>
  <c r="Y29" i="22" s="1"/>
  <c r="CE24" i="22"/>
  <c r="CE26" i="22" s="1"/>
  <c r="CE27" i="22" s="1"/>
  <c r="CE29" i="22" s="1"/>
  <c r="AB57" i="22"/>
  <c r="AB10" i="25"/>
  <c r="AB14" i="22"/>
  <c r="AB15" i="22" s="1"/>
  <c r="AB17" i="22" s="1"/>
  <c r="CS12" i="22"/>
  <c r="U24" i="22"/>
  <c r="U26" i="22" s="1"/>
  <c r="U27" i="22" s="1"/>
  <c r="U29" i="22" s="1"/>
  <c r="CU12" i="22"/>
  <c r="X26" i="22"/>
  <c r="X27" i="22" s="1"/>
  <c r="X29" i="22" s="1"/>
  <c r="AB12" i="22"/>
  <c r="CI39" i="22"/>
  <c r="AC10" i="25"/>
  <c r="AA26" i="22"/>
  <c r="AA27" i="22" s="1"/>
  <c r="AA29" i="22" s="1"/>
  <c r="Z24" i="22"/>
  <c r="Z26" i="22" s="1"/>
  <c r="Z27" i="22" s="1"/>
  <c r="Z29" i="22" s="1"/>
  <c r="Z48" i="22"/>
  <c r="CI48" i="22"/>
  <c r="AV58" i="32"/>
  <c r="AI62" i="32"/>
  <c r="AJ62" i="32" s="1"/>
  <c r="AK62" i="32" s="1"/>
  <c r="T27" i="32"/>
  <c r="AH27" i="32"/>
  <c r="AV64" i="32"/>
  <c r="F33" i="32"/>
  <c r="T58" i="32"/>
  <c r="U31" i="32"/>
  <c r="V31" i="32" s="1"/>
  <c r="AV27" i="32"/>
  <c r="W41" i="32"/>
  <c r="X41" i="32" s="1"/>
  <c r="Y41" i="32" s="1"/>
  <c r="Z41" i="32" s="1"/>
  <c r="AA41" i="32" s="1"/>
  <c r="AB41" i="32" s="1"/>
  <c r="AC41" i="32" s="1"/>
  <c r="AX25" i="32"/>
  <c r="AW27" i="32"/>
  <c r="V56" i="32"/>
  <c r="U58" i="32"/>
  <c r="U62" i="32"/>
  <c r="V46" i="32"/>
  <c r="W46" i="32" s="1"/>
  <c r="X46" i="32" s="1"/>
  <c r="Y46" i="32" s="1"/>
  <c r="Z46" i="32" s="1"/>
  <c r="AA46" i="32" s="1"/>
  <c r="AB46" i="32" s="1"/>
  <c r="AC46" i="32" s="1"/>
  <c r="AD46" i="32"/>
  <c r="AD69" i="32" s="1"/>
  <c r="H25" i="32"/>
  <c r="G27" i="32"/>
  <c r="AK31" i="32"/>
  <c r="AW64" i="32"/>
  <c r="BB46" i="32"/>
  <c r="BC46" i="32" s="1"/>
  <c r="BD46" i="32" s="1"/>
  <c r="BE46" i="32" s="1"/>
  <c r="AV33" i="32"/>
  <c r="BC41" i="32"/>
  <c r="BD41" i="32" s="1"/>
  <c r="BE41" i="32" s="1"/>
  <c r="AJ32" i="32"/>
  <c r="AK32" i="32" s="1"/>
  <c r="AL32" i="32" s="1"/>
  <c r="AM32" i="32" s="1"/>
  <c r="AN32" i="32" s="1"/>
  <c r="AO32" i="32" s="1"/>
  <c r="AP32" i="32" s="1"/>
  <c r="AQ32" i="32" s="1"/>
  <c r="AR32" i="32" s="1"/>
  <c r="AI33" i="32"/>
  <c r="AJ25" i="32"/>
  <c r="AI27" i="32"/>
  <c r="AW56" i="32"/>
  <c r="G31" i="32"/>
  <c r="AX62" i="32"/>
  <c r="AX31" i="32"/>
  <c r="AW33" i="32"/>
  <c r="V25" i="32"/>
  <c r="U27" i="32"/>
  <c r="AR46" i="32"/>
  <c r="AR69" i="32" s="1"/>
  <c r="AJ56" i="32"/>
  <c r="AI58" i="32"/>
  <c r="AH58" i="32"/>
  <c r="AL41" i="32"/>
  <c r="AM41" i="32" s="1"/>
  <c r="AN41" i="32" s="1"/>
  <c r="AO41" i="32" s="1"/>
  <c r="AP41" i="32" s="1"/>
  <c r="AQ41" i="32" s="1"/>
  <c r="AW63" i="32"/>
  <c r="AX63" i="32" s="1"/>
  <c r="AY63" i="32" s="1"/>
  <c r="AZ63" i="32" s="1"/>
  <c r="BA63" i="32" s="1"/>
  <c r="BB63" i="32" s="1"/>
  <c r="BC63" i="32" s="1"/>
  <c r="BD63" i="32" s="1"/>
  <c r="BE63" i="32" s="1"/>
  <c r="BF63" i="32" s="1"/>
  <c r="O29" i="28"/>
  <c r="P29" i="28" s="1"/>
  <c r="K15" i="28"/>
  <c r="K17" i="28" s="1"/>
  <c r="J22" i="28"/>
  <c r="J24" i="28" s="1"/>
  <c r="L15" i="28"/>
  <c r="L17" i="28" s="1"/>
  <c r="O15" i="28"/>
  <c r="O17" i="28" s="1"/>
  <c r="P15" i="28"/>
  <c r="P17" i="28" s="1"/>
  <c r="Q15" i="28"/>
  <c r="Q17" i="28" s="1"/>
  <c r="AD10" i="25"/>
  <c r="R11" i="25"/>
  <c r="X10" i="25"/>
  <c r="W10" i="25"/>
  <c r="Z10" i="25"/>
  <c r="Y10" i="25"/>
  <c r="U10" i="25"/>
  <c r="T10" i="25"/>
  <c r="V10" i="25"/>
  <c r="O54" i="26"/>
  <c r="O67" i="26"/>
  <c r="Q54" i="26"/>
  <c r="Q67" i="26"/>
  <c r="CC14" i="22"/>
  <c r="CC15" i="22" s="1"/>
  <c r="CC17" i="22" s="1"/>
  <c r="AG25" i="22"/>
  <c r="AG11" i="22"/>
  <c r="AH12" i="22" s="1"/>
  <c r="AH14" i="22" s="1"/>
  <c r="CH12" i="22"/>
  <c r="CH14" i="22" s="1"/>
  <c r="CH15" i="22" s="1"/>
  <c r="CH17" i="22" s="1"/>
  <c r="CU14" i="22"/>
  <c r="CA26" i="22"/>
  <c r="CA27" i="22" s="1"/>
  <c r="CA29" i="22" s="1"/>
  <c r="U14" i="22"/>
  <c r="U15" i="22" s="1"/>
  <c r="U17" i="22" s="1"/>
  <c r="CK14" i="22"/>
  <c r="CK15" i="22" s="1"/>
  <c r="CK17" i="22" s="1"/>
  <c r="AG12" i="22"/>
  <c r="AG14" i="22" s="1"/>
  <c r="AG15" i="22" s="1"/>
  <c r="AG17" i="22" s="1"/>
  <c r="CY16" i="22"/>
  <c r="CY19" i="22"/>
  <c r="CJ12" i="22"/>
  <c r="CJ14" i="22" s="1"/>
  <c r="CJ15" i="22" s="1"/>
  <c r="CJ17" i="22" s="1"/>
  <c r="CH39" i="22"/>
  <c r="CZ14" i="22"/>
  <c r="CA48" i="22"/>
  <c r="CI26" i="22"/>
  <c r="CI27" i="22" s="1"/>
  <c r="CI29" i="22" s="1"/>
  <c r="Z12" i="22"/>
  <c r="Z14" i="22" s="1"/>
  <c r="Z15" i="22" s="1"/>
  <c r="Z17" i="22" s="1"/>
  <c r="CV12" i="22"/>
  <c r="CV14" i="22" s="1"/>
  <c r="CX12" i="22"/>
  <c r="CX14" i="22" s="1"/>
  <c r="CW12" i="22"/>
  <c r="CW14" i="22" s="1"/>
  <c r="CK24" i="22"/>
  <c r="CK26" i="22" s="1"/>
  <c r="CK27" i="22" s="1"/>
  <c r="CK29" i="22" s="1"/>
  <c r="CF39" i="22"/>
  <c r="T48" i="22"/>
  <c r="AC26" i="22"/>
  <c r="AC27" i="22" s="1"/>
  <c r="AC29" i="22" s="1"/>
  <c r="S12" i="22"/>
  <c r="S14" i="22" s="1"/>
  <c r="S15" i="22" s="1"/>
  <c r="S17" i="22" s="1"/>
  <c r="CI12" i="22"/>
  <c r="CI14" i="22" s="1"/>
  <c r="CI15" i="22" s="1"/>
  <c r="CI17" i="22" s="1"/>
  <c r="Z39" i="22"/>
  <c r="AC48" i="22"/>
  <c r="CD12" i="22"/>
  <c r="CD14" i="22" s="1"/>
  <c r="CD15" i="22" s="1"/>
  <c r="CD17" i="22" s="1"/>
  <c r="S39" i="22"/>
  <c r="AC14" i="22"/>
  <c r="AC15" i="22" s="1"/>
  <c r="AC17" i="22" s="1"/>
  <c r="CG12" i="22"/>
  <c r="CG14" i="22" s="1"/>
  <c r="CG15" i="22" s="1"/>
  <c r="CG17" i="22" s="1"/>
  <c r="AC57" i="22"/>
  <c r="CF24" i="22"/>
  <c r="CF26" i="22" s="1"/>
  <c r="CF27" i="22" s="1"/>
  <c r="CF29" i="22" s="1"/>
  <c r="X57" i="22"/>
  <c r="CE12" i="22"/>
  <c r="CE14" i="22" s="1"/>
  <c r="CE15" i="22" s="1"/>
  <c r="CE17" i="22" s="1"/>
  <c r="CD26" i="22"/>
  <c r="CD27" i="22" s="1"/>
  <c r="CD29" i="22" s="1"/>
  <c r="CT12" i="22"/>
  <c r="CT14" i="22" s="1"/>
  <c r="AA39" i="22"/>
  <c r="DB12" i="22"/>
  <c r="DB14" i="22" s="1"/>
  <c r="DA12" i="22"/>
  <c r="DA14" i="22" s="1"/>
  <c r="V12" i="22"/>
  <c r="V14" i="22" s="1"/>
  <c r="V15" i="22" s="1"/>
  <c r="V17" i="22" s="1"/>
  <c r="AA12" i="22"/>
  <c r="AA14" i="22" s="1"/>
  <c r="AA15" i="22" s="1"/>
  <c r="AA17" i="22" s="1"/>
  <c r="CH26" i="22"/>
  <c r="CH27" i="22" s="1"/>
  <c r="CH29" i="22" s="1"/>
  <c r="CG39" i="22"/>
  <c r="U48" i="22"/>
  <c r="AJ64" i="32" l="1"/>
  <c r="CS16" i="22"/>
  <c r="AE10" i="25"/>
  <c r="CR16" i="22"/>
  <c r="AI64" i="32"/>
  <c r="U33" i="32"/>
  <c r="U64" i="32"/>
  <c r="V62" i="32"/>
  <c r="W25" i="32"/>
  <c r="V27" i="32"/>
  <c r="W56" i="32"/>
  <c r="V58" i="32"/>
  <c r="V33" i="32"/>
  <c r="W31" i="32"/>
  <c r="AY25" i="32"/>
  <c r="AX27" i="32"/>
  <c r="AK64" i="32"/>
  <c r="AL62" i="32"/>
  <c r="AX56" i="32"/>
  <c r="AW58" i="32"/>
  <c r="AJ33" i="32"/>
  <c r="AX33" i="32"/>
  <c r="AY31" i="32"/>
  <c r="AX64" i="32"/>
  <c r="AY62" i="32"/>
  <c r="AK33" i="32"/>
  <c r="AL31" i="32"/>
  <c r="AR41" i="32"/>
  <c r="AR67" i="32" s="1"/>
  <c r="BF46" i="32"/>
  <c r="BF69" i="32" s="1"/>
  <c r="G33" i="32"/>
  <c r="H31" i="32"/>
  <c r="I25" i="32"/>
  <c r="H27" i="32"/>
  <c r="BF41" i="32"/>
  <c r="BF67" i="32" s="1"/>
  <c r="AK25" i="32"/>
  <c r="AJ27" i="32"/>
  <c r="AD41" i="32"/>
  <c r="AD67" i="32" s="1"/>
  <c r="AK56" i="32"/>
  <c r="AJ58" i="32"/>
  <c r="R12" i="25"/>
  <c r="U11" i="25"/>
  <c r="T11" i="25"/>
  <c r="Y11" i="25"/>
  <c r="X11" i="25"/>
  <c r="V11" i="25"/>
  <c r="AB11" i="25"/>
  <c r="AD11" i="25"/>
  <c r="AA11" i="25"/>
  <c r="W11" i="25"/>
  <c r="Z11" i="25"/>
  <c r="S11" i="25"/>
  <c r="AC11" i="25"/>
  <c r="CV19" i="22"/>
  <c r="CV16" i="22"/>
  <c r="DA19" i="22"/>
  <c r="DA16" i="22"/>
  <c r="AG18" i="22"/>
  <c r="DB16" i="22"/>
  <c r="DB19" i="22"/>
  <c r="CU16" i="22"/>
  <c r="CU19" i="22"/>
  <c r="AH15" i="22"/>
  <c r="AH17" i="22" s="1"/>
  <c r="AH18" i="22" s="1"/>
  <c r="CR24" i="22"/>
  <c r="CS26" i="22"/>
  <c r="CS27" i="22" s="1"/>
  <c r="CS21" i="22"/>
  <c r="CS24" i="22" s="1"/>
  <c r="CZ16" i="22"/>
  <c r="CZ19" i="22"/>
  <c r="CT19" i="22"/>
  <c r="CT16" i="22"/>
  <c r="CW19" i="22"/>
  <c r="CW16" i="22"/>
  <c r="CY26" i="22"/>
  <c r="CY27" i="22" s="1"/>
  <c r="CY21" i="22"/>
  <c r="CY24" i="22" s="1"/>
  <c r="AH11" i="22"/>
  <c r="AH25" i="22"/>
  <c r="CX16" i="22"/>
  <c r="CX19" i="22"/>
  <c r="AE11" i="25" l="1"/>
  <c r="AL64" i="32"/>
  <c r="AM62" i="32"/>
  <c r="AL33" i="32"/>
  <c r="AM31" i="32"/>
  <c r="AZ25" i="32"/>
  <c r="AY27" i="32"/>
  <c r="W33" i="32"/>
  <c r="X31" i="32"/>
  <c r="AY64" i="32"/>
  <c r="AZ62" i="32"/>
  <c r="AL25" i="32"/>
  <c r="AK27" i="32"/>
  <c r="AY33" i="32"/>
  <c r="AZ31" i="32"/>
  <c r="X56" i="32"/>
  <c r="W58" i="32"/>
  <c r="AL56" i="32"/>
  <c r="AK58" i="32"/>
  <c r="X25" i="32"/>
  <c r="W27" i="32"/>
  <c r="J25" i="32"/>
  <c r="I27" i="32"/>
  <c r="V64" i="32"/>
  <c r="W62" i="32"/>
  <c r="H33" i="32"/>
  <c r="I31" i="32"/>
  <c r="AY56" i="32"/>
  <c r="AX58" i="32"/>
  <c r="AD12" i="25"/>
  <c r="AC12" i="25"/>
  <c r="W12" i="25"/>
  <c r="V12" i="25"/>
  <c r="T12" i="25"/>
  <c r="Z12" i="25"/>
  <c r="S12" i="25"/>
  <c r="AB12" i="25"/>
  <c r="R13" i="25"/>
  <c r="AA12" i="25"/>
  <c r="Y12" i="25"/>
  <c r="X12" i="25"/>
  <c r="U12" i="25"/>
  <c r="CW21" i="22"/>
  <c r="CW24" i="22" s="1"/>
  <c r="CW26" i="22"/>
  <c r="CW27" i="22" s="1"/>
  <c r="CT26" i="22"/>
  <c r="CT27" i="22" s="1"/>
  <c r="CT21" i="22"/>
  <c r="CT24" i="22" s="1"/>
  <c r="AI25" i="22"/>
  <c r="AI11" i="22"/>
  <c r="AI12" i="22"/>
  <c r="AI14" i="22" s="1"/>
  <c r="AI15" i="22" s="1"/>
  <c r="AI17" i="22" s="1"/>
  <c r="CU21" i="22"/>
  <c r="CU24" i="22" s="1"/>
  <c r="CU26" i="22"/>
  <c r="CU27" i="22" s="1"/>
  <c r="DB26" i="22"/>
  <c r="DB27" i="22" s="1"/>
  <c r="DB21" i="22"/>
  <c r="DB24" i="22" s="1"/>
  <c r="CX26" i="22"/>
  <c r="CX27" i="22" s="1"/>
  <c r="CX21" i="22"/>
  <c r="CX24" i="22" s="1"/>
  <c r="CZ21" i="22"/>
  <c r="CZ24" i="22" s="1"/>
  <c r="CZ26" i="22"/>
  <c r="CZ27" i="22" s="1"/>
  <c r="DA26" i="22"/>
  <c r="DA27" i="22" s="1"/>
  <c r="DA21" i="22"/>
  <c r="DA24" i="22" s="1"/>
  <c r="AJ12" i="22"/>
  <c r="AJ14" i="22" s="1"/>
  <c r="AJ15" i="22" s="1"/>
  <c r="AJ17" i="22" s="1"/>
  <c r="AJ18" i="22" s="1"/>
  <c r="CV21" i="22"/>
  <c r="CV24" i="22" s="1"/>
  <c r="CV26" i="22"/>
  <c r="CV27" i="22" s="1"/>
  <c r="W64" i="32" l="1"/>
  <c r="X62" i="32"/>
  <c r="AM25" i="32"/>
  <c r="AL27" i="32"/>
  <c r="AZ64" i="32"/>
  <c r="BA62" i="32"/>
  <c r="K25" i="32"/>
  <c r="J27" i="32"/>
  <c r="X33" i="32"/>
  <c r="Y31" i="32"/>
  <c r="BA25" i="32"/>
  <c r="AZ27" i="32"/>
  <c r="AM33" i="32"/>
  <c r="AN31" i="32"/>
  <c r="AM56" i="32"/>
  <c r="AL58" i="32"/>
  <c r="AZ56" i="32"/>
  <c r="AY58" i="32"/>
  <c r="Y56" i="32"/>
  <c r="X58" i="32"/>
  <c r="I33" i="32"/>
  <c r="J31" i="32"/>
  <c r="AZ33" i="32"/>
  <c r="BA31" i="32"/>
  <c r="AM64" i="32"/>
  <c r="AN62" i="32"/>
  <c r="Y25" i="32"/>
  <c r="X27" i="32"/>
  <c r="AA13" i="25"/>
  <c r="Z13" i="25"/>
  <c r="V13" i="25"/>
  <c r="U13" i="25"/>
  <c r="R14" i="25"/>
  <c r="S13" i="25"/>
  <c r="AD13" i="25"/>
  <c r="AC13" i="25"/>
  <c r="AB13" i="25"/>
  <c r="Y13" i="25"/>
  <c r="X13" i="25"/>
  <c r="T13" i="25"/>
  <c r="W13" i="25"/>
  <c r="AE12" i="25"/>
  <c r="AI18" i="22"/>
  <c r="AJ25" i="22"/>
  <c r="AJ11" i="22"/>
  <c r="AK12" i="22"/>
  <c r="AK14" i="22" s="1"/>
  <c r="AK15" i="22" s="1"/>
  <c r="AK17" i="22" s="1"/>
  <c r="AK18" i="22" s="1"/>
  <c r="BB25" i="32" l="1"/>
  <c r="BA27" i="32"/>
  <c r="Y33" i="32"/>
  <c r="Z31" i="32"/>
  <c r="Y58" i="32"/>
  <c r="Z56" i="32"/>
  <c r="K27" i="32"/>
  <c r="L25" i="32"/>
  <c r="BB62" i="32"/>
  <c r="BA64" i="32"/>
  <c r="BA56" i="32"/>
  <c r="AZ58" i="32"/>
  <c r="BA33" i="32"/>
  <c r="BB31" i="32"/>
  <c r="Y27" i="32"/>
  <c r="Z25" i="32"/>
  <c r="AN56" i="32"/>
  <c r="AM58" i="32"/>
  <c r="AM27" i="32"/>
  <c r="AN25" i="32"/>
  <c r="AO62" i="32"/>
  <c r="AN64" i="32"/>
  <c r="AN33" i="32"/>
  <c r="AO31" i="32"/>
  <c r="X64" i="32"/>
  <c r="Y62" i="32"/>
  <c r="J33" i="32"/>
  <c r="K31" i="32"/>
  <c r="AE13" i="25"/>
  <c r="X14" i="25"/>
  <c r="W14" i="25"/>
  <c r="U14" i="25"/>
  <c r="T14" i="25"/>
  <c r="S14" i="25"/>
  <c r="AB14" i="25"/>
  <c r="R15" i="25"/>
  <c r="AD14" i="25"/>
  <c r="AC14" i="25"/>
  <c r="Y14" i="25"/>
  <c r="AA14" i="25"/>
  <c r="Z14" i="25"/>
  <c r="V14" i="25"/>
  <c r="AK25" i="22"/>
  <c r="AK11" i="22"/>
  <c r="AP62" i="32" l="1"/>
  <c r="AO64" i="32"/>
  <c r="BB64" i="32"/>
  <c r="BC62" i="32"/>
  <c r="BB56" i="32"/>
  <c r="BA58" i="32"/>
  <c r="L27" i="32"/>
  <c r="M25" i="32"/>
  <c r="AN58" i="32"/>
  <c r="AO56" i="32"/>
  <c r="K33" i="32"/>
  <c r="L31" i="32"/>
  <c r="Z27" i="32"/>
  <c r="AA25" i="32"/>
  <c r="Z33" i="32"/>
  <c r="AA31" i="32"/>
  <c r="Z58" i="32"/>
  <c r="AA56" i="32"/>
  <c r="Z62" i="32"/>
  <c r="Y64" i="32"/>
  <c r="BB33" i="32"/>
  <c r="BC31" i="32"/>
  <c r="AP31" i="32"/>
  <c r="AO33" i="32"/>
  <c r="AN27" i="32"/>
  <c r="AO25" i="32"/>
  <c r="BB27" i="32"/>
  <c r="BC25" i="32"/>
  <c r="R16" i="25"/>
  <c r="U15" i="25"/>
  <c r="T15" i="25"/>
  <c r="V15" i="25"/>
  <c r="S15" i="25"/>
  <c r="X15" i="25"/>
  <c r="W15" i="25"/>
  <c r="Z15" i="25"/>
  <c r="AD15" i="25"/>
  <c r="AC15" i="25"/>
  <c r="AA15" i="25"/>
  <c r="AB15" i="25"/>
  <c r="Y15" i="25"/>
  <c r="AE14" i="25"/>
  <c r="AL11" i="22"/>
  <c r="AL25" i="22"/>
  <c r="AL12" i="22"/>
  <c r="AL14" i="22" s="1"/>
  <c r="AL15" i="22" s="1"/>
  <c r="AL17" i="22" s="1"/>
  <c r="L33" i="32" l="1"/>
  <c r="M31" i="32"/>
  <c r="AQ31" i="32"/>
  <c r="AP33" i="32"/>
  <c r="AO58" i="32"/>
  <c r="AP56" i="32"/>
  <c r="M27" i="32"/>
  <c r="N25" i="32"/>
  <c r="AA58" i="32"/>
  <c r="AB56" i="32"/>
  <c r="BC56" i="32"/>
  <c r="BB58" i="32"/>
  <c r="AA62" i="32"/>
  <c r="Z64" i="32"/>
  <c r="BC27" i="32"/>
  <c r="BD25" i="32"/>
  <c r="AB31" i="32"/>
  <c r="AA33" i="32"/>
  <c r="BD62" i="32"/>
  <c r="BC64" i="32"/>
  <c r="AO27" i="32"/>
  <c r="AP25" i="32"/>
  <c r="AA27" i="32"/>
  <c r="AB25" i="32"/>
  <c r="BD31" i="32"/>
  <c r="BC33" i="32"/>
  <c r="AQ62" i="32"/>
  <c r="AP64" i="32"/>
  <c r="AE15" i="25"/>
  <c r="AD16" i="25"/>
  <c r="AC16" i="25"/>
  <c r="T16" i="25"/>
  <c r="R17" i="25"/>
  <c r="S16" i="25"/>
  <c r="Y16" i="25"/>
  <c r="X16" i="25"/>
  <c r="V16" i="25"/>
  <c r="W16" i="25"/>
  <c r="U16" i="25"/>
  <c r="AB16" i="25"/>
  <c r="AA16" i="25"/>
  <c r="Z16" i="25"/>
  <c r="AL18" i="22"/>
  <c r="AM12" i="22"/>
  <c r="AM14" i="22" s="1"/>
  <c r="AM15" i="22" s="1"/>
  <c r="AM17" i="22" s="1"/>
  <c r="AM18" i="22" s="1"/>
  <c r="AM11" i="22"/>
  <c r="AM25" i="22"/>
  <c r="AB58" i="32" l="1"/>
  <c r="AC56" i="32"/>
  <c r="N27" i="32"/>
  <c r="O25" i="32"/>
  <c r="AP58" i="32"/>
  <c r="AQ56" i="32"/>
  <c r="AC31" i="32"/>
  <c r="AB33" i="32"/>
  <c r="AB27" i="32"/>
  <c r="AC25" i="32"/>
  <c r="BD27" i="32"/>
  <c r="BE25" i="32"/>
  <c r="AR62" i="32"/>
  <c r="AR64" i="32" s="1"/>
  <c r="AQ64" i="32"/>
  <c r="AR31" i="32"/>
  <c r="AR33" i="32" s="1"/>
  <c r="AQ33" i="32"/>
  <c r="BC58" i="32"/>
  <c r="BD56" i="32"/>
  <c r="BE62" i="32"/>
  <c r="BD64" i="32"/>
  <c r="N31" i="32"/>
  <c r="M33" i="32"/>
  <c r="AP27" i="32"/>
  <c r="AQ25" i="32"/>
  <c r="BE31" i="32"/>
  <c r="BD33" i="32"/>
  <c r="AB62" i="32"/>
  <c r="AA64" i="32"/>
  <c r="AE16" i="25"/>
  <c r="AA17" i="25"/>
  <c r="Z17" i="25"/>
  <c r="R18" i="25"/>
  <c r="S17" i="25"/>
  <c r="AD17" i="25"/>
  <c r="AC17" i="25"/>
  <c r="X17" i="25"/>
  <c r="AB17" i="25"/>
  <c r="Y17" i="25"/>
  <c r="W17" i="25"/>
  <c r="T17" i="25"/>
  <c r="V17" i="25"/>
  <c r="U17" i="25"/>
  <c r="AN25" i="22"/>
  <c r="AN11" i="22"/>
  <c r="AN12" i="22"/>
  <c r="AN14" i="22" s="1"/>
  <c r="AN15" i="22" s="1"/>
  <c r="AN17" i="22" s="1"/>
  <c r="AN18" i="22" s="1"/>
  <c r="O31" i="32" l="1"/>
  <c r="N33" i="32"/>
  <c r="AD31" i="32"/>
  <c r="AD33" i="32" s="1"/>
  <c r="AC33" i="32"/>
  <c r="AQ58" i="32"/>
  <c r="AR56" i="32"/>
  <c r="AR58" i="32" s="1"/>
  <c r="BE27" i="32"/>
  <c r="BF25" i="32"/>
  <c r="BF27" i="32" s="1"/>
  <c r="BD58" i="32"/>
  <c r="BE56" i="32"/>
  <c r="O27" i="32"/>
  <c r="P25" i="32"/>
  <c r="P27" i="32" s="1"/>
  <c r="AC62" i="32"/>
  <c r="AB64" i="32"/>
  <c r="AQ27" i="32"/>
  <c r="AR25" i="32"/>
  <c r="AR27" i="32" s="1"/>
  <c r="BF62" i="32"/>
  <c r="BF64" i="32" s="1"/>
  <c r="BE64" i="32"/>
  <c r="AC58" i="32"/>
  <c r="AD56" i="32"/>
  <c r="AD58" i="32" s="1"/>
  <c r="AC27" i="32"/>
  <c r="AD25" i="32"/>
  <c r="AD27" i="32" s="1"/>
  <c r="BF31" i="32"/>
  <c r="BF33" i="32" s="1"/>
  <c r="BE33" i="32"/>
  <c r="X18" i="25"/>
  <c r="W18" i="25"/>
  <c r="T18" i="25"/>
  <c r="AC18" i="25"/>
  <c r="R19" i="25"/>
  <c r="S18" i="25"/>
  <c r="AB18" i="25"/>
  <c r="AD18" i="25"/>
  <c r="AA18" i="25"/>
  <c r="Z18" i="25"/>
  <c r="Y18" i="25"/>
  <c r="V18" i="25"/>
  <c r="U18" i="25"/>
  <c r="AE17" i="25"/>
  <c r="AO11" i="22"/>
  <c r="AO25" i="22"/>
  <c r="AO12" i="22"/>
  <c r="AO14" i="22" s="1"/>
  <c r="AO15" i="22" s="1"/>
  <c r="AO17" i="22" s="1"/>
  <c r="AO18" i="22" s="1"/>
  <c r="BE58" i="32" l="1"/>
  <c r="BF56" i="32"/>
  <c r="BF58" i="32" s="1"/>
  <c r="AD62" i="32"/>
  <c r="AD64" i="32" s="1"/>
  <c r="AC64" i="32"/>
  <c r="P31" i="32"/>
  <c r="P33" i="32" s="1"/>
  <c r="O33" i="32"/>
  <c r="R20" i="25"/>
  <c r="U19" i="25"/>
  <c r="T19" i="25"/>
  <c r="S19" i="25"/>
  <c r="AD19" i="25"/>
  <c r="AC19" i="25"/>
  <c r="AB19" i="25"/>
  <c r="Y19" i="25"/>
  <c r="X19" i="25"/>
  <c r="AA19" i="25"/>
  <c r="W19" i="25"/>
  <c r="Z19" i="25"/>
  <c r="V19" i="25"/>
  <c r="AE18" i="25"/>
  <c r="AP12" i="22"/>
  <c r="AP14" i="22" s="1"/>
  <c r="AP15" i="22" s="1"/>
  <c r="AP17" i="22" s="1"/>
  <c r="AP18" i="22" s="1"/>
  <c r="AP11" i="22"/>
  <c r="AQ12" i="22" s="1"/>
  <c r="AQ14" i="22" s="1"/>
  <c r="AQ15" i="22" s="1"/>
  <c r="AQ17" i="22" s="1"/>
  <c r="AQ18" i="22" s="1"/>
  <c r="AP25" i="22"/>
  <c r="AE19" i="25" l="1"/>
  <c r="AD20" i="25"/>
  <c r="AC20" i="25"/>
  <c r="R21" i="25"/>
  <c r="S20" i="25"/>
  <c r="AB20" i="25"/>
  <c r="AA20" i="25"/>
  <c r="Z20" i="25"/>
  <c r="W20" i="25"/>
  <c r="V20" i="25"/>
  <c r="Y20" i="25"/>
  <c r="X20" i="25"/>
  <c r="U20" i="25"/>
  <c r="T20" i="25"/>
  <c r="AQ25" i="22"/>
  <c r="AQ11" i="22"/>
  <c r="AE20" i="25" l="1"/>
  <c r="AA21" i="25"/>
  <c r="Z21" i="25"/>
  <c r="AD21" i="25"/>
  <c r="AC21" i="25"/>
  <c r="AB21" i="25"/>
  <c r="Y21" i="25"/>
  <c r="V21" i="25"/>
  <c r="T21" i="25"/>
  <c r="R22" i="25"/>
  <c r="X21" i="25"/>
  <c r="U21" i="25"/>
  <c r="W21" i="25"/>
  <c r="S21" i="25"/>
  <c r="AR25" i="22"/>
  <c r="AR11" i="22"/>
  <c r="AR12" i="22"/>
  <c r="AR14" i="22" s="1"/>
  <c r="AR15" i="22" s="1"/>
  <c r="AR17" i="22" s="1"/>
  <c r="AR18" i="22" s="1"/>
  <c r="X22" i="25" l="1"/>
  <c r="W22" i="25"/>
  <c r="AC22" i="25"/>
  <c r="AB22" i="25"/>
  <c r="AA22" i="25"/>
  <c r="Z22" i="25"/>
  <c r="U22" i="25"/>
  <c r="Y22" i="25"/>
  <c r="V22" i="25"/>
  <c r="S22" i="25"/>
  <c r="R23" i="25"/>
  <c r="T22" i="25"/>
  <c r="AD22" i="25"/>
  <c r="AE21" i="25"/>
  <c r="AS25" i="22"/>
  <c r="AS11" i="22"/>
  <c r="AS12" i="22"/>
  <c r="AS14" i="22" s="1"/>
  <c r="AS15" i="22" s="1"/>
  <c r="AS17" i="22" s="1"/>
  <c r="AS18" i="22" s="1"/>
  <c r="R24" i="25" l="1"/>
  <c r="U23" i="25"/>
  <c r="T23" i="25"/>
  <c r="AD23" i="25"/>
  <c r="AB23" i="25"/>
  <c r="AA23" i="25"/>
  <c r="Z23" i="25"/>
  <c r="Y23" i="25"/>
  <c r="V23" i="25"/>
  <c r="AC23" i="25"/>
  <c r="X23" i="25"/>
  <c r="W23" i="25"/>
  <c r="S23" i="25"/>
  <c r="AE22" i="25"/>
  <c r="AT11" i="22"/>
  <c r="AT25" i="22"/>
  <c r="AT12" i="22"/>
  <c r="AT14" i="22" s="1"/>
  <c r="AT15" i="22" s="1"/>
  <c r="AT17" i="22" s="1"/>
  <c r="AT18" i="22" s="1"/>
  <c r="AE23" i="25" l="1"/>
  <c r="AD24" i="25"/>
  <c r="AC24" i="25"/>
  <c r="AA24" i="25"/>
  <c r="Z24" i="25"/>
  <c r="Y24" i="25"/>
  <c r="X24" i="25"/>
  <c r="U24" i="25"/>
  <c r="W24" i="25"/>
  <c r="S24" i="25"/>
  <c r="V24" i="25"/>
  <c r="T24" i="25"/>
  <c r="R25" i="25"/>
  <c r="AB24" i="25"/>
  <c r="AU25" i="22"/>
  <c r="AU11" i="22"/>
  <c r="AU12" i="22"/>
  <c r="AU14" i="22" s="1"/>
  <c r="AU15" i="22" s="1"/>
  <c r="AU17" i="22" s="1"/>
  <c r="AU18" i="22" s="1"/>
  <c r="AE24" i="25" l="1"/>
  <c r="AA25" i="25"/>
  <c r="Z25" i="25"/>
  <c r="Y25" i="25"/>
  <c r="AC25" i="25"/>
  <c r="AB25" i="25"/>
  <c r="X25" i="25"/>
  <c r="W25" i="25"/>
  <c r="T25" i="25"/>
  <c r="R26" i="25"/>
  <c r="AD25" i="25"/>
  <c r="V25" i="25"/>
  <c r="U25" i="25"/>
  <c r="S25" i="25"/>
  <c r="AV25" i="22"/>
  <c r="AV11" i="22"/>
  <c r="AV12" i="22"/>
  <c r="AV14" i="22" s="1"/>
  <c r="AV15" i="22" s="1"/>
  <c r="AV17" i="22" s="1"/>
  <c r="AV18" i="22" s="1"/>
  <c r="AE25" i="25" l="1"/>
  <c r="X26" i="25"/>
  <c r="V26" i="25"/>
  <c r="W26" i="25"/>
  <c r="AC26" i="25"/>
  <c r="AB26" i="25"/>
  <c r="AA26" i="25"/>
  <c r="Z26" i="25"/>
  <c r="T26" i="25"/>
  <c r="Y26" i="25"/>
  <c r="R27" i="25"/>
  <c r="U26" i="25"/>
  <c r="S26" i="25"/>
  <c r="AD26" i="25"/>
  <c r="AW25" i="22"/>
  <c r="AW11" i="22"/>
  <c r="AX12" i="22" s="1"/>
  <c r="AX14" i="22" s="1"/>
  <c r="AW12" i="22"/>
  <c r="AW14" i="22" s="1"/>
  <c r="AW15" i="22" s="1"/>
  <c r="AW17" i="22" s="1"/>
  <c r="AW18" i="22" s="1"/>
  <c r="AX15" i="22" l="1"/>
  <c r="AX17" i="22" s="1"/>
  <c r="AX18" i="22" s="1"/>
  <c r="R28" i="25"/>
  <c r="U27" i="25"/>
  <c r="S27" i="25"/>
  <c r="T27" i="25"/>
  <c r="AC27" i="25"/>
  <c r="AB27" i="25"/>
  <c r="AA27" i="25"/>
  <c r="Z27" i="25"/>
  <c r="W27" i="25"/>
  <c r="AD27" i="25"/>
  <c r="Y27" i="25"/>
  <c r="X27" i="25"/>
  <c r="V27" i="25"/>
  <c r="AE26" i="25"/>
  <c r="AX11" i="22"/>
  <c r="AY12" i="22" s="1"/>
  <c r="AY14" i="22" s="1"/>
  <c r="AY15" i="22" s="1"/>
  <c r="AY17" i="22" s="1"/>
  <c r="AY18" i="22" s="1"/>
  <c r="AX25" i="22"/>
  <c r="AE27" i="25" l="1"/>
  <c r="AD28" i="25"/>
  <c r="AB28" i="25"/>
  <c r="AC28" i="25"/>
  <c r="R29" i="25"/>
  <c r="AA28" i="25"/>
  <c r="Z28" i="25"/>
  <c r="Y28" i="25"/>
  <c r="V28" i="25"/>
  <c r="W28" i="25"/>
  <c r="U28" i="25"/>
  <c r="T28" i="25"/>
  <c r="S28" i="25"/>
  <c r="X28" i="25"/>
  <c r="AY11" i="22"/>
  <c r="AY25" i="22"/>
  <c r="AA29" i="25" l="1"/>
  <c r="Z29" i="25"/>
  <c r="Y29" i="25"/>
  <c r="R30" i="25"/>
  <c r="AD29" i="25"/>
  <c r="AC29" i="25"/>
  <c r="AB29" i="25"/>
  <c r="V29" i="25"/>
  <c r="S29" i="25"/>
  <c r="X29" i="25"/>
  <c r="W29" i="25"/>
  <c r="U29" i="25"/>
  <c r="T29" i="25"/>
  <c r="AE28" i="25"/>
  <c r="AZ25" i="22"/>
  <c r="AZ11" i="22"/>
  <c r="AZ12" i="22"/>
  <c r="AZ14" i="22" s="1"/>
  <c r="AZ15" i="22" s="1"/>
  <c r="AZ17" i="22" s="1"/>
  <c r="AZ18" i="22" s="1"/>
  <c r="AE29" i="25" l="1"/>
  <c r="X30" i="25"/>
  <c r="V30" i="25"/>
  <c r="W30" i="25"/>
  <c r="R31" i="25"/>
  <c r="AD30" i="25"/>
  <c r="AC30" i="25"/>
  <c r="AB30" i="25"/>
  <c r="Y30" i="25"/>
  <c r="Z30" i="25"/>
  <c r="U30" i="25"/>
  <c r="S30" i="25"/>
  <c r="AE30" i="25" s="1"/>
  <c r="T30" i="25"/>
  <c r="AA30" i="25"/>
  <c r="BA11" i="22"/>
  <c r="BA25" i="22"/>
  <c r="BA12" i="22"/>
  <c r="BA14" i="22" s="1"/>
  <c r="BA15" i="22" s="1"/>
  <c r="BA17" i="22" s="1"/>
  <c r="BA18" i="22" s="1"/>
  <c r="R32" i="25" l="1"/>
  <c r="U31" i="25"/>
  <c r="S31" i="25"/>
  <c r="T31" i="25"/>
  <c r="AD31" i="25"/>
  <c r="AC31" i="25"/>
  <c r="AB31" i="25"/>
  <c r="Y31" i="25"/>
  <c r="AA31" i="25"/>
  <c r="Z31" i="25"/>
  <c r="X31" i="25"/>
  <c r="W31" i="25"/>
  <c r="V31" i="25"/>
  <c r="BB11" i="22"/>
  <c r="BB25" i="22"/>
  <c r="BB12" i="22"/>
  <c r="BB14" i="22" s="1"/>
  <c r="BB15" i="22" s="1"/>
  <c r="BB17" i="22" s="1"/>
  <c r="BB18" i="22" s="1"/>
  <c r="AE31" i="25" l="1"/>
  <c r="AD32" i="25"/>
  <c r="AB32" i="25"/>
  <c r="AC32" i="25"/>
  <c r="T32" i="25"/>
  <c r="R33" i="25"/>
  <c r="AA32" i="25"/>
  <c r="X32" i="25"/>
  <c r="W32" i="25"/>
  <c r="S32" i="25"/>
  <c r="Z32" i="25"/>
  <c r="V32" i="25"/>
  <c r="U32" i="25"/>
  <c r="Y32" i="25"/>
  <c r="BC25" i="22"/>
  <c r="BC11" i="22"/>
  <c r="BC12" i="22"/>
  <c r="BC14" i="22" s="1"/>
  <c r="BC15" i="22" s="1"/>
  <c r="BC17" i="22" s="1"/>
  <c r="BC18" i="22" s="1"/>
  <c r="AE32" i="25" l="1"/>
  <c r="AA33" i="25"/>
  <c r="Z33" i="25"/>
  <c r="Y33" i="25"/>
  <c r="T33" i="25"/>
  <c r="R34" i="25"/>
  <c r="AD33" i="25"/>
  <c r="X33" i="25"/>
  <c r="AC33" i="25"/>
  <c r="AB33" i="25"/>
  <c r="W33" i="25"/>
  <c r="V33" i="25"/>
  <c r="U33" i="25"/>
  <c r="S33" i="25"/>
  <c r="BD25" i="22"/>
  <c r="BD11" i="22"/>
  <c r="BD12" i="22"/>
  <c r="BD14" i="22" s="1"/>
  <c r="BD15" i="22" s="1"/>
  <c r="BD17" i="22" s="1"/>
  <c r="BD18" i="22" s="1"/>
  <c r="X34" i="25" l="1"/>
  <c r="V34" i="25"/>
  <c r="W34" i="25"/>
  <c r="T34" i="25"/>
  <c r="R35" i="25"/>
  <c r="AD34" i="25"/>
  <c r="AA34" i="25"/>
  <c r="U34" i="25"/>
  <c r="S34" i="25"/>
  <c r="Z34" i="25"/>
  <c r="AB34" i="25"/>
  <c r="AC34" i="25"/>
  <c r="Y34" i="25"/>
  <c r="AE33" i="25"/>
  <c r="BE25" i="22"/>
  <c r="BE11" i="22"/>
  <c r="BE12" i="22"/>
  <c r="BE14" i="22" s="1"/>
  <c r="BE15" i="22" s="1"/>
  <c r="BE17" i="22" s="1"/>
  <c r="BE18" i="22" s="1"/>
  <c r="AE34" i="25" l="1"/>
  <c r="R36" i="25"/>
  <c r="U35" i="25"/>
  <c r="S35" i="25"/>
  <c r="T35" i="25"/>
  <c r="W35" i="25"/>
  <c r="AD35" i="25"/>
  <c r="AA35" i="25"/>
  <c r="Z35" i="25"/>
  <c r="AC35" i="25"/>
  <c r="AB35" i="25"/>
  <c r="Y35" i="25"/>
  <c r="X35" i="25"/>
  <c r="V35" i="25"/>
  <c r="BF11" i="22"/>
  <c r="BF25" i="22"/>
  <c r="BF12" i="22"/>
  <c r="BF14" i="22" s="1"/>
  <c r="BF15" i="22" s="1"/>
  <c r="BF17" i="22" s="1"/>
  <c r="BF18" i="22" s="1"/>
  <c r="AE35" i="25" l="1"/>
  <c r="AD36" i="25"/>
  <c r="AB36" i="25"/>
  <c r="AC36" i="25"/>
  <c r="V36" i="25"/>
  <c r="T36" i="25"/>
  <c r="S36" i="25"/>
  <c r="R37" i="25"/>
  <c r="Z36" i="25"/>
  <c r="AA36" i="25"/>
  <c r="W36" i="25"/>
  <c r="Y36" i="25"/>
  <c r="X36" i="25"/>
  <c r="U36" i="25"/>
  <c r="BG25" i="22"/>
  <c r="BG11" i="22"/>
  <c r="BG12" i="22"/>
  <c r="BG14" i="22" s="1"/>
  <c r="BG15" i="22" s="1"/>
  <c r="BG17" i="22" s="1"/>
  <c r="BG18" i="22" s="1"/>
  <c r="AB37" i="25" l="1"/>
  <c r="AA37" i="25"/>
  <c r="Z37" i="25"/>
  <c r="Y37" i="25"/>
  <c r="W37" i="25"/>
  <c r="U37" i="25"/>
  <c r="T37" i="25"/>
  <c r="S37" i="25"/>
  <c r="R38" i="25"/>
  <c r="AC37" i="25"/>
  <c r="AD37" i="25"/>
  <c r="X37" i="25"/>
  <c r="V37" i="25"/>
  <c r="AE36" i="25"/>
  <c r="BH25" i="22"/>
  <c r="BH11" i="22"/>
  <c r="BH12" i="22"/>
  <c r="BH14" i="22" s="1"/>
  <c r="BH15" i="22" s="1"/>
  <c r="BH17" i="22" s="1"/>
  <c r="BH18" i="22" s="1"/>
  <c r="Y38" i="25" l="1"/>
  <c r="X38" i="25"/>
  <c r="W38" i="25"/>
  <c r="V38" i="25"/>
  <c r="AB38" i="25"/>
  <c r="Z38" i="25"/>
  <c r="U38" i="25"/>
  <c r="T38" i="25"/>
  <c r="S38" i="25"/>
  <c r="AC38" i="25"/>
  <c r="R39" i="25"/>
  <c r="AD38" i="25"/>
  <c r="AA38" i="25"/>
  <c r="AE37" i="25"/>
  <c r="BI25" i="22"/>
  <c r="BI11" i="22"/>
  <c r="BI12" i="22"/>
  <c r="BI14" i="22" s="1"/>
  <c r="BI15" i="22" s="1"/>
  <c r="BI17" i="22" s="1"/>
  <c r="BI18" i="22" s="1"/>
  <c r="AE38" i="25" l="1"/>
  <c r="V39" i="25"/>
  <c r="R40" i="25"/>
  <c r="U39" i="25"/>
  <c r="S39" i="25"/>
  <c r="T39" i="25"/>
  <c r="AC39" i="25"/>
  <c r="AA39" i="25"/>
  <c r="Z39" i="25"/>
  <c r="Y39" i="25"/>
  <c r="X39" i="25"/>
  <c r="AD39" i="25"/>
  <c r="AB39" i="25"/>
  <c r="W39" i="25"/>
  <c r="BJ11" i="22"/>
  <c r="BJ25" i="22"/>
  <c r="BJ12" i="22"/>
  <c r="BJ14" i="22" s="1"/>
  <c r="BJ15" i="22" s="1"/>
  <c r="BJ17" i="22" s="1"/>
  <c r="BJ18" i="22" s="1"/>
  <c r="AE39" i="25" l="1"/>
  <c r="S40" i="25"/>
  <c r="AD40" i="25"/>
  <c r="AC40" i="25"/>
  <c r="AB40" i="25"/>
  <c r="R41" i="25"/>
  <c r="AA40" i="25"/>
  <c r="Z40" i="25"/>
  <c r="Y40" i="25"/>
  <c r="X40" i="25"/>
  <c r="U40" i="25"/>
  <c r="V40" i="25"/>
  <c r="T40" i="25"/>
  <c r="W40" i="25"/>
  <c r="BK12" i="22"/>
  <c r="BK14" i="22" s="1"/>
  <c r="BK15" i="22" s="1"/>
  <c r="BK17" i="22" s="1"/>
  <c r="BK18" i="22" s="1"/>
  <c r="BK11" i="22"/>
  <c r="BL12" i="22" s="1"/>
  <c r="BL14" i="22" s="1"/>
  <c r="BK25" i="22"/>
  <c r="AB41" i="25" l="1"/>
  <c r="AA41" i="25"/>
  <c r="Z41" i="25"/>
  <c r="Y41" i="25"/>
  <c r="AD41" i="25"/>
  <c r="AC41" i="25"/>
  <c r="V41" i="25"/>
  <c r="R42" i="25"/>
  <c r="X41" i="25"/>
  <c r="W41" i="25"/>
  <c r="U41" i="25"/>
  <c r="T41" i="25"/>
  <c r="S41" i="25"/>
  <c r="AE40" i="25"/>
  <c r="BL25" i="22"/>
  <c r="BL11" i="22"/>
  <c r="BL15" i="22"/>
  <c r="BL17" i="22" s="1"/>
  <c r="BL18" i="22" s="1"/>
  <c r="Y42" i="25" l="1"/>
  <c r="X42" i="25"/>
  <c r="W42" i="25"/>
  <c r="V42" i="25"/>
  <c r="S42" i="25"/>
  <c r="R43" i="25"/>
  <c r="AD42" i="25"/>
  <c r="AA42" i="25"/>
  <c r="Z42" i="25"/>
  <c r="U42" i="25"/>
  <c r="T42" i="25"/>
  <c r="AC42" i="25"/>
  <c r="AB42" i="25"/>
  <c r="AE41" i="25"/>
  <c r="BM25" i="22"/>
  <c r="BM11" i="22"/>
  <c r="BM12" i="22"/>
  <c r="BM14" i="22" s="1"/>
  <c r="BM15" i="22" s="1"/>
  <c r="BM17" i="22" s="1"/>
  <c r="BM18" i="22" s="1"/>
  <c r="BN12" i="22"/>
  <c r="BN14" i="22" s="1"/>
  <c r="BN15" i="22" s="1"/>
  <c r="BN17" i="22" s="1"/>
  <c r="BN18" i="22" s="1"/>
  <c r="AE42" i="25" l="1"/>
  <c r="V43" i="25"/>
  <c r="R44" i="25"/>
  <c r="U43" i="25"/>
  <c r="T43" i="25"/>
  <c r="S43" i="25"/>
  <c r="X43" i="25"/>
  <c r="AB43" i="25"/>
  <c r="AD43" i="25"/>
  <c r="AC43" i="25"/>
  <c r="AA43" i="25"/>
  <c r="Z43" i="25"/>
  <c r="Y43" i="25"/>
  <c r="W43" i="25"/>
  <c r="BN11" i="22"/>
  <c r="BN25" i="22"/>
  <c r="AE43" i="25" l="1"/>
  <c r="S44" i="25"/>
  <c r="AD44" i="25"/>
  <c r="AB44" i="25"/>
  <c r="AC44" i="25"/>
  <c r="X44" i="25"/>
  <c r="V44" i="25"/>
  <c r="U44" i="25"/>
  <c r="T44" i="25"/>
  <c r="Y44" i="25"/>
  <c r="W44" i="25"/>
  <c r="AA44" i="25"/>
  <c r="R45" i="25"/>
  <c r="Z44" i="25"/>
  <c r="BO25" i="22"/>
  <c r="BO11" i="22"/>
  <c r="BO12" i="22"/>
  <c r="BO14" i="22" s="1"/>
  <c r="BO15" i="22" s="1"/>
  <c r="BO17" i="22" s="1"/>
  <c r="BO18" i="22" s="1"/>
  <c r="AE44" i="25" l="1"/>
  <c r="AB45" i="25"/>
  <c r="AA45" i="25"/>
  <c r="Y45" i="25"/>
  <c r="Z45" i="25"/>
  <c r="AC45" i="25"/>
  <c r="W45" i="25"/>
  <c r="V45" i="25"/>
  <c r="U45" i="25"/>
  <c r="T45" i="25"/>
  <c r="R46" i="25"/>
  <c r="AD45" i="25"/>
  <c r="X45" i="25"/>
  <c r="S45" i="25"/>
  <c r="BP25" i="22"/>
  <c r="BP11" i="22"/>
  <c r="BP12" i="22"/>
  <c r="BP14" i="22" s="1"/>
  <c r="BP15" i="22" s="1"/>
  <c r="BP17" i="22" s="1"/>
  <c r="BP18" i="22" s="1"/>
  <c r="Y46" i="25" l="1"/>
  <c r="X46" i="25"/>
  <c r="W46" i="25"/>
  <c r="V46" i="25"/>
  <c r="AD46" i="25"/>
  <c r="AB46" i="25"/>
  <c r="AA46" i="25"/>
  <c r="Z46" i="25"/>
  <c r="U46" i="25"/>
  <c r="AC46" i="25"/>
  <c r="T46" i="25"/>
  <c r="S46" i="25"/>
  <c r="R47" i="25"/>
  <c r="AE45" i="25"/>
  <c r="BQ25" i="22"/>
  <c r="BQ11" i="22"/>
  <c r="BQ12" i="22"/>
  <c r="BQ14" i="22" s="1"/>
  <c r="BQ15" i="22" s="1"/>
  <c r="BQ17" i="22" s="1"/>
  <c r="BQ18" i="22" s="1"/>
  <c r="AE46" i="25" l="1"/>
  <c r="V47" i="25"/>
  <c r="R48" i="25"/>
  <c r="U47" i="25"/>
  <c r="T47" i="25"/>
  <c r="S47" i="25"/>
  <c r="AC47" i="25"/>
  <c r="AB47" i="25"/>
  <c r="AA47" i="25"/>
  <c r="Z47" i="25"/>
  <c r="W47" i="25"/>
  <c r="AD47" i="25"/>
  <c r="Y47" i="25"/>
  <c r="X47" i="25"/>
  <c r="BR11" i="22"/>
  <c r="BR25" i="22"/>
  <c r="BS12" i="22"/>
  <c r="BS14" i="22" s="1"/>
  <c r="BR12" i="22"/>
  <c r="BR14" i="22" s="1"/>
  <c r="BR15" i="22" s="1"/>
  <c r="BR17" i="22" s="1"/>
  <c r="BR18" i="22" s="1"/>
  <c r="AE47" i="25" l="1"/>
  <c r="S48" i="25"/>
  <c r="AD48" i="25"/>
  <c r="AC48" i="25"/>
  <c r="AB48" i="25"/>
  <c r="R49" i="25"/>
  <c r="AA48" i="25"/>
  <c r="Z48" i="25"/>
  <c r="W48" i="25"/>
  <c r="Y48" i="25"/>
  <c r="U48" i="25"/>
  <c r="X48" i="25"/>
  <c r="V48" i="25"/>
  <c r="T48" i="25"/>
  <c r="BS15" i="22"/>
  <c r="BS17" i="22" s="1"/>
  <c r="BS18" i="22" s="1"/>
  <c r="BS25" i="22"/>
  <c r="BS11" i="22"/>
  <c r="AB49" i="25" l="1"/>
  <c r="AA49" i="25"/>
  <c r="Z49" i="25"/>
  <c r="Y49" i="25"/>
  <c r="T49" i="25"/>
  <c r="R50" i="25"/>
  <c r="X49" i="25"/>
  <c r="S49" i="25"/>
  <c r="AD49" i="25"/>
  <c r="AC49" i="25"/>
  <c r="W49" i="25"/>
  <c r="V49" i="25"/>
  <c r="U49" i="25"/>
  <c r="AE48" i="25"/>
  <c r="BT25" i="22"/>
  <c r="AF27" i="22" s="1"/>
  <c r="BT12" i="22"/>
  <c r="BT14" i="22" s="1"/>
  <c r="BT15" i="22" s="1"/>
  <c r="BT17" i="22" s="1"/>
  <c r="AE49" i="25" l="1"/>
  <c r="Y50" i="25"/>
  <c r="X50" i="25"/>
  <c r="W50" i="25"/>
  <c r="V50" i="25"/>
  <c r="U50" i="25"/>
  <c r="S50" i="25"/>
  <c r="R51" i="25"/>
  <c r="AC50" i="25"/>
  <c r="AB50" i="25"/>
  <c r="T50" i="25"/>
  <c r="AA50" i="25"/>
  <c r="Z50" i="25"/>
  <c r="AD50" i="25"/>
  <c r="BT18" i="22"/>
  <c r="AF20" i="22"/>
  <c r="V51" i="25" l="1"/>
  <c r="R52" i="25"/>
  <c r="U51" i="25"/>
  <c r="T51" i="25"/>
  <c r="S51" i="25"/>
  <c r="Z51" i="25"/>
  <c r="X51" i="25"/>
  <c r="W51" i="25"/>
  <c r="AD51" i="25"/>
  <c r="AC51" i="25"/>
  <c r="AB51" i="25"/>
  <c r="AA51" i="25"/>
  <c r="Y51" i="25"/>
  <c r="AE50" i="25"/>
  <c r="AE51" i="25" l="1"/>
  <c r="S52" i="25"/>
  <c r="AD52" i="25"/>
  <c r="AC52" i="25"/>
  <c r="AB52" i="25"/>
  <c r="Z52" i="25"/>
  <c r="X52" i="25"/>
  <c r="W52" i="25"/>
  <c r="V52" i="25"/>
  <c r="U52" i="25"/>
  <c r="T52" i="25"/>
  <c r="AA52" i="25"/>
  <c r="Y52" i="25"/>
  <c r="R53" i="25"/>
  <c r="AB53" i="25" l="1"/>
  <c r="AA53" i="25"/>
  <c r="Z53" i="25"/>
  <c r="Y53" i="25"/>
  <c r="AC53" i="25"/>
  <c r="X53" i="25"/>
  <c r="W53" i="25"/>
  <c r="V53" i="25"/>
  <c r="S53" i="25"/>
  <c r="R54" i="25"/>
  <c r="AD53" i="25"/>
  <c r="U53" i="25"/>
  <c r="T53" i="25"/>
  <c r="AE52" i="25"/>
  <c r="Y54" i="25" l="1"/>
  <c r="X54" i="25"/>
  <c r="W54" i="25"/>
  <c r="V54" i="25"/>
  <c r="AD54" i="25"/>
  <c r="AC54" i="25"/>
  <c r="AB54" i="25"/>
  <c r="AA54" i="25"/>
  <c r="T54" i="25"/>
  <c r="R55" i="25"/>
  <c r="Z54" i="25"/>
  <c r="U54" i="25"/>
  <c r="S54" i="25"/>
  <c r="AE53" i="25"/>
  <c r="V55" i="25" l="1"/>
  <c r="R56" i="25"/>
  <c r="U55" i="25"/>
  <c r="T55" i="25"/>
  <c r="S55" i="25"/>
  <c r="AD55" i="25"/>
  <c r="AC55" i="25"/>
  <c r="AB55" i="25"/>
  <c r="Y55" i="25"/>
  <c r="X55" i="25"/>
  <c r="W55" i="25"/>
  <c r="AA55" i="25"/>
  <c r="Z55" i="25"/>
  <c r="AE54" i="25"/>
  <c r="AE55" i="25" l="1"/>
  <c r="S56" i="25"/>
  <c r="AD56" i="25"/>
  <c r="AC56" i="25"/>
  <c r="AB56" i="25"/>
  <c r="U56" i="25"/>
  <c r="R57" i="25"/>
  <c r="Y56" i="25"/>
  <c r="X56" i="25"/>
  <c r="AA56" i="25"/>
  <c r="Z56" i="25"/>
  <c r="W56" i="25"/>
  <c r="V56" i="25"/>
  <c r="T56" i="25"/>
  <c r="AB57" i="25" l="1"/>
  <c r="AA57" i="25"/>
  <c r="Z57" i="25"/>
  <c r="Y57" i="25"/>
  <c r="V57" i="25"/>
  <c r="T57" i="25"/>
  <c r="S57" i="25"/>
  <c r="R58" i="25"/>
  <c r="AD57" i="25"/>
  <c r="W57" i="25"/>
  <c r="U57" i="25"/>
  <c r="AC57" i="25"/>
  <c r="X57" i="25"/>
  <c r="AE56" i="25"/>
  <c r="AE57" i="25" l="1"/>
  <c r="Y58" i="25"/>
  <c r="X58" i="25"/>
  <c r="W58" i="25"/>
  <c r="V58" i="25"/>
  <c r="AA58" i="25"/>
  <c r="U58" i="25"/>
  <c r="T58" i="25"/>
  <c r="S58" i="25"/>
  <c r="R59" i="25"/>
  <c r="AC58" i="25"/>
  <c r="AD58" i="25"/>
  <c r="AB58" i="25"/>
  <c r="Z58" i="25"/>
  <c r="V59" i="25" l="1"/>
  <c r="R60" i="25"/>
  <c r="U59" i="25"/>
  <c r="T59" i="25"/>
  <c r="S59" i="25"/>
  <c r="AB59" i="25"/>
  <c r="Z59" i="25"/>
  <c r="Y59" i="25"/>
  <c r="X59" i="25"/>
  <c r="W59" i="25"/>
  <c r="AC59" i="25"/>
  <c r="AD59" i="25"/>
  <c r="AA59" i="25"/>
  <c r="AE58" i="25"/>
  <c r="AE59" i="25" l="1"/>
  <c r="S60" i="25"/>
  <c r="AD60" i="25"/>
  <c r="AC60" i="25"/>
  <c r="AB60" i="25"/>
  <c r="Z60" i="25"/>
  <c r="Y60" i="25"/>
  <c r="X60" i="25"/>
  <c r="W60" i="25"/>
  <c r="T60" i="25"/>
  <c r="R61" i="25"/>
  <c r="AA60" i="25"/>
  <c r="V60" i="25"/>
  <c r="U60" i="25"/>
  <c r="AB61" i="25" l="1"/>
  <c r="AA61" i="25"/>
  <c r="Z61" i="25"/>
  <c r="Y61" i="25"/>
  <c r="R62" i="25"/>
  <c r="AD61" i="25"/>
  <c r="AC61" i="25"/>
  <c r="X61" i="25"/>
  <c r="U61" i="25"/>
  <c r="V61" i="25"/>
  <c r="W61" i="25"/>
  <c r="T61" i="25"/>
  <c r="S61" i="25"/>
  <c r="AE60" i="25"/>
  <c r="Y62" i="25" l="1"/>
  <c r="X62" i="25"/>
  <c r="W62" i="25"/>
  <c r="V62" i="25"/>
  <c r="AC62" i="25"/>
  <c r="R63" i="25"/>
  <c r="AD62" i="25"/>
  <c r="Z62" i="25"/>
  <c r="S62" i="25"/>
  <c r="AB62" i="25"/>
  <c r="AA62" i="25"/>
  <c r="U62" i="25"/>
  <c r="T62" i="25"/>
  <c r="AE61" i="25"/>
  <c r="AE62" i="25" l="1"/>
  <c r="V63" i="25"/>
  <c r="R64" i="25"/>
  <c r="U63" i="25"/>
  <c r="T63" i="25"/>
  <c r="S63" i="25"/>
  <c r="Z63" i="25"/>
  <c r="X63" i="25"/>
  <c r="AC63" i="25"/>
  <c r="AB63" i="25"/>
  <c r="W63" i="25"/>
  <c r="AA63" i="25"/>
  <c r="Y63" i="25"/>
  <c r="AD63" i="25"/>
  <c r="S64" i="25" l="1"/>
  <c r="AD64" i="25"/>
  <c r="AC64" i="25"/>
  <c r="AB64" i="25"/>
  <c r="W64" i="25"/>
  <c r="Z64" i="25"/>
  <c r="X64" i="25"/>
  <c r="V64" i="25"/>
  <c r="U64" i="25"/>
  <c r="T64" i="25"/>
  <c r="Y64" i="25"/>
  <c r="R65" i="25"/>
  <c r="AA64" i="25"/>
  <c r="AE63" i="25"/>
  <c r="AE64" i="25" l="1"/>
  <c r="P7" i="25" s="1"/>
</calcChain>
</file>

<file path=xl/sharedStrings.xml><?xml version="1.0" encoding="utf-8"?>
<sst xmlns="http://schemas.openxmlformats.org/spreadsheetml/2006/main" count="603" uniqueCount="211">
  <si>
    <t>N/A</t>
  </si>
  <si>
    <t>Source:</t>
  </si>
  <si>
    <t>Service</t>
  </si>
  <si>
    <t>Age</t>
  </si>
  <si>
    <t>Retirement Plans - 401(k)s, IRAs and Other Deferred Compensation Approaches, Allen et all, 12th Edition, 2018, Ch. 3</t>
  </si>
  <si>
    <t>Interest Rate</t>
  </si>
  <si>
    <t>Question 1</t>
  </si>
  <si>
    <t>Question 2</t>
  </si>
  <si>
    <t>Question 3</t>
  </si>
  <si>
    <t>Question 4</t>
  </si>
  <si>
    <t>Participant Data</t>
  </si>
  <si>
    <t>Defined Benefit Plan: 1.75% Salary Increase</t>
  </si>
  <si>
    <t xml:space="preserve">  Age</t>
  </si>
  <si>
    <t xml:space="preserve">  Earnings</t>
  </si>
  <si>
    <t xml:space="preserve">  Service</t>
  </si>
  <si>
    <t>Assumptions</t>
  </si>
  <si>
    <t xml:space="preserve">  FAP</t>
  </si>
  <si>
    <t xml:space="preserve">  Salary Increase</t>
  </si>
  <si>
    <t xml:space="preserve">  NRB</t>
  </si>
  <si>
    <t xml:space="preserve">  ERB</t>
  </si>
  <si>
    <t xml:space="preserve">  Accrual</t>
  </si>
  <si>
    <t xml:space="preserve">  PV Factor (5%)</t>
  </si>
  <si>
    <t xml:space="preserve">  PV Factor</t>
  </si>
  <si>
    <t xml:space="preserve">  PV NRB</t>
  </si>
  <si>
    <t>Replacement Ratio</t>
  </si>
  <si>
    <t xml:space="preserve">  PV Accrual</t>
  </si>
  <si>
    <t xml:space="preserve">  PV  % of Pay</t>
  </si>
  <si>
    <t>Defined Benefit Plan: 2.50% Salary Increase</t>
  </si>
  <si>
    <t>Total Contributions</t>
  </si>
  <si>
    <t xml:space="preserve">  PV ERB</t>
  </si>
  <si>
    <t>Defined Contribution Plan: 1.75% Salary Increase and 5.00% Investment Return</t>
  </si>
  <si>
    <t xml:space="preserve">  PV (ERB - NRB)</t>
  </si>
  <si>
    <t>Contributions</t>
  </si>
  <si>
    <t xml:space="preserve">   ERB Accrual</t>
  </si>
  <si>
    <t xml:space="preserve">   PV of ERB Accrual</t>
  </si>
  <si>
    <t>The defined benefit contribution would need be roughly doubled (532,550 / 257,554 = 2.07) to provide a comparable amount of contributions.</t>
  </si>
  <si>
    <t>You can see from these results how effective the defined benefit early retirement benefit design is when it comes to incentivizing early retirement at age 60.  The individual is expected to earn approximately an additional $400,000 in total value by continuing their employment from age 55 to age 60.  The incentive decreases rapidly thereafter.
Further, the plan sponsor can illustrate that continuing their employment each year is expected to roughly "double" their earnings; for example, an individual who is age 55 and decides to work another year will earn $128,419 in current compensation at age 56, and under these assumptions will receive an additional $99,973 in deferred compensation.  Communicating the value of the subsidy can be a highly effective strategy to promote the desired retirement pattern.  Further, communicating the value using a settlement rate, in my opinion is appropriate since it represents a comparable rate an individual could earn through low risk fixed income investments.</t>
  </si>
  <si>
    <t xml:space="preserve">   Age</t>
  </si>
  <si>
    <t xml:space="preserve">   PV Factors</t>
  </si>
  <si>
    <t xml:space="preserve">   Account Balance</t>
  </si>
  <si>
    <t xml:space="preserve">   Annuitized Value</t>
  </si>
  <si>
    <t>Defined Contribution Plan: 2.50% Salary Increase and 5.00% Investment Return</t>
  </si>
  <si>
    <t>Defined Contribution Plan: 2.50% Salary Increase and 7.00% Investment Return</t>
  </si>
  <si>
    <t>In my opinion, the 12% of pay defined contribution has issues.  Although it generates a comparable replacement ratio at age 65 to the defined benefit plan under the 5% return scenario, it is signficantly less at age 60.  The 7.0% return scenarios does a better job generating sufficent replacement ratios between ages 60 and 63.  However, the design may incentive individuals to retire before age 60 and generates more than is necessary to incentitive retirement by age 65.  
Again, the outcome is highly depending on the participant's investment returns.  As can be seen, a defined benefit plan can be a much better tool than a defined contribution plan to help a plan sponsor achieve desired retirement patterns.</t>
  </si>
  <si>
    <t>The salary increase assumption has a modest impact on the defined benefit results; the results remain stable.  However, this is not the case for the defined contribution benefit.  This is in part because, unlike a final average pay defined benefit plan, the defined contribution plan is an average career earnings benefit.  Further, under the defined contribution plan, although the participant generates higher contribution amounts (and balances) under the 2.50% salary increase scenario, the accumulated balances do not increase at a rate that keeps up the individual's change in earnings.  
Moving on, the plan sponsor's objective is to design a plan that encourages retention and incentives retirement between ages 60 and 65.  Although several factors may affect an individual's retirement decision, having sufficient income is certainly one of the top decision factors.  The defined benefit plan's projected replacement ratio between the ages of 60 and 65 is very strong; that is, between approximately 70% and 80%.  
However, the defined contribution's replacement ratio under the proposed design, even under an investment return assumption of 7.0% may be insufficient to support an individual's retirement decision.  Further, as can be seen, the individual's outcome will vary signficiantly depending on their investment strategy, how the markets perform during their career and how their earnings change during their carerr.  
In summary, the proposed defined benefit design is better aligned with the plan sponsor's objectives.  It provides a much strong replacment ratio at the desired ages with much more certainty.</t>
  </si>
  <si>
    <t>SLA Factor</t>
  </si>
  <si>
    <t>qx</t>
  </si>
  <si>
    <t>px</t>
  </si>
  <si>
    <t>Px:n</t>
  </si>
  <si>
    <t>PV of Payments</t>
  </si>
  <si>
    <t>Question 2(a)</t>
  </si>
  <si>
    <t>1)  Inflation risk
2)  Investment return risk
3)  Longevity risk</t>
  </si>
  <si>
    <t xml:space="preserve">Although the sample individual's life expectancy is approximately 21 years / age 86, if they invest the lump sum and earn an annual rate of 5.00%, it is only projected to last approximately 19 years / age 84 (assumimg the withdraw $500 per month).  The individual should be aware how long their lump sum investment is expected to last and they should also be aware that lump sum interest rate assumption is 5.00% given this will be the investment benchmark they will need to weigh their decisions against; meaning, the benchmark they will need to exceed to either offset inflation and/or reduce the likelihood of outliving their investment.
Regarding investment risk, the individual is expected to exhaust their initial investment in approximately 16 years (i.e., age 81) if the annual return is 3.00% (i.e., decrease of 2.00% from 5.00%).  Although the balance is projected to last until age 81 under this sceanrio, if the annual rate of inflation is 2.25%, the balance is only expected to maintain a $500 per month standard of living  equivalency / purchasing power equivalancy for approximately 13 years / age 78.   Recall, the individual is expected to live until age 86.
Their initial investment is expected to increase significiantly if the annual investment return is 7.00%; that is, last approximately 28 years / age 93.   However, an annual inflation rate of 2.25% is expected to reduce the purchasing power equivalency duration from 28 years / age 93 to approximately 19 years / age 84 (i.e., fairly close to the the baseline scenario of a 5.00% investment return with no inflation).
Now, if the individual elected a $500 single life annuity in lieu of the lump sum they would still be subjected to the effects of inflation risk.  However, unlike a single life annuity, a lump sum  election gives the individual the opportunity to generate excess returns to offset the effects of inflation.  However, it comes with risk  (i.e., investment and longevity risk).
Alterantively, if they want to maintain a withdrawal period of approximately 19 years / age 84, they will need to montior and adjust their monthly withdrawal amount based on actual investment experience.  As can be seen from the results, the adjustments could be signifcant (e.g., $425 / $500 = 85%).
If the individual wants to maintain the $500 per month's purchasing power equivalency (based on an annual inflation rate of 2.25%) until age 90 or age 100, they need to generate an annual rate of return of 9.00% and 10.00%, respectively which may be difficult to do, and the higer return-seeking allocation comes with greater risk (i.e., investment return volatility).
In the end, the invdividual would benefit from more robust modeling (e.g., stochastic results  under more scenarios).  Further, they will need to weigh the benefits of being able to invest the lump sum (e.g., higher returns) against the risks that come with it (e.g., investment and mortality).
</t>
  </si>
  <si>
    <t xml:space="preserve">Age 65 Present Value SLA Function </t>
  </si>
  <si>
    <t xml:space="preserve">PV of $500 per month single life annuity </t>
  </si>
  <si>
    <t>Question 2(b)</t>
  </si>
  <si>
    <t>Life Expectancy: Age 65 Present Value SLA Function with a 0% Interest Rate</t>
  </si>
  <si>
    <t>Question 3(a)</t>
  </si>
  <si>
    <t>Scenario</t>
  </si>
  <si>
    <t xml:space="preserve">   Annual Investment Return</t>
  </si>
  <si>
    <t xml:space="preserve">   Inflation </t>
  </si>
  <si>
    <t xml:space="preserve">   Net Interest Rate</t>
  </si>
  <si>
    <t xml:space="preserve">    Monthly payment</t>
  </si>
  <si>
    <t xml:space="preserve">    Number of months</t>
  </si>
  <si>
    <t xml:space="preserve">    Present value </t>
  </si>
  <si>
    <t xml:space="preserve">     Number of years</t>
  </si>
  <si>
    <t>Question 3(b)</t>
  </si>
  <si>
    <t>Question 3(c)</t>
  </si>
  <si>
    <t>Fundamentals of Private Pensions, McGill et al, 9th Edition, 2010, Ch. 9 (pp. 270-289)</t>
  </si>
  <si>
    <t>Census</t>
  </si>
  <si>
    <t>Participant 1</t>
  </si>
  <si>
    <t>Participant 2</t>
  </si>
  <si>
    <t>Age at retirement</t>
  </si>
  <si>
    <t>Pay at retirement</t>
  </si>
  <si>
    <t>FAP(5) at retirement</t>
  </si>
  <si>
    <t>Covered Comp at retirement</t>
  </si>
  <si>
    <t>Monthly PIA adjusted to Age 65</t>
  </si>
  <si>
    <t>Benefit Design 1</t>
  </si>
  <si>
    <t>Benefit Design 2</t>
  </si>
  <si>
    <t>Benefit Design 3</t>
  </si>
  <si>
    <t>NRB (Service at 65)</t>
  </si>
  <si>
    <t xml:space="preserve">   Plan Benefit</t>
  </si>
  <si>
    <t xml:space="preserve">   Social Security</t>
  </si>
  <si>
    <t xml:space="preserve">   Total</t>
  </si>
  <si>
    <t>NRB (Service at 64)</t>
  </si>
  <si>
    <t>Age 64 Accrual</t>
  </si>
  <si>
    <t>Accrual as a % of Pay</t>
  </si>
  <si>
    <t>Accrual of Integrated Component as a % of Pay</t>
  </si>
  <si>
    <t>Amount of Integrated Accrual</t>
  </si>
  <si>
    <t>Portion of NRB (Service at 65) Attributable Integrated Component</t>
  </si>
  <si>
    <t>Question 5</t>
  </si>
  <si>
    <r>
      <t xml:space="preserve">My observations and thoughts are as follows:
</t>
    </r>
    <r>
      <rPr>
        <b/>
        <sz val="11"/>
        <color theme="1"/>
        <rFont val="Calibri"/>
        <family val="2"/>
        <scheme val="minor"/>
      </rPr>
      <t>Social Security Benefit</t>
    </r>
    <r>
      <rPr>
        <sz val="11"/>
        <color theme="1"/>
        <rFont val="Calibri"/>
        <family val="2"/>
        <scheme val="minor"/>
      </rPr>
      <t xml:space="preserve">
Social Security is designed to disproportionately provide a higher benefit as a percentage of income to non-highly paid employees than it is towards high paid employees.  This can be seen from results.  For example, participant 1's Social Security benefit as percentage of pay is approximately 15% higher than partipant 2.  A more robust analysis could be performed for various projected employee income levels.  However, using the results above as a proxy, if the plan sponsor's objective is to provide a comparable aggregate replacement ratio for career employees over different income levels, then the non-integrated portion of the NRB formula will need to generate a approximately 15% more as a percentage of pay for highly paid employees. 
</t>
    </r>
    <r>
      <rPr>
        <b/>
        <sz val="11"/>
        <color theme="1"/>
        <rFont val="Calibri"/>
        <family val="2"/>
        <scheme val="minor"/>
      </rPr>
      <t>Adequacy</t>
    </r>
    <r>
      <rPr>
        <sz val="11"/>
        <color theme="1"/>
        <rFont val="Calibri"/>
        <family val="2"/>
        <scheme val="minor"/>
      </rPr>
      <t xml:space="preserve">
Depending on the plan sponsor's objectives, benefit designs 1 and 3 may provide an adequate benefit (i.e., on an aggregate basis, DB plus Social Security) for both non-highly and highly paid career employees.  If, however, it is deemed too low for highly paid employees then the integrated component of the benefit could be increased above 0.5%.  Although benefit design 2 may be considered adequate for non-highly paid career employees, the plan sponsor may feel it is inadequate for highly paid career employees.  Given benefit design 2 limits the income recognition of the 1.5% component (whereas benefit design 1 does not), the plan sponsor may want to examine a benefit design 2 where the integrated multiplier is greater than 0.5% and also greater the percentage multiplier used in benefit design 1's integrated component.
</t>
    </r>
    <r>
      <rPr>
        <b/>
        <sz val="11"/>
        <color theme="1"/>
        <rFont val="Calibri"/>
        <family val="2"/>
        <scheme val="minor"/>
      </rPr>
      <t>Design</t>
    </r>
    <r>
      <rPr>
        <sz val="11"/>
        <color theme="1"/>
        <rFont val="Calibri"/>
        <family val="2"/>
        <scheme val="minor"/>
      </rPr>
      <t xml:space="preserve">
Benefit designs 1 and 3 provide comparable outcomes for both the non-highly paid and highly paid employees.  However, the plan sponsor may prefer the "add-on" optics of benefit design 1 vs. the "take-away" optics of benefit design 3.  Although the incremental reduction of benefit design 3 is modest (as both a dollar amount and percentage of pay), the highly paid employee in this illustration would see an add-on of approximately $7,900 under benefit design 1 vs. a reduction of approximately $6,600 under benefit design 3.  The non-highly paid employee will only see a reduction element when comparing the two designs.  While the age 64 benefits accruals, as a percentage of pay, are similar under benefit designs 1 and 3 for both employees, the add-on optics of benefit design 1 may encourage continued employment more so than the optics of benefit design 3. While the optics of the design may not affect behavior, it should be considered. 
Gathering more information about the plan sponsor's objectives is recommended, along with a more robust analysis of different age, service and income levels to compare against their objectives.   
</t>
    </r>
  </si>
  <si>
    <t>RET101-101-25: Integration with Social Security</t>
  </si>
  <si>
    <r>
      <t xml:space="preserve">Your client is considering the following defined benefit designs that are integrated with Social Security:
</t>
    </r>
    <r>
      <rPr>
        <b/>
        <sz val="11"/>
        <color theme="1"/>
        <rFont val="Calibri"/>
        <family val="2"/>
        <scheme val="minor"/>
      </rPr>
      <t>Normal Retirement Benefit (NRB)</t>
    </r>
    <r>
      <rPr>
        <sz val="11"/>
        <color theme="1"/>
        <rFont val="Calibri"/>
        <family val="2"/>
        <scheme val="minor"/>
      </rPr>
      <t xml:space="preserve">
   1)  1.5% x FAP(5) x Service + 0.5% x [FAP(5) in excess of Covered Comp] x Service
   2)  1.5% x [FAP(5) up to Covered Comp] x Service + 0.5% x [FAP(5) in excess of Covered Comp] x Service
   3)  1.75% x FAP(5) x Service - 0.5% x PIA (adjusted to age 65) x Service
         Where,
           -  FAP(5): average pay in the last five years of service
           -  Primary Insurance Amount (PIA): Social Security benefit amount
           -  Covered Comp: 35 year average of taxable wage bases 
</t>
    </r>
    <r>
      <rPr>
        <b/>
        <sz val="11"/>
        <color theme="1"/>
        <rFont val="Calibri"/>
        <family val="2"/>
        <scheme val="minor"/>
      </rPr>
      <t>Normal Retirement Age:</t>
    </r>
    <r>
      <rPr>
        <sz val="11"/>
        <color theme="1"/>
        <rFont val="Calibri"/>
        <family val="2"/>
        <scheme val="minor"/>
      </rPr>
      <t xml:space="preserve"> 65
Using the census provided, calculate the following items for each participant:
    1)  NRB for each benefit formula based on service at age 65
    2)  Their expected replacement ratio from the following sources based on service at age 65 
            a)  NRB under each benefit formula as a percentage of pay at retirement
            b)  Social Security benefit (i.e., PIA adjusted to Age 65) as a percentage of pay at retirement
            c)  Sum of both components: 2(a) plus 2(b)
     3)   The age 64 benefit accrual under each benefit formula (both the dollar amount and as a percentage of pay)
     4)  For each formula, determine the following items regarding the integrated component:
           a)  Age 64 accrual as a percentage of pay
           b)  Age 64 accrual dollar amount
           c)  Integrated portion of their Age 65 NRB (meaning NRB based on service through age 65)
         </t>
    </r>
    <r>
      <rPr>
        <b/>
        <sz val="11"/>
        <color theme="1"/>
        <rFont val="Calibri"/>
        <family val="2"/>
        <scheme val="minor"/>
      </rPr>
      <t xml:space="preserve">  Integrated component / portion, meaning the following part of the benefit formula:</t>
    </r>
    <r>
      <rPr>
        <sz val="11"/>
        <color theme="1"/>
        <rFont val="Calibri"/>
        <family val="2"/>
        <scheme val="minor"/>
      </rPr>
      <t xml:space="preserve">
             Benefit designs 1 and 2:  0.5% x [FAP(5) in excess of Covered Comp] x Service
             Benefit design 3: 0.5% x PIA (adjusted to age 65) x Service
    5)  What conclusions can you draw from the results of questions 1 through 4?</t>
    </r>
  </si>
  <si>
    <t>You are provided the following market information:
     -  210 day T-bill yield:  5.50%
     -  240 day T-bill yield:  6.00%
     You have been also been presented with the following $100 million futures contract scenarios:
        1)  Contract calls for the delivery in 210 days of a T-bill with 30 days to maturity at expiration.  The expected yield of 8.00%. 
        2)  Contract calls for the delivery in 210 days of a T-bill with 30 days to maturity at expiration.  The expected yield of 12.00%.
              Assume the following: traders can borrow and lend at the risk-free rate, there are no transaction costs and there are no
              storage costs.  Note, T-bill yields are quoted in terms of 360 days.
Questions: 
   Regarding both futures contract:
    a)  What is the financing rate?
    b)  What would the expected yield of the futures contract need to be to avoid an arbitrage opportunity?
    c)  What is the implied repo rate?
    d)  Does an arbitrage opportunity exist?  If so, what is the arbitrage amount and how would you execute the transaction?</t>
  </si>
  <si>
    <r>
      <t xml:space="preserve">a)  The 210 day financing rate is 5.50%.
b)  The expected yield would need to be 9.57%, determined as follows:
      The value of a 210 day T-bill is: $100,000,000 x 1.055^-(210/360) = $96,925,057
      The value of a 240 day T-bill is: $100,000,000 x 1.06^-(240/360) = $96,189,889
      Non-arbitrage futures rate:
         $100,000,000 x (1.055)^-(210/360) x (1+i)^-(30/360) = 96,189,889
         $96,925,057 x (1+i)^-(30/360) = 96,189,889
         (1+i)^-(30/360) = 0.9924125
         ln[(1+i)^-(30/360)] = ln(0.9924125)
         -(30/360) x ln(1+i) = -0.0076138
          ln(1+i) = 0.0913658
          (1+i) = exp(0.0913658) = 1.095669
           i = 9.57%;         Alternate alegra:  (1+i)^-(30/360) = 0.9924125; i = [(0.9924125)^-(360/30)] - 1; i = 9.57%
c)  The implied repo rate is determined as follows:
       </t>
    </r>
    <r>
      <rPr>
        <b/>
        <sz val="11"/>
        <color theme="1"/>
        <rFont val="Calibri"/>
        <family val="2"/>
        <scheme val="minor"/>
      </rPr>
      <t>Futures Contract Scenario 1</t>
    </r>
    <r>
      <rPr>
        <sz val="11"/>
        <color theme="1"/>
        <rFont val="Calibri"/>
        <family val="2"/>
        <scheme val="minor"/>
      </rPr>
      <t xml:space="preserve">
          1)   The expected value of the T-bill at delivery is: $100,000,000 x 1.08^-(30/360) = $99,360,710
          2)  The value of a 240 day T-bill is: $100,000,000 x 1.06^-(240/360) = $96,189,889
          3)  The implied repo rate is: [($99,360,710 / $96,189,889)^(360/210)] – 1 =  5.717%
                The implied repo rate is the annualized rate of:  Futures Price / Spot Price - 1
</t>
    </r>
    <r>
      <rPr>
        <b/>
        <sz val="11"/>
        <color theme="1"/>
        <rFont val="Calibri"/>
        <family val="2"/>
        <scheme val="minor"/>
      </rPr>
      <t xml:space="preserve">     Futures Contract Scenario 2</t>
    </r>
    <r>
      <rPr>
        <sz val="11"/>
        <color theme="1"/>
        <rFont val="Calibri"/>
        <family val="2"/>
        <scheme val="minor"/>
      </rPr>
      <t xml:space="preserve">
           1)   The expected value of the T-bill at delivery is: $100,000,000 x 1.12^-(30/360) = $99,060,040
           2)  The value of a 240 day T-bill is: $100,000,000 x 1.06^-(240/360) = $96,189,889
           3)  The implied repo rate is: [($99,060,040 / $96,189,889)^(360/210)] – 1 =  5.17%
d)    Yes, an arbitrage opportunity exists since the implied repo rate is either greater or less than the risk-free financing rate.  The arbitrage can be executed as follows:
      </t>
    </r>
    <r>
      <rPr>
        <b/>
        <sz val="11"/>
        <color theme="1"/>
        <rFont val="Calibri"/>
        <family val="2"/>
        <scheme val="minor"/>
      </rPr>
      <t xml:space="preserve">  Scenario 1:
</t>
    </r>
    <r>
      <rPr>
        <sz val="11"/>
        <color theme="1"/>
        <rFont val="Calibri"/>
        <family val="2"/>
        <scheme val="minor"/>
      </rPr>
      <t xml:space="preserve">
         Implied repo rate (5.717%) &gt; the financing rate (5.50%).  
         Arbitrage execution strategy: cash and carry 
             1)    Enter futures contract as the T-bill seller (i.e., sell the futures contract)
             2)   Borrow $96,189,889 at an annualized rate of 5.50% for 210 days
             3)   Buy a 240 day T-bill with the borrowed funds and hold it for 210 days
             4)   Sell the T-bill for $99,360,710
             5)   Repay the loan amount of: $96,189,889 x 1.055^(210/360) = $99,241,509
             6)   Risk-free profit: $99,360,710 - $99,241,509 = $119,201
          </t>
    </r>
    <r>
      <rPr>
        <b/>
        <sz val="11"/>
        <color theme="1"/>
        <rFont val="Calibri"/>
        <family val="2"/>
        <scheme val="minor"/>
      </rPr>
      <t xml:space="preserve">Scenario 2:
</t>
    </r>
    <r>
      <rPr>
        <sz val="11"/>
        <color theme="1"/>
        <rFont val="Calibri"/>
        <family val="2"/>
        <scheme val="minor"/>
      </rPr>
      <t xml:space="preserve">
          Implied repo rate (5.17%) &lt; the financing rate (5.50%).  
          Arbitrage execution strategy: reverse cash and carry 
              1)   Enter futures contract as the T-bill buyer (i.e., buy the futures contract)
              2)  Borrow a 240 day T-bill
              3)  Sell the T-bill for $96,189,889 and lend the proceeds at the 210 day yield of 5.50% for a resulting value of: $96,189,889 x 1.055^(210/360) = $99,241,509.  
                    Alternatively, assume they can purchase $96,189,889 of 210 T-bills and receive $99,241,509 at maturity.
              4)   Buy the T-bill from the futures contracts for $99,060,040 and return the T-bill to the original owner
              5)    Risk-free profit: $99,241,509 - $99,060,040 = $181,469
As noted within the reading, in the real world it is difficult to borrow / lend at the risk-free rate and there are transaction costs.  In scenario 2, one could assume the trader is able to borrow from their own inventory to avoid transaction costs, assuming they have a 240 day T-bill within their own inventory.
</t>
    </r>
  </si>
  <si>
    <t>RET101-107-25: Introduction and Overview of Retirement Plan Investments</t>
  </si>
  <si>
    <r>
      <t xml:space="preserve">You are the consultant for plans A and B.  Active participants within each plan are required to fund 25% of the annual contributions, the employer funds the remaining 75%.  Plan A is a young plan while Plan B is a mature plan.  A summary of their characteristics are provided below:
</t>
    </r>
    <r>
      <rPr>
        <b/>
        <sz val="11"/>
        <color theme="1"/>
        <rFont val="Calibri"/>
        <family val="2"/>
        <scheme val="minor"/>
      </rPr>
      <t xml:space="preserve">
Plan A
    </t>
    </r>
    <r>
      <rPr>
        <sz val="11"/>
        <color theme="1"/>
        <rFont val="Calibri"/>
        <family val="2"/>
        <scheme val="minor"/>
      </rPr>
      <t xml:space="preserve"> - </t>
    </r>
    <r>
      <rPr>
        <b/>
        <sz val="11"/>
        <color theme="1"/>
        <rFont val="Calibri"/>
        <family val="2"/>
        <scheme val="minor"/>
      </rPr>
      <t xml:space="preserve"> </t>
    </r>
    <r>
      <rPr>
        <sz val="11"/>
        <color theme="1"/>
        <rFont val="Calibri"/>
        <family val="2"/>
        <scheme val="minor"/>
      </rPr>
      <t xml:space="preserve">Current assets: $200  
     -  Currently liability: $200
     -  Discount rate: 5.0%
     -  Normal cost: $20 (remains stable over the next 11 years)
     -  Annual benefit payments: $2 (remains stable over the next 11 years)
</t>
    </r>
    <r>
      <rPr>
        <b/>
        <sz val="11"/>
        <color theme="1"/>
        <rFont val="Calibri"/>
        <family val="2"/>
        <scheme val="minor"/>
      </rPr>
      <t xml:space="preserve">
Plan B
</t>
    </r>
    <r>
      <rPr>
        <sz val="11"/>
        <color theme="1"/>
        <rFont val="Calibri"/>
        <family val="2"/>
        <scheme val="minor"/>
      </rPr>
      <t xml:space="preserve">     -  Current assets: $200
     -  Currently liability: $200
     -  Discount rate: 5.0%
     -  Normal cost: $2 (remains stable over the next 11 years)
     -  Annual benefit payments: $20 (remains stable over the next 11 years)
You have been asked to estimate for each plan the total amount of funding over the next 11 years and funded status at year 11 under the following scenarios.
     -  Scenario 1:  alternating investment returns of 8% and 2%
     -  Scenario 2: same as scenario 1, except assume an investment shock of -15% in the first year
     -  Scenario 3:  same as scenario 1, except assume an investment shock of -15% in the third year
     -  Scenario 4: same as scenario 1, except assume an investment shock of -15% in the fourth year
Assume contributions and benefit payments are made at the beginning of the year.  Further assume the plan sponsor makes an annual contribution equal to the plan’s Normal Cost.
What would each plan have to contribute annually beginning in the year following the each shock scenario (remaining uniform until the end of the forecast) to make the plan approximately fully funded?  
What conclusions can you draw from this analysis?</t>
    </r>
  </si>
  <si>
    <t>Scenario 1</t>
  </si>
  <si>
    <t>Scenario 2</t>
  </si>
  <si>
    <t>Scenario 3</t>
  </si>
  <si>
    <t>Scenario 4</t>
  </si>
  <si>
    <t>Plan A</t>
  </si>
  <si>
    <t>NC</t>
  </si>
  <si>
    <t>Benefit Payments</t>
  </si>
  <si>
    <t>Plan B</t>
  </si>
  <si>
    <t>Scenario Year</t>
  </si>
  <si>
    <t>Investment Return</t>
  </si>
  <si>
    <t>Discount Rate</t>
  </si>
  <si>
    <t>Assets</t>
  </si>
  <si>
    <t>Liabilities</t>
  </si>
  <si>
    <t>Funded Ratio</t>
  </si>
  <si>
    <t>Conclusions Drawn from the Analysis</t>
  </si>
  <si>
    <t>Scenario 2 - Contributions updated to fully fund plan</t>
  </si>
  <si>
    <t>Scenario 3 - Contributions updated to fully fund plan</t>
  </si>
  <si>
    <t>Scenario 4 - Contributions updated to fully fund plan</t>
  </si>
  <si>
    <t xml:space="preserve">Mature plans are more sensitive to investment return volatility than young plans because more principal may need to be liquidated during an underperforming year in order to fund the plan’s cash outflow (i.e., pay the plan’s benefit payments).  This, in turn, creates a higher burden on the plan’s remaining assets to generate higher returns at a time when there are less assets to work with.  
This is further exacerbated in years when there are consecutive years of underperforming investment returns; for example, compare scenarios 3 and 4.  Scenario 3 has two consecutive years of returns that underperform the liability return, while scenario 4 has one year.  Even though the average investment return during the 11 year period under scenario 3 (3.2%) is modestly lower than scenario 4 (3.7%), the funded status at year 11 under scenario 3 (31%) is significantly lower than scenario 4 (53%) resulting in substantially more cash inflow (i.e., $12 more or 24% more) to bring each plan to a fully funded status.
As can be seen from the analysis (summarized in the table below), the risk exposure is much higher for a mature plan.  The table below summarizes the percentage increase in additional cash flow for the mature plan vs. the younger plan under the shock scenarios. 
	                     Plan A              Plan B
Scenario 2      	19%                 	215%
Scenario 3     	36%                	182%
Scenario 4     29%                	127%
</t>
  </si>
  <si>
    <t>RET101-111-25: Risk Management and Public Plan Retirement Systems - Appendices B and C</t>
  </si>
  <si>
    <t>You will be continuing your variable annuity design discussion with your client.  They like the idea of the investment risk being passed onto plan participants.  However, their main concern is the volatility retirees may experience.  
As a result, they are considering a 40/60 portfolio (equity/fixed income).  However, their preference would be a 60/40 portfolio with a hurdle rate of 5.0% given future market expectations and a historical average inflation rate of 2.0%.  
The typical life expectancy for an average defined benefit participant retiring at age 65 is 20 years.  However, roughly 35% of participants retiring at 65 are expected to survive 25 years.
Using the historical investment return data provided, develop a 25-years return scenario for a 60/40 and 40/60 portfolio (i.e., assume the next 25 years mirrors the past 25 years).
    1)  Then calculate the annual percentage change and annualized cumulative change in a retiree’s 
          benefit under the following design scenarios:
          •	    No smoothing
          •	    3-year smoothing
          •	    5-year smoothing
          Assume a hurdle rate of 5.0% for all of the scenarios.
     2)  What conclusions can you draw from these results?</t>
  </si>
  <si>
    <t>Fixed Income Return</t>
  </si>
  <si>
    <t>Equity Return</t>
  </si>
  <si>
    <t>Year</t>
  </si>
  <si>
    <t>SD</t>
  </si>
  <si>
    <t>Mean</t>
  </si>
  <si>
    <t>Min</t>
  </si>
  <si>
    <t># Neg</t>
  </si>
  <si>
    <t>Annualized Cumulative Increase</t>
  </si>
  <si>
    <t>Annual Change in Benefit</t>
  </si>
  <si>
    <t>40/60</t>
  </si>
  <si>
    <t>5 Year Smoothing</t>
  </si>
  <si>
    <t>3 Year Smoothing</t>
  </si>
  <si>
    <t>No Smoothing</t>
  </si>
  <si>
    <r>
      <rPr>
        <b/>
        <sz val="11"/>
        <color theme="1"/>
        <rFont val="Calibri"/>
        <family val="2"/>
        <scheme val="minor"/>
      </rPr>
      <t>Conclusions Regarding the Results</t>
    </r>
    <r>
      <rPr>
        <sz val="11"/>
        <color theme="1"/>
        <rFont val="Calibri"/>
        <family val="2"/>
        <scheme val="minor"/>
      </rPr>
      <t xml:space="preserve">
More robust modeling is recommended, such as stochastic.  Having said this, I developed additional statistics from the results to help draw conclusions.  In particular, for each scenario I calculated the number of years the change in benefit was negative, the largest negative benefit that would be experienced by the retiree, the average arithmetic return and standard deviation of the returns.  Lastly, I wanted to look at how well the cumulative increase kept up with a 2% inflation expectation.  
Based on the results and the additional statistics, broad-based conclusions regarding the scenarios being considered can be drawn. 
    1) A smoothed design should be considered regardless of whether a  
40/60 or 60/40 portfolio is implemented.  The benefit volatility under    investment scenarios is too significant.  Both generate negative returns 6 times during the 25-year period, which represents a significant proportion of the 25-year period. 
    2) Although the 3-year smoothing design is helpful reducing volatility and lessening the size of the negative benefit changes, I don’t feel it is effective enough.  Retirees are still expected to experience significant adverse benefit changes.
    3) The 5-year smoothing is my preferred choice given its ability to significantly dampen benefit volatility.  For example, under the 60/40 portfolio, the 2008 return of -28% is dampened to -3%.  Further, the 5-year smoothing is very effective smoothing out a negative return, especially when there is a streak of positive returns leading up to it.  Consider the 60/40 portfolio, where the year 2000 or 2022 returns of -7% and -22% respectively are dampened into positive returns of 3% and 2% respectively.    
    4) The 60/40 portfolio with 5-year smoothing is recommended over the 40/60 portfolio with 5-year smoothing.  Both designs do a good job providing a cumulative change that keeps up with inflation.  That is, both provide fairly stable cumulative changes and both reach a 2% result before the retiree is expected to reach their 20th year of retirement.
However, in my opinion the risk reduction in the 40/60 portfolio does not outweigh the return trade-off.  The 60/40 portfolio provides a meaningfully higher return (i.e., better cumulative return, especially in the longer term), while the risk is only marginally worse (e.g., when comparing the volatility and worst outcome statistics under both investment scenarios).
The point being, benefit volatility can likely be better addressed through benefit design (e.g., 5-year smoothing) than investment design.     </t>
    </r>
  </si>
  <si>
    <t>60/40</t>
  </si>
  <si>
    <t>Fixed IncomeReturn</t>
  </si>
  <si>
    <t>RET101-115-25: An Improved Applicatin of the Variable Annuity</t>
  </si>
  <si>
    <t>Handbook of Canadian Pension and Benefits Plans, 17th edition, Chapter 14</t>
  </si>
  <si>
    <t xml:space="preserve">You are an external consultant. </t>
  </si>
  <si>
    <t>Your client, a mid-sized employer, currently offers a Group RRSP and has just launched a new Group TFSA for employees at the beginning of the year.</t>
  </si>
  <si>
    <t>To support this rollout, the HR Director wants to develop employee education materials that clearly explain how each plan works and how employees can benefit.</t>
  </si>
  <si>
    <t>The goal is to help employees make informed decisions about saving for retirement under the two available plans.</t>
  </si>
  <si>
    <t>The HR Director has contacted you to prepare comparative illustrations and supporting analysis.</t>
  </si>
  <si>
    <t>They provide you with the key plan provisions, economic and demographic assumptions and contributions limits announced by the CRA.</t>
  </si>
  <si>
    <t xml:space="preserve">You are also given two representative employee profiles, one with a high income and unused contribution room, the other with a lower income and no unused room. </t>
  </si>
  <si>
    <t>The intention is to highlight how outcomes differ based on earnings and tax profile.</t>
  </si>
  <si>
    <t>Key Provisions</t>
  </si>
  <si>
    <t>Group RRSP</t>
  </si>
  <si>
    <t>Group TFSA</t>
  </si>
  <si>
    <t>Waiting period</t>
  </si>
  <si>
    <t>None</t>
  </si>
  <si>
    <t>Maximum Employee contribution</t>
  </si>
  <si>
    <t>50% of the maximum allowed under ITA</t>
  </si>
  <si>
    <t>10% of salary</t>
  </si>
  <si>
    <t>Employer Match</t>
  </si>
  <si>
    <t>Membership Profile</t>
  </si>
  <si>
    <t>Employee A</t>
  </si>
  <si>
    <t>Employee B</t>
  </si>
  <si>
    <t>Expected retirement age</t>
  </si>
  <si>
    <t xml:space="preserve">Earned income </t>
  </si>
  <si>
    <t>Unused RRSP room</t>
  </si>
  <si>
    <t xml:space="preserve">Unused TFSA room </t>
  </si>
  <si>
    <t xml:space="preserve">Assumptions </t>
  </si>
  <si>
    <t xml:space="preserve">Expected investment return </t>
  </si>
  <si>
    <t>Same as employee A</t>
  </si>
  <si>
    <t>Salary increase</t>
  </si>
  <si>
    <t>Expected contribution limit increase</t>
  </si>
  <si>
    <t>Expected pre-retirement tax rate</t>
  </si>
  <si>
    <t>Expected post-retirement tax rate</t>
  </si>
  <si>
    <t>Canada Revenue Limit for the year</t>
  </si>
  <si>
    <t>TFSA</t>
  </si>
  <si>
    <t>RRSP</t>
  </si>
  <si>
    <t>In the specific scenario the client wants to present, both employees contribute the maximum allowed by the Income Tax Act, including any unused room carried forward.</t>
  </si>
  <si>
    <t>To simplify the communication, the client asks you to assume that all contributions occur at the end of each year, and retirements take place at the start of the year.</t>
  </si>
  <si>
    <t>(a)You are asked to project the final account balance at retirement for each employee under both the Group RRSP and Group TFSA.</t>
  </si>
  <si>
    <t>(b) In addition, the client requests a short narrative explaining which plan is more advantageous for each employee and why, considering tax implications and savings growth.</t>
  </si>
  <si>
    <t>(a) Answer: Project the final account balance at retirement for each employee under both the Group RRSP and Group TFSA.</t>
  </si>
  <si>
    <t>RRSP - Employee A</t>
  </si>
  <si>
    <t>RRSP - Employee B</t>
  </si>
  <si>
    <t>Earned income</t>
  </si>
  <si>
    <t>Cont. Limit</t>
  </si>
  <si>
    <t>EE Cont.</t>
  </si>
  <si>
    <t>ER Cont.</t>
  </si>
  <si>
    <t>Balance at EOY</t>
  </si>
  <si>
    <t>Total</t>
  </si>
  <si>
    <t>RRSP balance</t>
  </si>
  <si>
    <t>RRSP a/c</t>
  </si>
  <si>
    <t>TFSA - Employee A</t>
  </si>
  <si>
    <t>TFSA - Employee B</t>
  </si>
  <si>
    <t>After tax income</t>
  </si>
  <si>
    <t>Rounded limit</t>
  </si>
  <si>
    <t>TFSA Balance</t>
  </si>
  <si>
    <t>(b) Explanation of Advantages</t>
  </si>
  <si>
    <t>Recommend RRSP to Employee A, if they do not desire to contribute to both because of his higher income and financial flexibility - less likely to need to withdraw from RRSP before retirement</t>
  </si>
  <si>
    <t>Recommend TFSA to Employee B. The difference between TFSA and RRSP balance is not as large as that for Employee A. Employee B benefit less from the tax deferral from RRSP.</t>
  </si>
  <si>
    <t>TFSA is also more flexible in terms of withdrawal and the contribution room can be replenished after withdrawal.</t>
  </si>
  <si>
    <r>
      <t xml:space="preserve">It is difficult for your client to retain talent, and the cost of turnover is very high.  As a result, they would like to retain their employees until retirement but given their industry’s demanding environment they would like their workforce to retire between ages 60 and 65.  They are considering the following programs:
</t>
    </r>
    <r>
      <rPr>
        <b/>
        <sz val="11"/>
        <color theme="1"/>
        <rFont val="Calibri"/>
        <family val="2"/>
        <scheme val="minor"/>
      </rPr>
      <t xml:space="preserve">Defined Benefit Plan 
</t>
    </r>
    <r>
      <rPr>
        <sz val="11"/>
        <color theme="1"/>
        <rFont val="Calibri"/>
        <family val="2"/>
        <scheme val="minor"/>
      </rPr>
      <t xml:space="preserve">  •  Normal retirement benefit 
      -  Normal retirement age: 65
      -  Benefit formula: 2.0% x Final Average Pay x Service
      -  Final Average Pay: average of pay in the last three years of service
  •  Early retirement benefit
      -  Vesting requirement:  15 years of Service
      -  Eligibility: attainment of age 55
      -  Benefit: 
      -  Unreduced at age 60
      -  5% reduction each year retirement precedes age 60
</t>
    </r>
    <r>
      <rPr>
        <b/>
        <sz val="11"/>
        <color theme="1"/>
        <rFont val="Calibri"/>
        <family val="2"/>
        <scheme val="minor"/>
      </rPr>
      <t xml:space="preserve">Defined Contribution Plan
</t>
    </r>
    <r>
      <rPr>
        <sz val="11"/>
        <color theme="1"/>
        <rFont val="Calibri"/>
        <family val="2"/>
        <scheme val="minor"/>
      </rPr>
      <t xml:space="preserve">  •  Non-elective employer contribution: 6% of pay (paid at the end of the year)
</t>
    </r>
    <r>
      <rPr>
        <b/>
        <sz val="11"/>
        <color theme="1"/>
        <rFont val="Calibri"/>
        <family val="2"/>
        <scheme val="minor"/>
      </rPr>
      <t>Data and Assumptions</t>
    </r>
    <r>
      <rPr>
        <sz val="11"/>
        <color theme="1"/>
        <rFont val="Calibri"/>
        <family val="2"/>
        <scheme val="minor"/>
      </rPr>
      <t xml:space="preserve">
  •  Age: 25
  •  Current earnings: $75,000
</t>
    </r>
    <r>
      <rPr>
        <b/>
        <sz val="11"/>
        <color theme="1"/>
        <rFont val="Calibri"/>
        <family val="2"/>
        <scheme val="minor"/>
      </rPr>
      <t>Questions</t>
    </r>
    <r>
      <rPr>
        <sz val="11"/>
        <color theme="1"/>
        <rFont val="Calibri"/>
        <family val="2"/>
        <scheme val="minor"/>
      </rPr>
      <t xml:space="preserve">
Using the information provided within the worksheet, answer the following questions.
  1)  Compute the replacement of pay percentage under both plans for ages 55 through 65, assuming the employee works until 
         each retirement age.  Develop the replacement ratios using the assumption scenarios provided below.
           a.  What conclusions can you draw regarding the replacement ratio under both plans?
                  •  Replacement ratios assumption scenarios:
                       o  Defined benefit: a salary increase assumption of 1.75% and 2.50%
                       o  Defined contribution:
                            -   A salary increase assumption of 1.75% and an investment return assumption of 5.0%
                            -  A salary increase assumption of 2.50% and an investment return assumption of 5.0%
                            -  A salary increase assumption of 2.50% and an investment return assumption of 7.0%
  2)  Compute the present value of the accrual of the Normal Retirement Benefit under the defined benefit from ages 25 through 65 
        assuming the employee works until each retirement age.
         a.   Calculate the total amount of estimated contributions under both plans
         b.   What would the proposed defined contribution non-elective contribution rate as a percentage of pay need to be in order to generate a  
                 comparable amount of contributions (in aggregate) to the defined benefit plan
                •  Use the present value annuity factors provided within the worksheet based on a 7.0% discount rate.  Note, although regulations 
                   require defined benefit funding based on a settlement rate, the plan sponsor expects a long-term rate of return of 7.0% based on the 
                   investment strategy they plan to implement.
    3)  What would the replacement ratios be if the defined contribution design was updated to use your answer from 2(b)
         a.  What conclusions can you draw?
    4)  Under the 1.75% salary increase and 5.0% investment scenario, compute the following for ages 55 through 65, assuming the 
          employee works until each retirement age 
          a.  The present value of the participant’s defined benefit plan’s Normal Retirement Benefit  
          b.  The present value of the participant’s early retirement benefit
          c.  The difference between items 4(a) and 4(b); the difference in the present value of the Normal Retirement Benefit and the early 
                retirement benefit
          d.  The present value of the accrual of the participant’s early retirement benefit
          e.  What conclusions can you draw from these results?</t>
    </r>
  </si>
  <si>
    <r>
      <t xml:space="preserve">As discussed within the reading, most survey respondents indicated their preference for a combined annuity and lump sum option over the annuity only option; the survey shows “most employees want a lump sum – if it is big enough.”   However, do most employees and retirees understand the risks they will face during retirement; meaning, do they understand the potential ramifications of the two options described within the survey?
</t>
    </r>
    <r>
      <rPr>
        <b/>
        <sz val="11"/>
        <color theme="1"/>
        <rFont val="Calibri"/>
        <family val="2"/>
        <scheme val="minor"/>
      </rPr>
      <t>Question 1</t>
    </r>
    <r>
      <rPr>
        <sz val="11"/>
        <color theme="1"/>
        <rFont val="Calibri"/>
        <family val="2"/>
        <scheme val="minor"/>
      </rPr>
      <t xml:space="preserve">
List three primary risks you feel the surveyed employees should be aware of when considering such a choice. 
</t>
    </r>
    <r>
      <rPr>
        <b/>
        <sz val="11"/>
        <color theme="1"/>
        <rFont val="Calibri"/>
        <family val="2"/>
        <scheme val="minor"/>
      </rPr>
      <t>Question 2</t>
    </r>
    <r>
      <rPr>
        <sz val="11"/>
        <color theme="1"/>
        <rFont val="Calibri"/>
        <family val="2"/>
        <scheme val="minor"/>
      </rPr>
      <t xml:space="preserve">
In the survey, the respondents were offered a choice: one, elect a $1,000 per month annuity for life or two, elect a $500 per month annuity for life and the remaining portion as a lump sum.  Assume the lump sum’s interest and mortality assumptions are regulated, with the interest rate based on high quality corporate bond yields (currently 5.00%).
Using the immediate age 65 single life annuity present value calculator provided within the worksheet, compute the following:
    a)   The present value of a $500 per month annuity commencing at age 65 using an assumed annual investment return of 5.00%.  
           Assume the individual's current age 65.
     b)   The life expectancy of this 65 year old.
</t>
    </r>
    <r>
      <rPr>
        <b/>
        <sz val="11"/>
        <color theme="1"/>
        <rFont val="Calibri"/>
        <family val="2"/>
        <scheme val="minor"/>
      </rPr>
      <t xml:space="preserve">Question 3
</t>
    </r>
    <r>
      <rPr>
        <sz val="11"/>
        <color theme="1"/>
        <rFont val="Calibri"/>
        <family val="2"/>
        <scheme val="minor"/>
      </rPr>
      <t xml:space="preserve">     a)  How long will the lump sum last if the individual withdraws $500 per month under the following the scenarios:
</t>
    </r>
    <r>
      <rPr>
        <b/>
        <sz val="11"/>
        <color theme="1"/>
        <rFont val="Calibri"/>
        <family val="2"/>
        <scheme val="minor"/>
      </rPr>
      <t xml:space="preserve">            Scenario	                                                            1                2                3                4	                 5</t>
    </r>
    <r>
      <rPr>
        <sz val="11"/>
        <color theme="1"/>
        <rFont val="Calibri"/>
        <family val="2"/>
        <scheme val="minor"/>
      </rPr>
      <t xml:space="preserve">
              Annual Investment Return                    5.00%     3.00%     7.00%     3.00%     7.00%
              Inflation 	                                                        0.00%     0.00%     0.00%     2.25%     2.25%
      b)  Alternatively, what would the monthly withdrawal of $500 need to be adjusted to under scenarios 2 through 5 such that the 
            initial lump sum investment is projected to last the same length of time as scenario 1 
      c)  Assuming the individual withdraws $500 per month and the annual rate of inflation is 2.25%, what would the annual 
            investment return need to be in order for their initial lump sum investment to last and maintain its purchasing power 
            equivalancy until the following ages:
            a.  Age 90
            b.  Age 100
</t>
    </r>
    <r>
      <rPr>
        <b/>
        <sz val="11"/>
        <color theme="1"/>
        <rFont val="Calibri"/>
        <family val="2"/>
        <scheme val="minor"/>
      </rPr>
      <t>Question 4</t>
    </r>
    <r>
      <rPr>
        <sz val="11"/>
        <color theme="1"/>
        <rFont val="Calibri"/>
        <family val="2"/>
        <scheme val="minor"/>
      </rPr>
      <t xml:space="preserve">
What conclusions can you draw from these results?</t>
    </r>
  </si>
  <si>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</si>
  <si>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</si>
  <si>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</si>
  <si>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</si>
  <si>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</si>
  <si>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</si>
  <si>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</si>
  <si>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</si>
  <si>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</si>
  <si>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</si>
  <si>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</si>
  <si>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RET 101 - Retirement Plan Design</t>
  </si>
  <si>
    <r>
      <t xml:space="preserve">This guided example has been developed by </t>
    </r>
    <r>
      <rPr>
        <b/>
        <sz val="11"/>
        <color theme="1"/>
        <rFont val="Aptos"/>
        <family val="2"/>
      </rPr>
      <t>Ryan Rowland, FSA, EA, MAAA of The Edge Actuarial,</t>
    </r>
    <r>
      <rPr>
        <sz val="11"/>
        <color theme="1"/>
        <rFont val="Aptos"/>
        <family val="2"/>
      </rPr>
      <t xml:space="preserve"> with review and edits as appropriate by course curriculum volunteers and SOA staff. Administrative support has been provided by </t>
    </r>
    <r>
      <rPr>
        <b/>
        <sz val="11"/>
        <color theme="1"/>
        <rFont val="Aptos"/>
        <family val="2"/>
      </rPr>
      <t>ACTEX Learning</t>
    </r>
    <r>
      <rPr>
        <sz val="11"/>
        <color theme="1"/>
        <rFont val="Aptos"/>
        <family val="2"/>
      </rPr>
      <t xml:space="preserve">. </t>
    </r>
  </si>
  <si>
    <r>
      <t xml:space="preserve">This guided example has been developed by </t>
    </r>
    <r>
      <rPr>
        <b/>
        <sz val="11"/>
        <color theme="1"/>
        <rFont val="Aptos"/>
        <family val="2"/>
      </rPr>
      <t>Anna Wong (MBA, ASA, CGA, CPA), ACTEX Learning,</t>
    </r>
    <r>
      <rPr>
        <sz val="11"/>
        <color theme="1"/>
        <rFont val="Aptos"/>
        <family val="2"/>
      </rPr>
      <t xml:space="preserve"> with review and edits as appropriate by course curriculum volunteers and SOA staff.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</si>
</sst>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0.00000"/>
    <numFmt numFmtId="167" formatCode="&quot;$&quot;#,##0.00000_);[Red]\(&quot;$&quot;#,##0.00000\)"/>
    <numFmt numFmtId="168" formatCode="0.000000"/>
    <numFmt numFmtId="169" formatCode="0.0"/>
    <numFmt numFmtId="170" formatCode="0.000%"/>
    <numFmt numFmtId="171" formatCode="&quot;$&quot;#,##0.000_);[Red]\(&quot;$&quot;#,##0.000\)"/>
    <numFmt numFmtId="172" formatCode="&quot;$&quot;#,##0.0000_);[Red]\(&quot;$&quot;#,##0.0000\)"/>
    <numFmt numFmtId="173" formatCode="_(&quot;$&quot;* #,##0_);_(&quot;$&quot;* \(#,##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rgb="FF000000"/>
      <name val="Calibri"/>
      <family val="2"/>
      <scheme val="minor"/>
    </font>
    <font>
      <sz val="11"/>
      <color theme="1"/>
      <name val="Aptos"/>
      <family val="2"/>
    </font>
    <font>
      <b/>
      <sz val="11"/>
      <color theme="1"/>
      <name val="Aptos"/>
      <family val="2"/>
    </font>
    <font>
      <strike/>
      <vertAlign val="subscript"/>
      <sz val="11"/>
      <color theme="1"/>
      <name val="Calibri"/>
      <family val="2"/>
      <scheme val="minor"/>
    </font>
    <font>
      <sz val="11"/>
      <name val="Aptos"/>
      <family val="2"/>
    </font>
    <font>
      <sz val="11"/>
      <color theme="1"/>
      <name val="Wingdings"/>
      <charset val="2"/>
    </font>
    <font>
      <sz val="11"/>
      <color rgb="FF000000"/>
      <name val="Aptos Narrow"/>
      <family val="2"/>
    </font>
    <font>
      <b/>
      <sz val="11"/>
      <color rgb="FF000000"/>
      <name val="Aptos Narrow"/>
      <family val="2"/>
    </font>
    <font>
      <sz val="11"/>
      <name val="Calibri"/>
      <family val="2"/>
      <scheme val="minor"/>
    </font>
    <font>
      <sz val="12"/>
      <color theme="1"/>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DF79"/>
        <bgColor indexed="64"/>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right style="medium">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178">
    <xf numFmtId="0" fontId="0" fillId="0" borderId="0" xfId="0"/>
    <xf numFmtId="8" fontId="0" fillId="0" borderId="0" xfId="0" applyNumberFormat="1"/>
    <xf numFmtId="9" fontId="0" fillId="0" borderId="0" xfId="0" applyNumberFormat="1"/>
    <xf numFmtId="6" fontId="0" fillId="0" borderId="0" xfId="0" applyNumberFormat="1"/>
    <xf numFmtId="0" fontId="3" fillId="0" borderId="0" xfId="0" applyFont="1"/>
    <xf numFmtId="0" fontId="0" fillId="0" borderId="0" xfId="0" applyAlignment="1">
      <alignment horizontal="right"/>
    </xf>
    <xf numFmtId="0" fontId="0" fillId="0" borderId="0" xfId="0" applyAlignment="1">
      <alignment horizontal="center"/>
    </xf>
    <xf numFmtId="0" fontId="2" fillId="0" borderId="0" xfId="0" applyFont="1"/>
    <xf numFmtId="164" fontId="0" fillId="0" borderId="0" xfId="2" applyNumberFormat="1" applyFont="1"/>
    <xf numFmtId="10" fontId="0" fillId="0" borderId="0" xfId="0" applyNumberFormat="1"/>
    <xf numFmtId="0" fontId="0" fillId="0" borderId="0" xfId="0" applyAlignment="1">
      <alignment wrapText="1"/>
    </xf>
    <xf numFmtId="165" fontId="0" fillId="0" borderId="0" xfId="0" applyNumberFormat="1"/>
    <xf numFmtId="9" fontId="0" fillId="0" borderId="0" xfId="2" applyFont="1"/>
    <xf numFmtId="165" fontId="0" fillId="0" borderId="0" xfId="1" applyNumberFormat="1" applyFont="1"/>
    <xf numFmtId="0" fontId="2" fillId="0" borderId="0" xfId="0" applyFont="1" applyAlignment="1">
      <alignment horizontal="center"/>
    </xf>
    <xf numFmtId="0" fontId="2" fillId="0" borderId="0" xfId="0" applyFont="1" applyAlignment="1">
      <alignment horizontal="centerContinuous"/>
    </xf>
    <xf numFmtId="3" fontId="0" fillId="0" borderId="0" xfId="0" applyNumberFormat="1"/>
    <xf numFmtId="0" fontId="4" fillId="0" borderId="0" xfId="0" applyFont="1"/>
    <xf numFmtId="10" fontId="4" fillId="0" borderId="0" xfId="2" applyNumberFormat="1" applyFont="1"/>
    <xf numFmtId="10" fontId="4" fillId="0" borderId="0" xfId="0" applyNumberFormat="1" applyFont="1"/>
    <xf numFmtId="166" fontId="4" fillId="0" borderId="0" xfId="0" applyNumberFormat="1" applyFont="1"/>
    <xf numFmtId="0" fontId="2" fillId="0" borderId="6" xfId="0" applyFont="1" applyBorder="1"/>
    <xf numFmtId="0" fontId="0" fillId="0" borderId="5" xfId="0" applyBorder="1"/>
    <xf numFmtId="0" fontId="0" fillId="0" borderId="4" xfId="0" applyBorder="1"/>
    <xf numFmtId="0" fontId="0" fillId="0" borderId="11" xfId="0" applyBorder="1"/>
    <xf numFmtId="0" fontId="0" fillId="0" borderId="12" xfId="0" applyBorder="1"/>
    <xf numFmtId="165" fontId="0" fillId="0" borderId="12" xfId="0" applyNumberFormat="1" applyBorder="1"/>
    <xf numFmtId="10" fontId="0" fillId="0" borderId="0" xfId="2" applyNumberFormat="1" applyFont="1"/>
    <xf numFmtId="165" fontId="0" fillId="0" borderId="0" xfId="1" applyNumberFormat="1" applyFont="1" applyBorder="1"/>
    <xf numFmtId="165" fontId="0" fillId="0" borderId="12" xfId="1" applyNumberFormat="1" applyFont="1" applyBorder="1"/>
    <xf numFmtId="0" fontId="4" fillId="0" borderId="12" xfId="0" applyFont="1" applyBorder="1"/>
    <xf numFmtId="9" fontId="0" fillId="0" borderId="0" xfId="2" applyFont="1" applyBorder="1"/>
    <xf numFmtId="9" fontId="0" fillId="0" borderId="12" xfId="2" applyFont="1" applyBorder="1"/>
    <xf numFmtId="164" fontId="0" fillId="0" borderId="0" xfId="2" applyNumberFormat="1" applyFont="1" applyBorder="1"/>
    <xf numFmtId="164" fontId="0" fillId="0" borderId="12" xfId="2" applyNumberFormat="1" applyFont="1" applyBorder="1"/>
    <xf numFmtId="0" fontId="2" fillId="0" borderId="11" xfId="0" applyFont="1" applyBorder="1"/>
    <xf numFmtId="166" fontId="4" fillId="0" borderId="12" xfId="0" applyNumberFormat="1" applyFont="1" applyBorder="1"/>
    <xf numFmtId="9" fontId="4" fillId="0" borderId="0" xfId="0" applyNumberFormat="1" applyFont="1"/>
    <xf numFmtId="9" fontId="4" fillId="0" borderId="11" xfId="0" applyNumberFormat="1" applyFont="1" applyBorder="1"/>
    <xf numFmtId="9" fontId="4" fillId="0" borderId="12" xfId="0" applyNumberFormat="1" applyFont="1" applyBorder="1"/>
    <xf numFmtId="0" fontId="4" fillId="0" borderId="11" xfId="0" applyFont="1" applyBorder="1"/>
    <xf numFmtId="165" fontId="4" fillId="0" borderId="0" xfId="0" applyNumberFormat="1" applyFont="1"/>
    <xf numFmtId="165" fontId="4" fillId="0" borderId="12" xfId="0" applyNumberFormat="1" applyFont="1" applyBorder="1"/>
    <xf numFmtId="0" fontId="4" fillId="0" borderId="3" xfId="0" applyFont="1" applyBorder="1"/>
    <xf numFmtId="165" fontId="4" fillId="0" borderId="2" xfId="1" applyNumberFormat="1" applyFont="1" applyBorder="1"/>
    <xf numFmtId="0" fontId="4" fillId="0" borderId="2" xfId="0" applyFont="1" applyBorder="1"/>
    <xf numFmtId="0" fontId="4" fillId="0" borderId="1" xfId="0" applyFont="1" applyBorder="1"/>
    <xf numFmtId="0" fontId="0" fillId="0" borderId="3" xfId="0" applyBorder="1"/>
    <xf numFmtId="0" fontId="0" fillId="0" borderId="2" xfId="0" applyBorder="1"/>
    <xf numFmtId="165" fontId="0" fillId="0" borderId="2" xfId="0" applyNumberFormat="1" applyBorder="1"/>
    <xf numFmtId="165" fontId="0" fillId="0" borderId="1" xfId="0" applyNumberFormat="1" applyBorder="1"/>
    <xf numFmtId="6" fontId="0" fillId="0" borderId="12" xfId="0" applyNumberFormat="1" applyBorder="1"/>
    <xf numFmtId="167" fontId="0" fillId="0" borderId="0" xfId="0" applyNumberFormat="1"/>
    <xf numFmtId="9" fontId="0" fillId="0" borderId="2" xfId="2" applyFont="1" applyBorder="1"/>
    <xf numFmtId="9" fontId="0" fillId="0" borderId="1" xfId="2" applyFont="1" applyBorder="1"/>
    <xf numFmtId="0" fontId="5" fillId="0" borderId="10" xfId="0" applyFont="1" applyBorder="1" applyAlignment="1">
      <alignment vertical="center" wrapText="1"/>
    </xf>
    <xf numFmtId="0" fontId="5" fillId="0" borderId="8" xfId="0" applyFont="1" applyBorder="1" applyAlignment="1">
      <alignment vertical="center" wrapText="1"/>
    </xf>
    <xf numFmtId="0" fontId="2" fillId="0" borderId="4" xfId="0" applyFont="1" applyBorder="1" applyAlignment="1">
      <alignment horizontal="center" wrapText="1"/>
    </xf>
    <xf numFmtId="0" fontId="0" fillId="0" borderId="6" xfId="0" applyBorder="1"/>
    <xf numFmtId="10" fontId="0" fillId="0" borderId="5" xfId="2" applyNumberFormat="1" applyFont="1" applyBorder="1"/>
    <xf numFmtId="10" fontId="0" fillId="0" borderId="0" xfId="2" applyNumberFormat="1" applyFont="1" applyBorder="1"/>
    <xf numFmtId="0" fontId="2" fillId="0" borderId="5" xfId="0" applyFont="1" applyBorder="1" applyAlignment="1">
      <alignment horizontal="center"/>
    </xf>
    <xf numFmtId="0" fontId="2" fillId="0" borderId="4" xfId="0" applyFont="1" applyBorder="1" applyAlignment="1">
      <alignment horizontal="center"/>
    </xf>
    <xf numFmtId="10" fontId="0" fillId="0" borderId="12" xfId="2" applyNumberFormat="1" applyFont="1" applyBorder="1"/>
    <xf numFmtId="0" fontId="2" fillId="0" borderId="11" xfId="0" applyFont="1" applyBorder="1" applyAlignment="1">
      <alignment horizontal="center"/>
    </xf>
    <xf numFmtId="0" fontId="2" fillId="0" borderId="12" xfId="0" applyFont="1" applyBorder="1" applyAlignment="1">
      <alignment horizontal="center" wrapText="1"/>
    </xf>
    <xf numFmtId="0" fontId="0" fillId="0" borderId="7" xfId="0" applyBorder="1"/>
    <xf numFmtId="10" fontId="0" fillId="0" borderId="7" xfId="0" applyNumberFormat="1" applyBorder="1"/>
    <xf numFmtId="168" fontId="0" fillId="0" borderId="0" xfId="0" applyNumberFormat="1" applyAlignment="1">
      <alignment horizontal="right"/>
    </xf>
    <xf numFmtId="168" fontId="0" fillId="0" borderId="0" xfId="0" applyNumberFormat="1" applyAlignment="1">
      <alignment horizontal="center"/>
    </xf>
    <xf numFmtId="10" fontId="0" fillId="0" borderId="7" xfId="2" applyNumberFormat="1" applyFont="1" applyBorder="1"/>
    <xf numFmtId="0" fontId="7" fillId="0" borderId="0" xfId="0" applyFont="1"/>
    <xf numFmtId="165" fontId="0" fillId="0" borderId="1" xfId="1" applyNumberFormat="1" applyFont="1" applyBorder="1"/>
    <xf numFmtId="0" fontId="0" fillId="0" borderId="3" xfId="0" applyBorder="1" applyAlignment="1">
      <alignment wrapText="1"/>
    </xf>
    <xf numFmtId="0" fontId="0" fillId="0" borderId="5" xfId="0" applyBorder="1" applyAlignment="1">
      <alignment horizontal="center"/>
    </xf>
    <xf numFmtId="169" fontId="0" fillId="2" borderId="2" xfId="0" applyNumberFormat="1" applyFill="1" applyBorder="1"/>
    <xf numFmtId="169" fontId="0" fillId="2" borderId="1" xfId="0" applyNumberFormat="1" applyFill="1" applyBorder="1"/>
    <xf numFmtId="169" fontId="0" fillId="0" borderId="0" xfId="0" applyNumberFormat="1"/>
    <xf numFmtId="169" fontId="0" fillId="0" borderId="12" xfId="0" applyNumberFormat="1" applyBorder="1"/>
    <xf numFmtId="0" fontId="2" fillId="0" borderId="12" xfId="0" applyFont="1" applyBorder="1" applyAlignment="1">
      <alignment horizontal="center"/>
    </xf>
    <xf numFmtId="0" fontId="0" fillId="2" borderId="0" xfId="0" applyFill="1"/>
    <xf numFmtId="1" fontId="0" fillId="2" borderId="0" xfId="0" applyNumberFormat="1" applyFill="1"/>
    <xf numFmtId="1" fontId="0" fillId="2" borderId="12" xfId="0" applyNumberFormat="1" applyFill="1" applyBorder="1"/>
    <xf numFmtId="169" fontId="0" fillId="0" borderId="2" xfId="0" applyNumberFormat="1" applyBorder="1"/>
    <xf numFmtId="169" fontId="0" fillId="0" borderId="1" xfId="0" applyNumberFormat="1" applyBorder="1"/>
    <xf numFmtId="10" fontId="0" fillId="2" borderId="7" xfId="2" applyNumberFormat="1" applyFont="1" applyFill="1" applyBorder="1"/>
    <xf numFmtId="1" fontId="0" fillId="0" borderId="0" xfId="0" applyNumberFormat="1"/>
    <xf numFmtId="1" fontId="0" fillId="0" borderId="12" xfId="0" applyNumberFormat="1" applyBorder="1"/>
    <xf numFmtId="0" fontId="6" fillId="0" borderId="9" xfId="0" applyFont="1" applyBorder="1" applyAlignment="1">
      <alignment horizontal="center" vertical="center" wrapText="1"/>
    </xf>
    <xf numFmtId="0" fontId="5" fillId="0" borderId="13" xfId="0" applyFont="1" applyBorder="1" applyAlignment="1">
      <alignment vertical="center" wrapText="1"/>
    </xf>
    <xf numFmtId="6" fontId="5" fillId="0" borderId="13" xfId="0" applyNumberFormat="1" applyFont="1" applyBorder="1" applyAlignment="1">
      <alignment vertical="center" wrapText="1"/>
    </xf>
    <xf numFmtId="0" fontId="8" fillId="0" borderId="8" xfId="0" applyFont="1" applyBorder="1" applyAlignment="1">
      <alignment vertical="center" wrapText="1"/>
    </xf>
    <xf numFmtId="0" fontId="5" fillId="0" borderId="0" xfId="0" applyFont="1" applyAlignment="1">
      <alignment vertical="center" wrapText="1"/>
    </xf>
    <xf numFmtId="6" fontId="5" fillId="0" borderId="0" xfId="0" applyNumberFormat="1" applyFont="1" applyAlignment="1">
      <alignment vertical="center" wrapText="1"/>
    </xf>
    <xf numFmtId="0" fontId="5" fillId="0" borderId="9" xfId="0" applyFont="1" applyBorder="1" applyAlignment="1">
      <alignment vertical="center" wrapText="1"/>
    </xf>
    <xf numFmtId="0" fontId="5" fillId="0" borderId="0" xfId="0" applyFont="1" applyAlignment="1">
      <alignment vertical="center"/>
    </xf>
    <xf numFmtId="0" fontId="5" fillId="0" borderId="0" xfId="0" applyFont="1" applyAlignment="1">
      <alignment horizontal="left" vertical="center" indent="8"/>
    </xf>
    <xf numFmtId="0" fontId="5" fillId="0" borderId="0" xfId="0" applyFont="1" applyAlignment="1">
      <alignment horizontal="left" vertical="center" indent="5"/>
    </xf>
    <xf numFmtId="9" fontId="3" fillId="0" borderId="0" xfId="2" applyFont="1"/>
    <xf numFmtId="9" fontId="3" fillId="0" borderId="0" xfId="0" applyNumberFormat="1" applyFont="1"/>
    <xf numFmtId="0" fontId="9" fillId="0" borderId="0" xfId="0" applyFont="1" applyAlignment="1">
      <alignment horizontal="left" vertical="center" indent="11"/>
    </xf>
    <xf numFmtId="170" fontId="0" fillId="0" borderId="0" xfId="2" applyNumberFormat="1" applyFont="1"/>
    <xf numFmtId="170" fontId="0" fillId="0" borderId="0" xfId="0" applyNumberFormat="1"/>
    <xf numFmtId="171" fontId="0" fillId="0" borderId="0" xfId="0" applyNumberFormat="1"/>
    <xf numFmtId="172" fontId="0" fillId="0" borderId="0" xfId="0" applyNumberFormat="1"/>
    <xf numFmtId="0" fontId="0" fillId="2" borderId="12" xfId="0" applyFill="1" applyBorder="1"/>
    <xf numFmtId="9" fontId="0" fillId="2" borderId="12" xfId="2" applyFont="1" applyFill="1" applyBorder="1"/>
    <xf numFmtId="9" fontId="0" fillId="2" borderId="1" xfId="2" applyFont="1" applyFill="1" applyBorder="1"/>
    <xf numFmtId="10" fontId="10"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10" fontId="0" fillId="0" borderId="1" xfId="2" applyNumberFormat="1" applyFont="1" applyBorder="1"/>
    <xf numFmtId="10" fontId="0" fillId="0" borderId="2" xfId="2" applyNumberFormat="1" applyFont="1" applyBorder="1"/>
    <xf numFmtId="10" fontId="0" fillId="0" borderId="12" xfId="0" applyNumberFormat="1" applyBorder="1"/>
    <xf numFmtId="1" fontId="0" fillId="0" borderId="4" xfId="2" applyNumberFormat="1" applyFont="1" applyBorder="1"/>
    <xf numFmtId="1" fontId="0" fillId="0" borderId="5" xfId="2" applyNumberFormat="1" applyFont="1" applyBorder="1"/>
    <xf numFmtId="10" fontId="0" fillId="0" borderId="6" xfId="2" applyNumberFormat="1" applyFont="1" applyBorder="1"/>
    <xf numFmtId="10" fontId="0" fillId="0" borderId="2" xfId="0" applyNumberFormat="1" applyBorder="1"/>
    <xf numFmtId="10" fontId="0" fillId="3" borderId="2" xfId="2" applyNumberFormat="1" applyFont="1" applyFill="1" applyBorder="1"/>
    <xf numFmtId="10" fontId="0" fillId="3" borderId="12" xfId="2" applyNumberFormat="1" applyFont="1" applyFill="1" applyBorder="1"/>
    <xf numFmtId="10" fontId="0" fillId="3" borderId="0" xfId="2" applyNumberFormat="1" applyFont="1" applyFill="1" applyBorder="1"/>
    <xf numFmtId="0" fontId="2" fillId="0" borderId="0" xfId="0" applyFont="1" applyAlignment="1">
      <alignment horizontal="center" wrapText="1"/>
    </xf>
    <xf numFmtId="0" fontId="2" fillId="3" borderId="0" xfId="0" applyFont="1" applyFill="1" applyAlignment="1">
      <alignment horizontal="center"/>
    </xf>
    <xf numFmtId="0" fontId="0" fillId="0" borderId="0" xfId="0" applyAlignment="1">
      <alignment vertical="top" wrapText="1"/>
    </xf>
    <xf numFmtId="0" fontId="2" fillId="0" borderId="14" xfId="0" applyFont="1" applyBorder="1" applyAlignment="1">
      <alignment horizontal="left"/>
    </xf>
    <xf numFmtId="0" fontId="2" fillId="0" borderId="14" xfId="0" applyFont="1" applyBorder="1" applyAlignment="1">
      <alignment horizontal="center"/>
    </xf>
    <xf numFmtId="0" fontId="0" fillId="0" borderId="0" xfId="0" applyAlignment="1">
      <alignment horizontal="center" wrapText="1"/>
    </xf>
    <xf numFmtId="9" fontId="0" fillId="0" borderId="0" xfId="0" applyNumberFormat="1" applyAlignment="1">
      <alignment horizontal="center"/>
    </xf>
    <xf numFmtId="0" fontId="3" fillId="0" borderId="0" xfId="0" applyFont="1" applyAlignment="1">
      <alignment horizontal="center"/>
    </xf>
    <xf numFmtId="6" fontId="0" fillId="0" borderId="0" xfId="0" applyNumberFormat="1" applyAlignment="1">
      <alignment horizontal="center"/>
    </xf>
    <xf numFmtId="164" fontId="0" fillId="0" borderId="0" xfId="0" applyNumberFormat="1" applyAlignment="1">
      <alignment horizontal="center"/>
    </xf>
    <xf numFmtId="173" fontId="0" fillId="0" borderId="0" xfId="0" applyNumberFormat="1"/>
    <xf numFmtId="0" fontId="0" fillId="0" borderId="14" xfId="0" applyBorder="1" applyAlignment="1">
      <alignment horizontal="center"/>
    </xf>
    <xf numFmtId="0" fontId="0" fillId="0" borderId="14" xfId="0" applyBorder="1" applyAlignment="1">
      <alignment horizontal="center" wrapText="1"/>
    </xf>
    <xf numFmtId="6" fontId="0" fillId="0" borderId="14" xfId="0" applyNumberFormat="1" applyBorder="1" applyAlignment="1">
      <alignment horizontal="center"/>
    </xf>
    <xf numFmtId="0" fontId="0" fillId="0" borderId="0" xfId="0" quotePrefix="1" applyAlignment="1">
      <alignment horizontal="center"/>
    </xf>
    <xf numFmtId="173" fontId="0" fillId="0" borderId="0" xfId="0" applyNumberFormat="1" applyAlignment="1">
      <alignment horizontal="center"/>
    </xf>
    <xf numFmtId="0" fontId="0" fillId="0" borderId="0" xfId="0" applyAlignment="1">
      <alignment horizontal="left"/>
    </xf>
    <xf numFmtId="6" fontId="0" fillId="0" borderId="18" xfId="0" applyNumberFormat="1" applyBorder="1" applyAlignment="1">
      <alignment horizontal="center"/>
    </xf>
    <xf numFmtId="44" fontId="0" fillId="0" borderId="0" xfId="0" applyNumberFormat="1"/>
    <xf numFmtId="0" fontId="13" fillId="0" borderId="14" xfId="0" applyFont="1" applyBorder="1" applyAlignment="1">
      <alignment horizontal="center"/>
    </xf>
    <xf numFmtId="0" fontId="13" fillId="0" borderId="0" xfId="0" applyFont="1" applyAlignment="1">
      <alignment horizontal="center"/>
    </xf>
    <xf numFmtId="44" fontId="0" fillId="0" borderId="0" xfId="0" applyNumberFormat="1" applyAlignment="1">
      <alignment horizontal="center"/>
    </xf>
    <xf numFmtId="0" fontId="13" fillId="0" borderId="0" xfId="0" applyFont="1"/>
    <xf numFmtId="173" fontId="0" fillId="0" borderId="14" xfId="0" applyNumberFormat="1" applyBorder="1" applyAlignment="1">
      <alignment horizontal="center"/>
    </xf>
    <xf numFmtId="44" fontId="0" fillId="0" borderId="14" xfId="0" applyNumberFormat="1" applyBorder="1" applyAlignment="1">
      <alignment horizontal="center"/>
    </xf>
    <xf numFmtId="0" fontId="13" fillId="0" borderId="14" xfId="0" applyFont="1" applyBorder="1"/>
    <xf numFmtId="173" fontId="0" fillId="0" borderId="14" xfId="0" applyNumberFormat="1" applyBorder="1"/>
    <xf numFmtId="44" fontId="0" fillId="0" borderId="18" xfId="0" applyNumberFormat="1" applyBorder="1"/>
    <xf numFmtId="173" fontId="0" fillId="0" borderId="18" xfId="0" applyNumberFormat="1" applyBorder="1"/>
    <xf numFmtId="0" fontId="2" fillId="0" borderId="0" xfId="0" quotePrefix="1" applyFont="1"/>
    <xf numFmtId="0" fontId="0" fillId="0" borderId="0" xfId="0" applyAlignment="1">
      <alignment vertical="top" wrapText="1"/>
    </xf>
    <xf numFmtId="0" fontId="0" fillId="0" borderId="0" xfId="0" applyAlignment="1">
      <alignment wrapText="1"/>
    </xf>
    <xf numFmtId="0" fontId="2" fillId="0" borderId="0" xfId="0" applyFont="1" applyAlignment="1">
      <alignment horizontal="center"/>
    </xf>
    <xf numFmtId="0" fontId="0" fillId="0" borderId="0" xfId="0" applyAlignment="1">
      <alignment horizontal="center"/>
    </xf>
    <xf numFmtId="0" fontId="0" fillId="0" borderId="0" xfId="0" applyAlignment="1">
      <alignment vertical="top"/>
    </xf>
    <xf numFmtId="0" fontId="0" fillId="0" borderId="0" xfId="0" applyAlignment="1">
      <alignment vertical="center" wrapText="1"/>
    </xf>
    <xf numFmtId="0" fontId="0" fillId="0" borderId="0" xfId="0" applyAlignment="1">
      <alignment vertical="center"/>
    </xf>
    <xf numFmtId="0" fontId="0" fillId="0" borderId="15" xfId="0" applyBorder="1" applyAlignment="1">
      <alignment horizontal="center"/>
    </xf>
    <xf numFmtId="0" fontId="12" fillId="0" borderId="16" xfId="0" applyFont="1" applyBorder="1"/>
    <xf numFmtId="0" fontId="12" fillId="0" borderId="17" xfId="0" applyFont="1" applyBorder="1"/>
    <xf numFmtId="0" fontId="2" fillId="0" borderId="5" xfId="0" applyFont="1" applyBorder="1" applyAlignment="1">
      <alignment horizontal="center"/>
    </xf>
    <xf numFmtId="0" fontId="0" fillId="0" borderId="5" xfId="0" applyBorder="1"/>
    <xf numFmtId="0" fontId="0" fillId="0" borderId="4" xfId="0" applyBorder="1"/>
    <xf numFmtId="0" fontId="15" fillId="0" borderId="0" xfId="0" applyFont="1" applyAlignment="1">
      <alignment horizontal="center"/>
    </xf>
    <xf numFmtId="0" fontId="16" fillId="0" borderId="0" xfId="0" applyFont="1"/>
    <xf numFmtId="0" fontId="17" fillId="0" borderId="0" xfId="0" applyFont="1" applyAlignment="1">
      <alignment horizontal="center"/>
    </xf>
    <xf numFmtId="0" fontId="0" fillId="0" borderId="0" xfId="0" applyAlignment="1">
      <alignment horizontal="right" vertical="top" indent="1"/>
    </xf>
    <xf numFmtId="0" fontId="18" fillId="0" borderId="0" xfId="0" applyFont="1" applyAlignment="1">
      <alignment horizontal="left" wrapText="1"/>
    </xf>
    <xf numFmtId="0" fontId="18" fillId="0" borderId="0" xfId="0" applyFont="1"/>
    <xf numFmtId="0" fontId="14" fillId="0" borderId="0" xfId="3"/>
    <xf numFmtId="0" fontId="19" fillId="0" borderId="0" xfId="3" applyFont="1"/>
    <xf numFmtId="0" fontId="20"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xf numFmtId="0" fontId="5"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11415C0E-4C07-459E-BF36-D8837AE29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3B705614-E02F-4E55-A39C-3EB00B4E7C7B}"/>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CF368DC7-DA5E-400F-93EC-473A160253A1}"/>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329724</xdr:colOff>
      <xdr:row>6</xdr:row>
      <xdr:rowOff>97980</xdr:rowOff>
    </xdr:from>
    <xdr:ext cx="318933" cy="20851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DCCE7DC3-B161-4C2E-B90C-9D2EA49AF81A}"/>
                </a:ext>
              </a:extLst>
            </xdr:cNvPr>
            <xdr:cNvSpPr txBox="1"/>
          </xdr:nvSpPr>
          <xdr:spPr>
            <a:xfrm>
              <a:off x="12403614" y="13609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2" name="TextBox 1">
              <a:extLst>
                <a:ext uri="{FF2B5EF4-FFF2-40B4-BE49-F238E27FC236}">
                  <a16:creationId xmlns:a16="http://schemas.microsoft.com/office/drawing/2014/main" id="{DCCE7DC3-B161-4C2E-B90C-9D2EA49AF81A}"/>
                </a:ext>
              </a:extLst>
            </xdr:cNvPr>
            <xdr:cNvSpPr txBox="1"/>
          </xdr:nvSpPr>
          <xdr:spPr>
            <a:xfrm>
              <a:off x="12403614" y="13609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kern="1200">
                  <a:latin typeface="Cambria Math" panose="02040503050406030204" pitchFamily="18" charset="0"/>
                </a:rPr>
                <a:t>𝑎 ̈_𝑥^((12))</a:t>
              </a:r>
              <a:endParaRPr lang="en-US" sz="1100" kern="1200"/>
            </a:p>
          </xdr:txBody>
        </xdr:sp>
      </mc:Fallback>
    </mc:AlternateContent>
    <xdr:clientData/>
  </xdr:oneCellAnchor>
  <xdr:oneCellAnchor>
    <xdr:from>
      <xdr:col>16</xdr:col>
      <xdr:colOff>323850</xdr:colOff>
      <xdr:row>6</xdr:row>
      <xdr:rowOff>104775</xdr:rowOff>
    </xdr:from>
    <xdr:ext cx="318933" cy="208519"/>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A28FB76-8B16-4EE8-92B7-EC4F78704CF7}"/>
                </a:ext>
              </a:extLst>
            </xdr:cNvPr>
            <xdr:cNvSpPr txBox="1"/>
          </xdr:nvSpPr>
          <xdr:spPr>
            <a:xfrm>
              <a:off x="13140690" y="13696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3" name="TextBox 2">
              <a:extLst>
                <a:ext uri="{FF2B5EF4-FFF2-40B4-BE49-F238E27FC236}">
                  <a16:creationId xmlns:a16="http://schemas.microsoft.com/office/drawing/2014/main" id="{FA28FB76-8B16-4EE8-92B7-EC4F78704CF7}"/>
                </a:ext>
              </a:extLst>
            </xdr:cNvPr>
            <xdr:cNvSpPr txBox="1"/>
          </xdr:nvSpPr>
          <xdr:spPr>
            <a:xfrm>
              <a:off x="13140690" y="13696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kern="1200">
                  <a:latin typeface="Cambria Math" panose="02040503050406030204" pitchFamily="18" charset="0"/>
                </a:rPr>
                <a:t>𝑎 ̈_𝑥^((12))</a:t>
              </a:r>
              <a:endParaRPr lang="en-US" sz="1100" kern="1200"/>
            </a:p>
          </xdr:txBody>
        </xdr:sp>
      </mc:Fallback>
    </mc:AlternateContent>
    <xdr:clientData/>
  </xdr:oneCellAnchor>
  <xdr:oneCellAnchor>
    <xdr:from>
      <xdr:col>18</xdr:col>
      <xdr:colOff>549089</xdr:colOff>
      <xdr:row>6</xdr:row>
      <xdr:rowOff>56030</xdr:rowOff>
    </xdr:from>
    <xdr:ext cx="739588" cy="280146"/>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AED995D-27EA-49B2-9874-BB527F07892E}"/>
                </a:ext>
              </a:extLst>
            </xdr:cNvPr>
            <xdr:cNvSpPr txBox="1"/>
          </xdr:nvSpPr>
          <xdr:spPr>
            <a:xfrm>
              <a:off x="14726099" y="1326665"/>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4" name="TextBox 3">
              <a:extLst>
                <a:ext uri="{FF2B5EF4-FFF2-40B4-BE49-F238E27FC236}">
                  <a16:creationId xmlns:a16="http://schemas.microsoft.com/office/drawing/2014/main" id="{0AED995D-27EA-49B2-9874-BB527F07892E}"/>
                </a:ext>
              </a:extLst>
            </xdr:cNvPr>
            <xdr:cNvSpPr txBox="1"/>
          </xdr:nvSpPr>
          <xdr:spPr>
            <a:xfrm>
              <a:off x="14726099" y="1326665"/>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oneCellAnchor>
    <xdr:from>
      <xdr:col>20</xdr:col>
      <xdr:colOff>89647</xdr:colOff>
      <xdr:row>6</xdr:row>
      <xdr:rowOff>67236</xdr:rowOff>
    </xdr:from>
    <xdr:ext cx="739588" cy="28014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A2256C7B-7D3E-42D6-B1AE-FA6C2444D0D9}"/>
                </a:ext>
              </a:extLst>
            </xdr:cNvPr>
            <xdr:cNvSpPr txBox="1"/>
          </xdr:nvSpPr>
          <xdr:spPr>
            <a:xfrm>
              <a:off x="15800182" y="1332156"/>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5" name="TextBox 4">
              <a:extLst>
                <a:ext uri="{FF2B5EF4-FFF2-40B4-BE49-F238E27FC236}">
                  <a16:creationId xmlns:a16="http://schemas.microsoft.com/office/drawing/2014/main" id="{A2256C7B-7D3E-42D6-B1AE-FA6C2444D0D9}"/>
                </a:ext>
              </a:extLst>
            </xdr:cNvPr>
            <xdr:cNvSpPr txBox="1"/>
          </xdr:nvSpPr>
          <xdr:spPr>
            <a:xfrm>
              <a:off x="15800182" y="1332156"/>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oneCellAnchor>
    <xdr:from>
      <xdr:col>23</xdr:col>
      <xdr:colOff>33617</xdr:colOff>
      <xdr:row>6</xdr:row>
      <xdr:rowOff>89647</xdr:rowOff>
    </xdr:from>
    <xdr:ext cx="739588" cy="280146"/>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DFEEBF47-5A4A-4BE2-ABD7-DBCB08C4EEFF}"/>
                </a:ext>
              </a:extLst>
            </xdr:cNvPr>
            <xdr:cNvSpPr txBox="1"/>
          </xdr:nvSpPr>
          <xdr:spPr>
            <a:xfrm>
              <a:off x="17881562" y="1360282"/>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6" name="TextBox 5">
              <a:extLst>
                <a:ext uri="{FF2B5EF4-FFF2-40B4-BE49-F238E27FC236}">
                  <a16:creationId xmlns:a16="http://schemas.microsoft.com/office/drawing/2014/main" id="{DFEEBF47-5A4A-4BE2-ABD7-DBCB08C4EEFF}"/>
                </a:ext>
              </a:extLst>
            </xdr:cNvPr>
            <xdr:cNvSpPr txBox="1"/>
          </xdr:nvSpPr>
          <xdr:spPr>
            <a:xfrm>
              <a:off x="17881562" y="1360282"/>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329724</xdr:colOff>
      <xdr:row>21</xdr:row>
      <xdr:rowOff>97980</xdr:rowOff>
    </xdr:from>
    <xdr:ext cx="318933" cy="20851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E6F073D4-879A-4E81-9142-090938ADC04B}"/>
                </a:ext>
              </a:extLst>
            </xdr:cNvPr>
            <xdr:cNvSpPr txBox="1"/>
          </xdr:nvSpPr>
          <xdr:spPr>
            <a:xfrm>
              <a:off x="2650014" y="35326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2" name="TextBox 1">
              <a:extLst>
                <a:ext uri="{FF2B5EF4-FFF2-40B4-BE49-F238E27FC236}">
                  <a16:creationId xmlns:a16="http://schemas.microsoft.com/office/drawing/2014/main" id="{E6F073D4-879A-4E81-9142-090938ADC04B}"/>
                </a:ext>
              </a:extLst>
            </xdr:cNvPr>
            <xdr:cNvSpPr txBox="1"/>
          </xdr:nvSpPr>
          <xdr:spPr>
            <a:xfrm>
              <a:off x="2650014" y="35326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kern="1200">
                  <a:latin typeface="Cambria Math" panose="02040503050406030204" pitchFamily="18" charset="0"/>
                </a:rPr>
                <a:t>𝑎 ̈_𝑥^((12))</a:t>
              </a:r>
              <a:endParaRPr lang="en-US" sz="1100" kern="1200"/>
            </a:p>
          </xdr:txBody>
        </xdr:sp>
      </mc:Fallback>
    </mc:AlternateContent>
    <xdr:clientData/>
  </xdr:oneCellAnchor>
  <xdr:oneCellAnchor>
    <xdr:from>
      <xdr:col>4</xdr:col>
      <xdr:colOff>323850</xdr:colOff>
      <xdr:row>21</xdr:row>
      <xdr:rowOff>104775</xdr:rowOff>
    </xdr:from>
    <xdr:ext cx="318933" cy="208519"/>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BBBC4AE6-D2AE-4191-9DE7-71082DAF1C01}"/>
                </a:ext>
              </a:extLst>
            </xdr:cNvPr>
            <xdr:cNvSpPr txBox="1"/>
          </xdr:nvSpPr>
          <xdr:spPr>
            <a:xfrm>
              <a:off x="3377565" y="35413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3" name="TextBox 2">
              <a:extLst>
                <a:ext uri="{FF2B5EF4-FFF2-40B4-BE49-F238E27FC236}">
                  <a16:creationId xmlns:a16="http://schemas.microsoft.com/office/drawing/2014/main" id="{BBBC4AE6-D2AE-4191-9DE7-71082DAF1C01}"/>
                </a:ext>
              </a:extLst>
            </xdr:cNvPr>
            <xdr:cNvSpPr txBox="1"/>
          </xdr:nvSpPr>
          <xdr:spPr>
            <a:xfrm>
              <a:off x="3377565" y="3541395"/>
              <a:ext cx="318933" cy="208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kern="1200">
                  <a:latin typeface="Cambria Math" panose="02040503050406030204" pitchFamily="18" charset="0"/>
                </a:rPr>
                <a:t>𝑎 ̈_𝑥^((12))</a:t>
              </a:r>
              <a:endParaRPr lang="en-US" sz="1100" kern="1200"/>
            </a:p>
          </xdr:txBody>
        </xdr:sp>
      </mc:Fallback>
    </mc:AlternateContent>
    <xdr:clientData/>
  </xdr:oneCellAnchor>
  <xdr:oneCellAnchor>
    <xdr:from>
      <xdr:col>6</xdr:col>
      <xdr:colOff>549089</xdr:colOff>
      <xdr:row>21</xdr:row>
      <xdr:rowOff>56030</xdr:rowOff>
    </xdr:from>
    <xdr:ext cx="739588" cy="280146"/>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7D75695F-DE5E-474B-ACD6-741812E6333E}"/>
                </a:ext>
              </a:extLst>
            </xdr:cNvPr>
            <xdr:cNvSpPr txBox="1"/>
          </xdr:nvSpPr>
          <xdr:spPr>
            <a:xfrm>
              <a:off x="4943924" y="3498365"/>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4" name="TextBox 3">
              <a:extLst>
                <a:ext uri="{FF2B5EF4-FFF2-40B4-BE49-F238E27FC236}">
                  <a16:creationId xmlns:a16="http://schemas.microsoft.com/office/drawing/2014/main" id="{7D75695F-DE5E-474B-ACD6-741812E6333E}"/>
                </a:ext>
              </a:extLst>
            </xdr:cNvPr>
            <xdr:cNvSpPr txBox="1"/>
          </xdr:nvSpPr>
          <xdr:spPr>
            <a:xfrm>
              <a:off x="4943924" y="3498365"/>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oneCellAnchor>
    <xdr:from>
      <xdr:col>8</xdr:col>
      <xdr:colOff>89647</xdr:colOff>
      <xdr:row>21</xdr:row>
      <xdr:rowOff>67236</xdr:rowOff>
    </xdr:from>
    <xdr:ext cx="739588" cy="28014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26CF60C-07F6-4379-93CF-02E56AED531E}"/>
                </a:ext>
              </a:extLst>
            </xdr:cNvPr>
            <xdr:cNvSpPr txBox="1"/>
          </xdr:nvSpPr>
          <xdr:spPr>
            <a:xfrm>
              <a:off x="5703682" y="3503856"/>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5" name="TextBox 4">
              <a:extLst>
                <a:ext uri="{FF2B5EF4-FFF2-40B4-BE49-F238E27FC236}">
                  <a16:creationId xmlns:a16="http://schemas.microsoft.com/office/drawing/2014/main" id="{526CF60C-07F6-4379-93CF-02E56AED531E}"/>
                </a:ext>
              </a:extLst>
            </xdr:cNvPr>
            <xdr:cNvSpPr txBox="1"/>
          </xdr:nvSpPr>
          <xdr:spPr>
            <a:xfrm>
              <a:off x="5703682" y="3503856"/>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oneCellAnchor>
    <xdr:from>
      <xdr:col>11</xdr:col>
      <xdr:colOff>33617</xdr:colOff>
      <xdr:row>21</xdr:row>
      <xdr:rowOff>89647</xdr:rowOff>
    </xdr:from>
    <xdr:ext cx="739588" cy="280146"/>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3DBDAB91-7666-486B-B07C-5F1D01644E12}"/>
                </a:ext>
              </a:extLst>
            </xdr:cNvPr>
            <xdr:cNvSpPr txBox="1"/>
          </xdr:nvSpPr>
          <xdr:spPr>
            <a:xfrm>
              <a:off x="7813637" y="3531982"/>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100" i="1" kern="1200">
                            <a:latin typeface="Cambria Math" panose="02040503050406030204" pitchFamily="18" charset="0"/>
                          </a:rPr>
                        </m:ctrlPr>
                      </m:sSubSupPr>
                      <m:e>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𝑎</m:t>
                            </m:r>
                          </m:e>
                        </m:acc>
                      </m:e>
                      <m:sub>
                        <m:r>
                          <a:rPr lang="en-US" sz="1100" b="0" i="1" kern="1200">
                            <a:latin typeface="Cambria Math" panose="02040503050406030204" pitchFamily="18" charset="0"/>
                          </a:rPr>
                          <m:t>𝑥</m:t>
                        </m:r>
                        <m:r>
                          <a:rPr lang="en-US" sz="1100" b="0" i="1" kern="1200">
                            <a:latin typeface="Cambria Math" panose="02040503050406030204" pitchFamily="18" charset="0"/>
                          </a:rPr>
                          <m:t>|</m:t>
                        </m:r>
                        <m:r>
                          <a:rPr lang="en-US" sz="1100" b="0" i="1" kern="1200">
                            <a:latin typeface="Cambria Math" panose="02040503050406030204" pitchFamily="18" charset="0"/>
                          </a:rPr>
                          <m:t>𝑑𝑒𝑓</m:t>
                        </m:r>
                        <m:r>
                          <a:rPr lang="en-US" sz="1100" b="0" i="1" kern="1200">
                            <a:latin typeface="Cambria Math" panose="02040503050406030204" pitchFamily="18" charset="0"/>
                          </a:rPr>
                          <m:t> </m:t>
                        </m:r>
                        <m:r>
                          <a:rPr lang="en-US" sz="1100" b="0" i="1" kern="1200">
                            <a:latin typeface="Cambria Math" panose="02040503050406030204" pitchFamily="18" charset="0"/>
                          </a:rPr>
                          <m:t>𝑡𝑜</m:t>
                        </m:r>
                        <m:r>
                          <a:rPr lang="en-US" sz="1100" b="0" i="1" kern="1200">
                            <a:latin typeface="Cambria Math" panose="02040503050406030204" pitchFamily="18" charset="0"/>
                          </a:rPr>
                          <m:t> 65</m:t>
                        </m:r>
                      </m:sub>
                      <m:sup>
                        <m:r>
                          <a:rPr lang="en-US" sz="1100" b="0" i="1" kern="1200">
                            <a:latin typeface="Cambria Math" panose="02040503050406030204" pitchFamily="18" charset="0"/>
                          </a:rPr>
                          <m:t>(12)</m:t>
                        </m:r>
                      </m:sup>
                    </m:sSubSup>
                  </m:oMath>
                </m:oMathPara>
              </a14:m>
              <a:endParaRPr lang="en-US" sz="1100" kern="1200"/>
            </a:p>
          </xdr:txBody>
        </xdr:sp>
      </mc:Choice>
      <mc:Fallback xmlns="">
        <xdr:sp macro="" textlink="">
          <xdr:nvSpPr>
            <xdr:cNvPr id="6" name="TextBox 5">
              <a:extLst>
                <a:ext uri="{FF2B5EF4-FFF2-40B4-BE49-F238E27FC236}">
                  <a16:creationId xmlns:a16="http://schemas.microsoft.com/office/drawing/2014/main" id="{3DBDAB91-7666-486B-B07C-5F1D01644E12}"/>
                </a:ext>
              </a:extLst>
            </xdr:cNvPr>
            <xdr:cNvSpPr txBox="1"/>
          </xdr:nvSpPr>
          <xdr:spPr>
            <a:xfrm>
              <a:off x="7813637" y="3531982"/>
              <a:ext cx="739588" cy="28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100" b="0" i="0" kern="1200">
                  <a:latin typeface="Cambria Math" panose="02040503050406030204" pitchFamily="18" charset="0"/>
                </a:rPr>
                <a:t>𝑎 ̈_(𝑥|𝑑𝑒𝑓 𝑡𝑜 65)^((12))</a:t>
              </a:r>
              <a:endParaRPr lang="en-US" sz="1100" kern="1200"/>
            </a:p>
          </xdr:txBody>
        </xdr:sp>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D26A-C97A-48B4-8176-0A5AC9CAE893}">
  <sheetPr>
    <tabColor rgb="FF0070C0"/>
    <pageSetUpPr autoPageBreaks="0"/>
  </sheetPr>
  <dimension ref="A6:K22"/>
  <sheetViews>
    <sheetView showGridLines="0" tabSelected="1" zoomScale="115" zoomScaleNormal="115" workbookViewId="0"/>
  </sheetViews>
  <sheetFormatPr defaultRowHeight="14.4" x14ac:dyDescent="0.3"/>
  <sheetData>
    <row r="6" spans="1:10" ht="33.6" x14ac:dyDescent="0.65">
      <c r="A6" s="165" t="s">
        <v>197</v>
      </c>
      <c r="B6" s="165"/>
      <c r="C6" s="165"/>
      <c r="D6" s="165"/>
      <c r="E6" s="165"/>
      <c r="F6" s="165"/>
      <c r="G6" s="165"/>
      <c r="H6" s="165"/>
      <c r="I6" s="165"/>
      <c r="J6" s="165"/>
    </row>
    <row r="7" spans="1:10" ht="6" customHeight="1" x14ac:dyDescent="0.3">
      <c r="A7" s="166"/>
      <c r="B7" s="166"/>
      <c r="C7" s="166"/>
      <c r="D7" s="166"/>
      <c r="E7" s="166"/>
      <c r="F7" s="166"/>
      <c r="G7" s="166"/>
      <c r="H7" s="166"/>
      <c r="I7" s="166"/>
      <c r="J7" s="166"/>
    </row>
    <row r="8" spans="1:10" ht="21" x14ac:dyDescent="0.4">
      <c r="A8" s="167" t="s">
        <v>208</v>
      </c>
      <c r="B8" s="167"/>
      <c r="C8" s="167"/>
      <c r="D8" s="167"/>
      <c r="E8" s="167"/>
      <c r="F8" s="167"/>
      <c r="G8" s="167"/>
      <c r="H8" s="167"/>
      <c r="I8" s="167"/>
      <c r="J8" s="167"/>
    </row>
    <row r="10" spans="1:10" ht="75" customHeight="1" x14ac:dyDescent="0.3">
      <c r="A10" s="168" t="s">
        <v>198</v>
      </c>
      <c r="B10" s="169" t="s">
        <v>199</v>
      </c>
      <c r="C10" s="169"/>
      <c r="D10" s="169"/>
      <c r="E10" s="169"/>
      <c r="F10" s="169"/>
      <c r="G10" s="169"/>
      <c r="H10" s="169"/>
      <c r="I10" s="169"/>
      <c r="J10" s="169"/>
    </row>
    <row r="11" spans="1:10" x14ac:dyDescent="0.3">
      <c r="B11" s="170"/>
      <c r="C11" s="170"/>
      <c r="D11" s="170"/>
      <c r="E11" s="170"/>
      <c r="F11" s="170"/>
      <c r="G11" s="170"/>
      <c r="H11" s="170"/>
      <c r="I11" s="170"/>
      <c r="J11" s="170"/>
    </row>
    <row r="12" spans="1:10" ht="45" customHeight="1" x14ac:dyDescent="0.3">
      <c r="A12" s="168" t="s">
        <v>198</v>
      </c>
      <c r="B12" s="169" t="s">
        <v>200</v>
      </c>
      <c r="C12" s="169"/>
      <c r="D12" s="169"/>
      <c r="E12" s="169"/>
      <c r="F12" s="169"/>
      <c r="G12" s="169"/>
      <c r="H12" s="169"/>
      <c r="I12" s="169"/>
      <c r="J12" s="169"/>
    </row>
    <row r="13" spans="1:10" x14ac:dyDescent="0.3">
      <c r="B13" s="170"/>
      <c r="C13" s="170"/>
      <c r="D13" s="170"/>
      <c r="E13" s="170"/>
      <c r="F13" s="170"/>
      <c r="G13" s="170"/>
      <c r="H13" s="170"/>
      <c r="I13" s="170"/>
      <c r="J13" s="170"/>
    </row>
    <row r="14" spans="1:10" ht="30" customHeight="1" x14ac:dyDescent="0.3">
      <c r="A14" s="168" t="s">
        <v>198</v>
      </c>
      <c r="B14" s="169" t="s">
        <v>201</v>
      </c>
      <c r="C14" s="169"/>
      <c r="D14" s="169"/>
      <c r="E14" s="169"/>
      <c r="F14" s="169"/>
      <c r="G14" s="169"/>
      <c r="H14" s="169"/>
      <c r="I14" s="169"/>
      <c r="J14" s="169"/>
    </row>
    <row r="15" spans="1:10" x14ac:dyDescent="0.3">
      <c r="B15" s="170"/>
      <c r="C15" s="170"/>
      <c r="D15" s="170"/>
      <c r="E15" s="170"/>
      <c r="F15" s="170"/>
      <c r="G15" s="170"/>
      <c r="H15" s="170"/>
      <c r="I15" s="170"/>
      <c r="J15" s="170"/>
    </row>
    <row r="16" spans="1:10" ht="42.6" customHeight="1" x14ac:dyDescent="0.3">
      <c r="A16" s="168" t="s">
        <v>198</v>
      </c>
      <c r="B16" s="169" t="s">
        <v>202</v>
      </c>
      <c r="C16" s="169"/>
      <c r="D16" s="169"/>
      <c r="E16" s="169"/>
      <c r="F16" s="169"/>
      <c r="G16" s="169"/>
      <c r="H16" s="169"/>
      <c r="I16" s="169"/>
      <c r="J16" s="169"/>
    </row>
    <row r="17" spans="1:11" x14ac:dyDescent="0.3">
      <c r="B17" s="170"/>
      <c r="C17" s="170"/>
      <c r="D17" s="170"/>
      <c r="E17" s="170"/>
      <c r="F17" s="170"/>
      <c r="G17" s="170"/>
      <c r="H17" s="170"/>
      <c r="I17" s="170"/>
      <c r="J17" s="170"/>
      <c r="K17" s="171"/>
    </row>
    <row r="18" spans="1:11" ht="74.400000000000006" customHeight="1" x14ac:dyDescent="0.3">
      <c r="A18" s="168" t="s">
        <v>198</v>
      </c>
      <c r="B18" s="169" t="s">
        <v>203</v>
      </c>
      <c r="C18" s="169"/>
      <c r="D18" s="169"/>
      <c r="E18" s="169"/>
      <c r="F18" s="169"/>
      <c r="G18" s="169"/>
      <c r="H18" s="169"/>
      <c r="I18" s="169"/>
      <c r="J18" s="169"/>
    </row>
    <row r="19" spans="1:11" x14ac:dyDescent="0.3">
      <c r="B19" s="172" t="s">
        <v>204</v>
      </c>
      <c r="C19" s="173"/>
      <c r="D19" s="173"/>
      <c r="E19" s="173"/>
      <c r="F19" s="173"/>
      <c r="G19" s="173"/>
      <c r="H19" s="173"/>
      <c r="I19" s="173"/>
      <c r="J19" s="173"/>
    </row>
    <row r="22" spans="1:11" x14ac:dyDescent="0.3">
      <c r="B22" s="174" t="s">
        <v>205</v>
      </c>
      <c r="C22" s="174"/>
      <c r="D22" s="175" t="s">
        <v>206</v>
      </c>
      <c r="E22" s="175"/>
      <c r="F22" s="175"/>
      <c r="G22" s="175"/>
      <c r="H22" s="176" t="s">
        <v>207</v>
      </c>
      <c r="I22" s="176"/>
      <c r="J22" s="176"/>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50D83ECE-FF04-4129-AD21-E9B03C723CB9}"/>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44DA-CDC1-4287-9BD2-1FAD1FEB9B6C}">
  <sheetPr>
    <tabColor theme="5" tint="0.39997558519241921"/>
  </sheetPr>
  <dimension ref="A1:S37"/>
  <sheetViews>
    <sheetView zoomScale="115" zoomScaleNormal="115" workbookViewId="0"/>
  </sheetViews>
  <sheetFormatPr defaultRowHeight="14.4" x14ac:dyDescent="0.3"/>
  <sheetData>
    <row r="1" spans="1:19" x14ac:dyDescent="0.3">
      <c r="A1" s="177" t="s">
        <v>209</v>
      </c>
    </row>
    <row r="3" spans="1:19" x14ac:dyDescent="0.3">
      <c r="A3" s="4" t="s">
        <v>1</v>
      </c>
    </row>
    <row r="4" spans="1:19" x14ac:dyDescent="0.3">
      <c r="A4" t="s">
        <v>117</v>
      </c>
    </row>
    <row r="6" spans="1:19" x14ac:dyDescent="0.3">
      <c r="B6" s="152" t="s">
        <v>97</v>
      </c>
      <c r="C6" s="156"/>
      <c r="D6" s="156"/>
      <c r="E6" s="156"/>
      <c r="F6" s="156"/>
      <c r="G6" s="156"/>
      <c r="H6" s="156"/>
      <c r="I6" s="156"/>
      <c r="J6" s="156"/>
      <c r="K6" s="156"/>
      <c r="L6" s="156"/>
      <c r="M6" s="156"/>
      <c r="N6" s="156"/>
      <c r="O6" s="156"/>
      <c r="P6" s="156"/>
      <c r="Q6" s="156"/>
      <c r="R6" s="156"/>
      <c r="S6" s="156"/>
    </row>
    <row r="7" spans="1:19" x14ac:dyDescent="0.3">
      <c r="B7" s="156"/>
      <c r="C7" s="156"/>
      <c r="D7" s="156"/>
      <c r="E7" s="156"/>
      <c r="F7" s="156"/>
      <c r="G7" s="156"/>
      <c r="H7" s="156"/>
      <c r="I7" s="156"/>
      <c r="J7" s="156"/>
      <c r="K7" s="156"/>
      <c r="L7" s="156"/>
      <c r="M7" s="156"/>
      <c r="N7" s="156"/>
      <c r="O7" s="156"/>
      <c r="P7" s="156"/>
      <c r="Q7" s="156"/>
      <c r="R7" s="156"/>
      <c r="S7" s="156"/>
    </row>
    <row r="8" spans="1:19" x14ac:dyDescent="0.3">
      <c r="B8" s="156"/>
      <c r="C8" s="156"/>
      <c r="D8" s="156"/>
      <c r="E8" s="156"/>
      <c r="F8" s="156"/>
      <c r="G8" s="156"/>
      <c r="H8" s="156"/>
      <c r="I8" s="156"/>
      <c r="J8" s="156"/>
      <c r="K8" s="156"/>
      <c r="L8" s="156"/>
      <c r="M8" s="156"/>
      <c r="N8" s="156"/>
      <c r="O8" s="156"/>
      <c r="P8" s="156"/>
      <c r="Q8" s="156"/>
      <c r="R8" s="156"/>
      <c r="S8" s="156"/>
    </row>
    <row r="9" spans="1:19" x14ac:dyDescent="0.3">
      <c r="B9" s="156"/>
      <c r="C9" s="156"/>
      <c r="D9" s="156"/>
      <c r="E9" s="156"/>
      <c r="F9" s="156"/>
      <c r="G9" s="156"/>
      <c r="H9" s="156"/>
      <c r="I9" s="156"/>
      <c r="J9" s="156"/>
      <c r="K9" s="156"/>
      <c r="L9" s="156"/>
      <c r="M9" s="156"/>
      <c r="N9" s="156"/>
      <c r="O9" s="156"/>
      <c r="P9" s="156"/>
      <c r="Q9" s="156"/>
      <c r="R9" s="156"/>
      <c r="S9" s="156"/>
    </row>
    <row r="10" spans="1:19" x14ac:dyDescent="0.3">
      <c r="B10" s="156"/>
      <c r="C10" s="156"/>
      <c r="D10" s="156"/>
      <c r="E10" s="156"/>
      <c r="F10" s="156"/>
      <c r="G10" s="156"/>
      <c r="H10" s="156"/>
      <c r="I10" s="156"/>
      <c r="J10" s="156"/>
      <c r="K10" s="156"/>
      <c r="L10" s="156"/>
      <c r="M10" s="156"/>
      <c r="N10" s="156"/>
      <c r="O10" s="156"/>
      <c r="P10" s="156"/>
      <c r="Q10" s="156"/>
      <c r="R10" s="156"/>
      <c r="S10" s="156"/>
    </row>
    <row r="11" spans="1:19" x14ac:dyDescent="0.3">
      <c r="B11" s="156"/>
      <c r="C11" s="156"/>
      <c r="D11" s="156"/>
      <c r="E11" s="156"/>
      <c r="F11" s="156"/>
      <c r="G11" s="156"/>
      <c r="H11" s="156"/>
      <c r="I11" s="156"/>
      <c r="J11" s="156"/>
      <c r="K11" s="156"/>
      <c r="L11" s="156"/>
      <c r="M11" s="156"/>
      <c r="N11" s="156"/>
      <c r="O11" s="156"/>
      <c r="P11" s="156"/>
      <c r="Q11" s="156"/>
      <c r="R11" s="156"/>
      <c r="S11" s="156"/>
    </row>
    <row r="12" spans="1:19" x14ac:dyDescent="0.3">
      <c r="B12" s="156"/>
      <c r="C12" s="156"/>
      <c r="D12" s="156"/>
      <c r="E12" s="156"/>
      <c r="F12" s="156"/>
      <c r="G12" s="156"/>
      <c r="H12" s="156"/>
      <c r="I12" s="156"/>
      <c r="J12" s="156"/>
      <c r="K12" s="156"/>
      <c r="L12" s="156"/>
      <c r="M12" s="156"/>
      <c r="N12" s="156"/>
      <c r="O12" s="156"/>
      <c r="P12" s="156"/>
      <c r="Q12" s="156"/>
      <c r="R12" s="156"/>
      <c r="S12" s="156"/>
    </row>
    <row r="13" spans="1:19" x14ac:dyDescent="0.3">
      <c r="B13" s="156"/>
      <c r="C13" s="156"/>
      <c r="D13" s="156"/>
      <c r="E13" s="156"/>
      <c r="F13" s="156"/>
      <c r="G13" s="156"/>
      <c r="H13" s="156"/>
      <c r="I13" s="156"/>
      <c r="J13" s="156"/>
      <c r="K13" s="156"/>
      <c r="L13" s="156"/>
      <c r="M13" s="156"/>
      <c r="N13" s="156"/>
      <c r="O13" s="156"/>
      <c r="P13" s="156"/>
      <c r="Q13" s="156"/>
      <c r="R13" s="156"/>
      <c r="S13" s="156"/>
    </row>
    <row r="14" spans="1:19" x14ac:dyDescent="0.3">
      <c r="B14" s="156"/>
      <c r="C14" s="156"/>
      <c r="D14" s="156"/>
      <c r="E14" s="156"/>
      <c r="F14" s="156"/>
      <c r="G14" s="156"/>
      <c r="H14" s="156"/>
      <c r="I14" s="156"/>
      <c r="J14" s="156"/>
      <c r="K14" s="156"/>
      <c r="L14" s="156"/>
      <c r="M14" s="156"/>
      <c r="N14" s="156"/>
      <c r="O14" s="156"/>
      <c r="P14" s="156"/>
      <c r="Q14" s="156"/>
      <c r="R14" s="156"/>
      <c r="S14" s="156"/>
    </row>
    <row r="15" spans="1:19" x14ac:dyDescent="0.3">
      <c r="B15" s="156"/>
      <c r="C15" s="156"/>
      <c r="D15" s="156"/>
      <c r="E15" s="156"/>
      <c r="F15" s="156"/>
      <c r="G15" s="156"/>
      <c r="H15" s="156"/>
      <c r="I15" s="156"/>
      <c r="J15" s="156"/>
      <c r="K15" s="156"/>
      <c r="L15" s="156"/>
      <c r="M15" s="156"/>
      <c r="N15" s="156"/>
      <c r="O15" s="156"/>
      <c r="P15" s="156"/>
      <c r="Q15" s="156"/>
      <c r="R15" s="156"/>
      <c r="S15" s="156"/>
    </row>
    <row r="16" spans="1:19" x14ac:dyDescent="0.3">
      <c r="B16" s="156"/>
      <c r="C16" s="156"/>
      <c r="D16" s="156"/>
      <c r="E16" s="156"/>
      <c r="F16" s="156"/>
      <c r="G16" s="156"/>
      <c r="H16" s="156"/>
      <c r="I16" s="156"/>
      <c r="J16" s="156"/>
      <c r="K16" s="156"/>
      <c r="L16" s="156"/>
      <c r="M16" s="156"/>
      <c r="N16" s="156"/>
      <c r="O16" s="156"/>
      <c r="P16" s="156"/>
      <c r="Q16" s="156"/>
      <c r="R16" s="156"/>
      <c r="S16" s="156"/>
    </row>
    <row r="17" spans="2:19" x14ac:dyDescent="0.3">
      <c r="B17" s="156"/>
      <c r="C17" s="156"/>
      <c r="D17" s="156"/>
      <c r="E17" s="156"/>
      <c r="F17" s="156"/>
      <c r="G17" s="156"/>
      <c r="H17" s="156"/>
      <c r="I17" s="156"/>
      <c r="J17" s="156"/>
      <c r="K17" s="156"/>
      <c r="L17" s="156"/>
      <c r="M17" s="156"/>
      <c r="N17" s="156"/>
      <c r="O17" s="156"/>
      <c r="P17" s="156"/>
      <c r="Q17" s="156"/>
      <c r="R17" s="156"/>
      <c r="S17" s="156"/>
    </row>
    <row r="18" spans="2:19" x14ac:dyDescent="0.3">
      <c r="B18" s="156"/>
      <c r="C18" s="156"/>
      <c r="D18" s="156"/>
      <c r="E18" s="156"/>
      <c r="F18" s="156"/>
      <c r="G18" s="156"/>
      <c r="H18" s="156"/>
      <c r="I18" s="156"/>
      <c r="J18" s="156"/>
      <c r="K18" s="156"/>
      <c r="L18" s="156"/>
      <c r="M18" s="156"/>
      <c r="N18" s="156"/>
      <c r="O18" s="156"/>
      <c r="P18" s="156"/>
      <c r="Q18" s="156"/>
      <c r="R18" s="156"/>
      <c r="S18" s="156"/>
    </row>
    <row r="19" spans="2:19" x14ac:dyDescent="0.3">
      <c r="B19" s="156"/>
      <c r="C19" s="156"/>
      <c r="D19" s="156"/>
      <c r="E19" s="156"/>
      <c r="F19" s="156"/>
      <c r="G19" s="156"/>
      <c r="H19" s="156"/>
      <c r="I19" s="156"/>
      <c r="J19" s="156"/>
      <c r="K19" s="156"/>
      <c r="L19" s="156"/>
      <c r="M19" s="156"/>
      <c r="N19" s="156"/>
      <c r="O19" s="156"/>
      <c r="P19" s="156"/>
      <c r="Q19" s="156"/>
      <c r="R19" s="156"/>
      <c r="S19" s="156"/>
    </row>
    <row r="20" spans="2:19" x14ac:dyDescent="0.3">
      <c r="B20" s="156"/>
      <c r="C20" s="156"/>
      <c r="D20" s="156"/>
      <c r="E20" s="156"/>
      <c r="F20" s="156"/>
      <c r="G20" s="156"/>
      <c r="H20" s="156"/>
      <c r="I20" s="156"/>
      <c r="J20" s="156"/>
      <c r="K20" s="156"/>
      <c r="L20" s="156"/>
      <c r="M20" s="156"/>
      <c r="N20" s="156"/>
      <c r="O20" s="156"/>
      <c r="P20" s="156"/>
      <c r="Q20" s="156"/>
      <c r="R20" s="156"/>
      <c r="S20" s="156"/>
    </row>
    <row r="21" spans="2:19" x14ac:dyDescent="0.3">
      <c r="B21" s="156"/>
      <c r="C21" s="156"/>
      <c r="D21" s="156"/>
      <c r="E21" s="156"/>
      <c r="F21" s="156"/>
      <c r="G21" s="156"/>
      <c r="H21" s="156"/>
      <c r="I21" s="156"/>
      <c r="J21" s="156"/>
      <c r="K21" s="156"/>
      <c r="L21" s="156"/>
      <c r="M21" s="156"/>
      <c r="N21" s="156"/>
      <c r="O21" s="156"/>
      <c r="P21" s="156"/>
      <c r="Q21" s="156"/>
      <c r="R21" s="156"/>
      <c r="S21" s="156"/>
    </row>
    <row r="22" spans="2:19" x14ac:dyDescent="0.3">
      <c r="B22" s="156"/>
      <c r="C22" s="156"/>
      <c r="D22" s="156"/>
      <c r="E22" s="156"/>
      <c r="F22" s="156"/>
      <c r="G22" s="156"/>
      <c r="H22" s="156"/>
      <c r="I22" s="156"/>
      <c r="J22" s="156"/>
      <c r="K22" s="156"/>
      <c r="L22" s="156"/>
      <c r="M22" s="156"/>
      <c r="N22" s="156"/>
      <c r="O22" s="156"/>
      <c r="P22" s="156"/>
      <c r="Q22" s="156"/>
      <c r="R22" s="156"/>
      <c r="S22" s="156"/>
    </row>
    <row r="23" spans="2:19" x14ac:dyDescent="0.3">
      <c r="B23" s="156"/>
      <c r="C23" s="156"/>
      <c r="D23" s="156"/>
      <c r="E23" s="156"/>
      <c r="F23" s="156"/>
      <c r="G23" s="156"/>
      <c r="H23" s="156"/>
      <c r="I23" s="156"/>
      <c r="J23" s="156"/>
      <c r="K23" s="156"/>
      <c r="L23" s="156"/>
      <c r="M23" s="156"/>
      <c r="N23" s="156"/>
      <c r="O23" s="156"/>
      <c r="P23" s="156"/>
      <c r="Q23" s="156"/>
      <c r="R23" s="156"/>
      <c r="S23" s="156"/>
    </row>
    <row r="24" spans="2:19" x14ac:dyDescent="0.3">
      <c r="B24" s="156"/>
      <c r="C24" s="156"/>
      <c r="D24" s="156"/>
      <c r="E24" s="156"/>
      <c r="F24" s="156"/>
      <c r="G24" s="156"/>
      <c r="H24" s="156"/>
      <c r="I24" s="156"/>
      <c r="J24" s="156"/>
      <c r="K24" s="156"/>
      <c r="L24" s="156"/>
      <c r="M24" s="156"/>
      <c r="N24" s="156"/>
      <c r="O24" s="156"/>
      <c r="P24" s="156"/>
      <c r="Q24" s="156"/>
      <c r="R24" s="156"/>
      <c r="S24" s="156"/>
    </row>
    <row r="25" spans="2:19" x14ac:dyDescent="0.3">
      <c r="B25" s="156"/>
      <c r="C25" s="156"/>
      <c r="D25" s="156"/>
      <c r="E25" s="156"/>
      <c r="F25" s="156"/>
      <c r="G25" s="156"/>
      <c r="H25" s="156"/>
      <c r="I25" s="156"/>
      <c r="J25" s="156"/>
      <c r="K25" s="156"/>
      <c r="L25" s="156"/>
      <c r="M25" s="156"/>
      <c r="N25" s="156"/>
      <c r="O25" s="156"/>
      <c r="P25" s="156"/>
      <c r="Q25" s="156"/>
      <c r="R25" s="156"/>
      <c r="S25" s="156"/>
    </row>
    <row r="26" spans="2:19" x14ac:dyDescent="0.3">
      <c r="B26" s="156"/>
      <c r="C26" s="156"/>
      <c r="D26" s="156"/>
      <c r="E26" s="156"/>
      <c r="F26" s="156"/>
      <c r="G26" s="156"/>
      <c r="H26" s="156"/>
      <c r="I26" s="156"/>
      <c r="J26" s="156"/>
      <c r="K26" s="156"/>
      <c r="L26" s="156"/>
      <c r="M26" s="156"/>
      <c r="N26" s="156"/>
      <c r="O26" s="156"/>
      <c r="P26" s="156"/>
      <c r="Q26" s="156"/>
      <c r="R26" s="156"/>
      <c r="S26" s="156"/>
    </row>
    <row r="27" spans="2:19" x14ac:dyDescent="0.3">
      <c r="B27" s="156"/>
      <c r="C27" s="156"/>
      <c r="D27" s="156"/>
      <c r="E27" s="156"/>
      <c r="F27" s="156"/>
      <c r="G27" s="156"/>
      <c r="H27" s="156"/>
      <c r="I27" s="156"/>
      <c r="J27" s="156"/>
      <c r="K27" s="156"/>
      <c r="L27" s="156"/>
      <c r="M27" s="156"/>
      <c r="N27" s="156"/>
      <c r="O27" s="156"/>
      <c r="P27" s="156"/>
      <c r="Q27" s="156"/>
      <c r="R27" s="156"/>
      <c r="S27" s="156"/>
    </row>
    <row r="28" spans="2:19" x14ac:dyDescent="0.3">
      <c r="B28" s="156"/>
      <c r="C28" s="156"/>
      <c r="D28" s="156"/>
      <c r="E28" s="156"/>
      <c r="F28" s="156"/>
      <c r="G28" s="156"/>
      <c r="H28" s="156"/>
      <c r="I28" s="156"/>
      <c r="J28" s="156"/>
      <c r="K28" s="156"/>
      <c r="L28" s="156"/>
      <c r="M28" s="156"/>
      <c r="N28" s="156"/>
      <c r="O28" s="156"/>
      <c r="P28" s="156"/>
      <c r="Q28" s="156"/>
      <c r="R28" s="156"/>
      <c r="S28" s="156"/>
    </row>
    <row r="29" spans="2:19" x14ac:dyDescent="0.3">
      <c r="B29" s="156"/>
      <c r="C29" s="156"/>
      <c r="D29" s="156"/>
      <c r="E29" s="156"/>
      <c r="F29" s="156"/>
      <c r="G29" s="156"/>
      <c r="H29" s="156"/>
      <c r="I29" s="156"/>
      <c r="J29" s="156"/>
      <c r="K29" s="156"/>
      <c r="L29" s="156"/>
      <c r="M29" s="156"/>
      <c r="N29" s="156"/>
      <c r="O29" s="156"/>
      <c r="P29" s="156"/>
      <c r="Q29" s="156"/>
      <c r="R29" s="156"/>
      <c r="S29" s="156"/>
    </row>
    <row r="30" spans="2:19" x14ac:dyDescent="0.3">
      <c r="B30" s="156"/>
      <c r="C30" s="156"/>
      <c r="D30" s="156"/>
      <c r="E30" s="156"/>
      <c r="F30" s="156"/>
      <c r="G30" s="156"/>
      <c r="H30" s="156"/>
      <c r="I30" s="156"/>
      <c r="J30" s="156"/>
      <c r="K30" s="156"/>
      <c r="L30" s="156"/>
      <c r="M30" s="156"/>
      <c r="N30" s="156"/>
      <c r="O30" s="156"/>
      <c r="P30" s="156"/>
      <c r="Q30" s="156"/>
      <c r="R30" s="156"/>
      <c r="S30" s="156"/>
    </row>
    <row r="31" spans="2:19" x14ac:dyDescent="0.3">
      <c r="B31" s="156"/>
      <c r="C31" s="156"/>
      <c r="D31" s="156"/>
      <c r="E31" s="156"/>
      <c r="F31" s="156"/>
      <c r="G31" s="156"/>
      <c r="H31" s="156"/>
      <c r="I31" s="156"/>
      <c r="J31" s="156"/>
      <c r="K31" s="156"/>
      <c r="L31" s="156"/>
      <c r="M31" s="156"/>
      <c r="N31" s="156"/>
      <c r="O31" s="156"/>
      <c r="P31" s="156"/>
      <c r="Q31" s="156"/>
      <c r="R31" s="156"/>
      <c r="S31" s="156"/>
    </row>
    <row r="32" spans="2:19" x14ac:dyDescent="0.3">
      <c r="B32" s="156"/>
      <c r="C32" s="156"/>
      <c r="D32" s="156"/>
      <c r="E32" s="156"/>
      <c r="F32" s="156"/>
      <c r="G32" s="156"/>
      <c r="H32" s="156"/>
      <c r="I32" s="156"/>
      <c r="J32" s="156"/>
      <c r="K32" s="156"/>
      <c r="L32" s="156"/>
      <c r="M32" s="156"/>
      <c r="N32" s="156"/>
      <c r="O32" s="156"/>
      <c r="P32" s="156"/>
      <c r="Q32" s="156"/>
      <c r="R32" s="156"/>
      <c r="S32" s="156"/>
    </row>
    <row r="33" spans="2:19" x14ac:dyDescent="0.3">
      <c r="B33" s="156"/>
      <c r="C33" s="156"/>
      <c r="D33" s="156"/>
      <c r="E33" s="156"/>
      <c r="F33" s="156"/>
      <c r="G33" s="156"/>
      <c r="H33" s="156"/>
      <c r="I33" s="156"/>
      <c r="J33" s="156"/>
      <c r="K33" s="156"/>
      <c r="L33" s="156"/>
      <c r="M33" s="156"/>
      <c r="N33" s="156"/>
      <c r="O33" s="156"/>
      <c r="P33" s="156"/>
      <c r="Q33" s="156"/>
      <c r="R33" s="156"/>
      <c r="S33" s="156"/>
    </row>
    <row r="34" spans="2:19" x14ac:dyDescent="0.3">
      <c r="B34" s="156"/>
      <c r="C34" s="156"/>
      <c r="D34" s="156"/>
      <c r="E34" s="156"/>
      <c r="F34" s="156"/>
      <c r="G34" s="156"/>
      <c r="H34" s="156"/>
      <c r="I34" s="156"/>
      <c r="J34" s="156"/>
      <c r="K34" s="156"/>
      <c r="L34" s="156"/>
      <c r="M34" s="156"/>
      <c r="N34" s="156"/>
      <c r="O34" s="156"/>
      <c r="P34" s="156"/>
      <c r="Q34" s="156"/>
      <c r="R34" s="156"/>
      <c r="S34" s="156"/>
    </row>
    <row r="35" spans="2:19" x14ac:dyDescent="0.3">
      <c r="B35" s="156"/>
      <c r="C35" s="156"/>
      <c r="D35" s="156"/>
      <c r="E35" s="156"/>
      <c r="F35" s="156"/>
      <c r="G35" s="156"/>
      <c r="H35" s="156"/>
      <c r="I35" s="156"/>
      <c r="J35" s="156"/>
      <c r="K35" s="156"/>
      <c r="L35" s="156"/>
      <c r="M35" s="156"/>
      <c r="N35" s="156"/>
      <c r="O35" s="156"/>
      <c r="P35" s="156"/>
      <c r="Q35" s="156"/>
      <c r="R35" s="156"/>
      <c r="S35" s="156"/>
    </row>
    <row r="36" spans="2:19" x14ac:dyDescent="0.3">
      <c r="B36" s="156"/>
      <c r="C36" s="156"/>
      <c r="D36" s="156"/>
      <c r="E36" s="156"/>
      <c r="F36" s="156"/>
      <c r="G36" s="156"/>
      <c r="H36" s="156"/>
      <c r="I36" s="156"/>
      <c r="J36" s="156"/>
      <c r="K36" s="156"/>
      <c r="L36" s="156"/>
      <c r="M36" s="156"/>
      <c r="N36" s="156"/>
      <c r="O36" s="156"/>
      <c r="P36" s="156"/>
      <c r="Q36" s="156"/>
      <c r="R36" s="156"/>
      <c r="S36" s="156"/>
    </row>
    <row r="37" spans="2:19" x14ac:dyDescent="0.3">
      <c r="B37" s="156"/>
      <c r="C37" s="156"/>
      <c r="D37" s="156"/>
      <c r="E37" s="156"/>
      <c r="F37" s="156"/>
      <c r="G37" s="156"/>
      <c r="H37" s="156"/>
      <c r="I37" s="156"/>
      <c r="J37" s="156"/>
      <c r="K37" s="156"/>
      <c r="L37" s="156"/>
      <c r="M37" s="156"/>
      <c r="N37" s="156"/>
      <c r="O37" s="156"/>
      <c r="P37" s="156"/>
      <c r="Q37" s="156"/>
      <c r="R37" s="156"/>
      <c r="S37" s="156"/>
    </row>
  </sheetData>
  <mergeCells count="1">
    <mergeCell ref="B6:S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4EFD-6CFA-44F7-8257-520ADF8CFDDA}">
  <sheetPr>
    <tabColor theme="9" tint="0.59999389629810485"/>
  </sheetPr>
  <dimension ref="A1:BF69"/>
  <sheetViews>
    <sheetView zoomScale="115" zoomScaleNormal="115" workbookViewId="0"/>
  </sheetViews>
  <sheetFormatPr defaultRowHeight="14.4" x14ac:dyDescent="0.3"/>
  <cols>
    <col min="1" max="3" width="4" customWidth="1"/>
    <col min="4" max="4" width="17.6640625" customWidth="1"/>
    <col min="16" max="16" width="14" customWidth="1"/>
    <col min="17" max="17" width="4.5546875" customWidth="1"/>
    <col min="18" max="18" width="16.88671875" bestFit="1" customWidth="1"/>
    <col min="30" max="30" width="13.44140625" customWidth="1"/>
    <col min="31" max="31" width="4.44140625" customWidth="1"/>
    <col min="32" max="32" width="16.88671875" bestFit="1" customWidth="1"/>
    <col min="44" max="44" width="13.5546875" customWidth="1"/>
    <col min="45" max="45" width="5.109375" customWidth="1"/>
    <col min="46" max="46" width="16.88671875" bestFit="1" customWidth="1"/>
    <col min="58" max="58" width="16.33203125" customWidth="1"/>
  </cols>
  <sheetData>
    <row r="1" spans="1:58" x14ac:dyDescent="0.3">
      <c r="A1" s="177" t="s">
        <v>209</v>
      </c>
    </row>
    <row r="3" spans="1:58" x14ac:dyDescent="0.3">
      <c r="A3" s="4" t="s">
        <v>1</v>
      </c>
    </row>
    <row r="4" spans="1:58" x14ac:dyDescent="0.3">
      <c r="A4" t="s">
        <v>117</v>
      </c>
    </row>
    <row r="6" spans="1:58" x14ac:dyDescent="0.3">
      <c r="D6" s="7" t="s">
        <v>98</v>
      </c>
      <c r="R6" s="7" t="s">
        <v>99</v>
      </c>
      <c r="AF6" s="7" t="s">
        <v>100</v>
      </c>
      <c r="AT6" s="7" t="s">
        <v>101</v>
      </c>
    </row>
    <row r="7" spans="1:58" ht="28.8" x14ac:dyDescent="0.3">
      <c r="D7" s="58" t="s">
        <v>102</v>
      </c>
      <c r="E7" s="22"/>
      <c r="F7" s="22"/>
      <c r="G7" s="22"/>
      <c r="H7" s="22"/>
      <c r="I7" s="22"/>
      <c r="J7" s="22"/>
      <c r="K7" s="22"/>
      <c r="L7" s="22"/>
      <c r="M7" s="22"/>
      <c r="N7" s="22"/>
      <c r="O7" s="22"/>
      <c r="P7" s="57" t="s">
        <v>28</v>
      </c>
      <c r="R7" s="58" t="s">
        <v>102</v>
      </c>
      <c r="S7" s="22"/>
      <c r="T7" s="22"/>
      <c r="U7" s="22"/>
      <c r="V7" s="22"/>
      <c r="W7" s="22"/>
      <c r="X7" s="22"/>
      <c r="Y7" s="22"/>
      <c r="Z7" s="22"/>
      <c r="AA7" s="22"/>
      <c r="AB7" s="22"/>
      <c r="AC7" s="22"/>
      <c r="AD7" s="57" t="s">
        <v>28</v>
      </c>
      <c r="AF7" s="58" t="s">
        <v>102</v>
      </c>
      <c r="AG7" s="22"/>
      <c r="AH7" s="22"/>
      <c r="AI7" s="22"/>
      <c r="AJ7" s="22"/>
      <c r="AK7" s="22"/>
      <c r="AL7" s="22"/>
      <c r="AM7" s="22"/>
      <c r="AN7" s="22"/>
      <c r="AO7" s="22"/>
      <c r="AP7" s="22"/>
      <c r="AQ7" s="22"/>
      <c r="AR7" s="57" t="s">
        <v>28</v>
      </c>
      <c r="AT7" s="58" t="s">
        <v>102</v>
      </c>
      <c r="AU7" s="22"/>
      <c r="AV7" s="22"/>
      <c r="AW7" s="22"/>
      <c r="AX7" s="22"/>
      <c r="AY7" s="22"/>
      <c r="AZ7" s="22"/>
      <c r="BA7" s="22"/>
      <c r="BB7" s="22"/>
      <c r="BC7" s="22"/>
      <c r="BD7" s="22"/>
      <c r="BE7" s="22"/>
      <c r="BF7" s="57" t="s">
        <v>28</v>
      </c>
    </row>
    <row r="8" spans="1:58" x14ac:dyDescent="0.3">
      <c r="D8" s="24" t="s">
        <v>103</v>
      </c>
      <c r="E8">
        <v>20</v>
      </c>
      <c r="F8">
        <v>20</v>
      </c>
      <c r="G8">
        <v>20</v>
      </c>
      <c r="H8">
        <v>20</v>
      </c>
      <c r="I8">
        <v>20</v>
      </c>
      <c r="J8">
        <v>20</v>
      </c>
      <c r="K8">
        <v>20</v>
      </c>
      <c r="L8">
        <v>20</v>
      </c>
      <c r="M8">
        <v>20</v>
      </c>
      <c r="N8">
        <v>20</v>
      </c>
      <c r="O8">
        <v>20</v>
      </c>
      <c r="P8" s="25"/>
      <c r="R8" s="24" t="s">
        <v>103</v>
      </c>
      <c r="S8">
        <v>20</v>
      </c>
      <c r="T8">
        <v>20</v>
      </c>
      <c r="U8">
        <v>20</v>
      </c>
      <c r="V8">
        <v>20</v>
      </c>
      <c r="W8">
        <v>20</v>
      </c>
      <c r="X8">
        <v>20</v>
      </c>
      <c r="Y8">
        <v>20</v>
      </c>
      <c r="Z8">
        <v>20</v>
      </c>
      <c r="AA8">
        <v>20</v>
      </c>
      <c r="AB8">
        <v>20</v>
      </c>
      <c r="AC8">
        <v>20</v>
      </c>
      <c r="AD8" s="25"/>
      <c r="AF8" s="24" t="s">
        <v>103</v>
      </c>
      <c r="AG8">
        <v>20</v>
      </c>
      <c r="AH8">
        <v>20</v>
      </c>
      <c r="AI8">
        <v>20</v>
      </c>
      <c r="AJ8">
        <v>20</v>
      </c>
      <c r="AK8">
        <v>20</v>
      </c>
      <c r="AL8">
        <v>20</v>
      </c>
      <c r="AM8">
        <v>20</v>
      </c>
      <c r="AN8">
        <v>20</v>
      </c>
      <c r="AO8">
        <v>20</v>
      </c>
      <c r="AP8">
        <v>20</v>
      </c>
      <c r="AQ8">
        <v>20</v>
      </c>
      <c r="AR8" s="25"/>
      <c r="AT8" s="24" t="s">
        <v>103</v>
      </c>
      <c r="AU8">
        <v>20</v>
      </c>
      <c r="AV8">
        <v>20</v>
      </c>
      <c r="AW8">
        <v>20</v>
      </c>
      <c r="AX8">
        <v>20</v>
      </c>
      <c r="AY8">
        <v>20</v>
      </c>
      <c r="AZ8">
        <v>20</v>
      </c>
      <c r="BA8">
        <v>20</v>
      </c>
      <c r="BB8">
        <v>20</v>
      </c>
      <c r="BC8">
        <v>20</v>
      </c>
      <c r="BD8">
        <v>20</v>
      </c>
      <c r="BE8">
        <v>20</v>
      </c>
      <c r="BF8" s="25"/>
    </row>
    <row r="9" spans="1:58" x14ac:dyDescent="0.3">
      <c r="D9" s="24" t="s">
        <v>104</v>
      </c>
      <c r="E9">
        <v>2</v>
      </c>
      <c r="F9">
        <v>2</v>
      </c>
      <c r="G9">
        <v>2</v>
      </c>
      <c r="H9">
        <v>2</v>
      </c>
      <c r="I9">
        <v>2</v>
      </c>
      <c r="J9">
        <v>2</v>
      </c>
      <c r="K9">
        <v>2</v>
      </c>
      <c r="L9">
        <v>2</v>
      </c>
      <c r="M9">
        <v>2</v>
      </c>
      <c r="N9">
        <v>2</v>
      </c>
      <c r="O9">
        <v>2</v>
      </c>
      <c r="P9" s="25"/>
      <c r="R9" s="24" t="s">
        <v>104</v>
      </c>
      <c r="S9">
        <v>2</v>
      </c>
      <c r="T9">
        <v>2</v>
      </c>
      <c r="U9">
        <v>2</v>
      </c>
      <c r="V9">
        <v>2</v>
      </c>
      <c r="W9">
        <v>2</v>
      </c>
      <c r="X9">
        <v>2</v>
      </c>
      <c r="Y9">
        <v>2</v>
      </c>
      <c r="Z9">
        <v>2</v>
      </c>
      <c r="AA9">
        <v>2</v>
      </c>
      <c r="AB9">
        <v>2</v>
      </c>
      <c r="AC9">
        <v>2</v>
      </c>
      <c r="AD9" s="25"/>
      <c r="AF9" s="24" t="s">
        <v>104</v>
      </c>
      <c r="AG9">
        <v>2</v>
      </c>
      <c r="AH9">
        <v>2</v>
      </c>
      <c r="AI9">
        <v>2</v>
      </c>
      <c r="AJ9">
        <v>2</v>
      </c>
      <c r="AK9">
        <v>2</v>
      </c>
      <c r="AL9">
        <v>2</v>
      </c>
      <c r="AM9">
        <v>2</v>
      </c>
      <c r="AN9">
        <v>2</v>
      </c>
      <c r="AO9">
        <v>2</v>
      </c>
      <c r="AP9">
        <v>2</v>
      </c>
      <c r="AQ9">
        <v>2</v>
      </c>
      <c r="AR9" s="25"/>
      <c r="AT9" s="24" t="s">
        <v>104</v>
      </c>
      <c r="AU9">
        <v>2</v>
      </c>
      <c r="AV9">
        <v>2</v>
      </c>
      <c r="AW9">
        <v>2</v>
      </c>
      <c r="AX9">
        <v>2</v>
      </c>
      <c r="AY9">
        <v>2</v>
      </c>
      <c r="AZ9">
        <v>2</v>
      </c>
      <c r="BA9">
        <v>2</v>
      </c>
      <c r="BB9">
        <v>2</v>
      </c>
      <c r="BC9">
        <v>2</v>
      </c>
      <c r="BD9">
        <v>2</v>
      </c>
      <c r="BE9">
        <v>2</v>
      </c>
      <c r="BF9" s="25"/>
    </row>
    <row r="10" spans="1:58" x14ac:dyDescent="0.3">
      <c r="D10" s="24" t="s">
        <v>32</v>
      </c>
      <c r="E10">
        <v>20</v>
      </c>
      <c r="F10">
        <v>20</v>
      </c>
      <c r="G10">
        <v>20</v>
      </c>
      <c r="H10">
        <v>20</v>
      </c>
      <c r="I10">
        <v>20</v>
      </c>
      <c r="J10">
        <v>20</v>
      </c>
      <c r="K10">
        <v>20</v>
      </c>
      <c r="L10">
        <v>20</v>
      </c>
      <c r="M10">
        <v>20</v>
      </c>
      <c r="N10">
        <v>20</v>
      </c>
      <c r="O10">
        <v>20</v>
      </c>
      <c r="P10" s="105">
        <f>SUM(E10:O10)</f>
        <v>220</v>
      </c>
      <c r="R10" s="24" t="s">
        <v>32</v>
      </c>
      <c r="S10">
        <v>20</v>
      </c>
      <c r="T10">
        <v>20</v>
      </c>
      <c r="U10">
        <v>20</v>
      </c>
      <c r="V10">
        <v>20</v>
      </c>
      <c r="W10">
        <v>20</v>
      </c>
      <c r="X10">
        <v>20</v>
      </c>
      <c r="Y10">
        <v>20</v>
      </c>
      <c r="Z10">
        <v>20</v>
      </c>
      <c r="AA10">
        <v>20</v>
      </c>
      <c r="AB10">
        <v>20</v>
      </c>
      <c r="AC10">
        <v>20</v>
      </c>
      <c r="AD10" s="105">
        <f>SUM(S10:AC10)</f>
        <v>220</v>
      </c>
      <c r="AF10" s="24" t="s">
        <v>32</v>
      </c>
      <c r="AG10">
        <v>20</v>
      </c>
      <c r="AH10">
        <v>20</v>
      </c>
      <c r="AI10">
        <v>20</v>
      </c>
      <c r="AJ10">
        <v>20</v>
      </c>
      <c r="AK10">
        <v>20</v>
      </c>
      <c r="AL10">
        <v>20</v>
      </c>
      <c r="AM10">
        <v>20</v>
      </c>
      <c r="AN10">
        <v>20</v>
      </c>
      <c r="AO10">
        <v>20</v>
      </c>
      <c r="AP10">
        <v>20</v>
      </c>
      <c r="AQ10">
        <v>20</v>
      </c>
      <c r="AR10" s="105">
        <f>SUM(AG10:AQ10)</f>
        <v>220</v>
      </c>
      <c r="AT10" s="24" t="s">
        <v>32</v>
      </c>
      <c r="AU10">
        <v>20</v>
      </c>
      <c r="AV10">
        <v>20</v>
      </c>
      <c r="AW10">
        <v>20</v>
      </c>
      <c r="AX10">
        <v>20</v>
      </c>
      <c r="AY10">
        <v>20</v>
      </c>
      <c r="AZ10">
        <v>20</v>
      </c>
      <c r="BA10">
        <v>20</v>
      </c>
      <c r="BB10">
        <v>20</v>
      </c>
      <c r="BC10">
        <v>20</v>
      </c>
      <c r="BD10">
        <v>20</v>
      </c>
      <c r="BE10">
        <v>20</v>
      </c>
      <c r="BF10" s="105">
        <f>SUM(AU10:BE10)</f>
        <v>220</v>
      </c>
    </row>
    <row r="11" spans="1:58" x14ac:dyDescent="0.3">
      <c r="D11" s="24"/>
      <c r="P11" s="25"/>
      <c r="R11" s="24"/>
      <c r="AD11" s="25"/>
      <c r="AF11" s="24"/>
      <c r="AR11" s="25"/>
      <c r="AT11" s="24"/>
      <c r="BF11" s="25"/>
    </row>
    <row r="12" spans="1:58" x14ac:dyDescent="0.3">
      <c r="D12" s="24" t="s">
        <v>105</v>
      </c>
      <c r="P12" s="25"/>
      <c r="R12" s="24" t="s">
        <v>105</v>
      </c>
      <c r="AD12" s="25"/>
      <c r="AF12" s="24" t="s">
        <v>105</v>
      </c>
      <c r="AR12" s="25"/>
      <c r="AT12" s="24" t="s">
        <v>105</v>
      </c>
      <c r="BF12" s="25"/>
    </row>
    <row r="13" spans="1:58" x14ac:dyDescent="0.3">
      <c r="D13" s="24" t="s">
        <v>103</v>
      </c>
      <c r="E13">
        <v>2</v>
      </c>
      <c r="F13">
        <v>2</v>
      </c>
      <c r="G13">
        <v>2</v>
      </c>
      <c r="H13">
        <v>2</v>
      </c>
      <c r="I13">
        <v>2</v>
      </c>
      <c r="J13">
        <v>2</v>
      </c>
      <c r="K13">
        <v>2</v>
      </c>
      <c r="L13">
        <v>2</v>
      </c>
      <c r="M13">
        <v>2</v>
      </c>
      <c r="N13">
        <v>2</v>
      </c>
      <c r="O13">
        <v>2</v>
      </c>
      <c r="P13" s="25"/>
      <c r="R13" s="24" t="s">
        <v>103</v>
      </c>
      <c r="S13">
        <v>2</v>
      </c>
      <c r="T13">
        <v>2</v>
      </c>
      <c r="U13">
        <v>2</v>
      </c>
      <c r="V13">
        <v>2</v>
      </c>
      <c r="W13">
        <v>2</v>
      </c>
      <c r="X13">
        <v>2</v>
      </c>
      <c r="Y13">
        <v>2</v>
      </c>
      <c r="Z13">
        <v>2</v>
      </c>
      <c r="AA13">
        <v>2</v>
      </c>
      <c r="AB13">
        <v>2</v>
      </c>
      <c r="AC13">
        <v>2</v>
      </c>
      <c r="AD13" s="25"/>
      <c r="AF13" s="24" t="s">
        <v>103</v>
      </c>
      <c r="AG13">
        <v>2</v>
      </c>
      <c r="AH13">
        <v>2</v>
      </c>
      <c r="AI13">
        <v>2</v>
      </c>
      <c r="AJ13">
        <v>2</v>
      </c>
      <c r="AK13">
        <v>2</v>
      </c>
      <c r="AL13">
        <v>2</v>
      </c>
      <c r="AM13">
        <v>2</v>
      </c>
      <c r="AN13">
        <v>2</v>
      </c>
      <c r="AO13">
        <v>2</v>
      </c>
      <c r="AP13">
        <v>2</v>
      </c>
      <c r="AQ13">
        <v>2</v>
      </c>
      <c r="AR13" s="25"/>
      <c r="AT13" s="24" t="s">
        <v>103</v>
      </c>
      <c r="AU13">
        <v>2</v>
      </c>
      <c r="AV13">
        <v>2</v>
      </c>
      <c r="AW13">
        <v>2</v>
      </c>
      <c r="AX13">
        <v>2</v>
      </c>
      <c r="AY13">
        <v>2</v>
      </c>
      <c r="AZ13">
        <v>2</v>
      </c>
      <c r="BA13">
        <v>2</v>
      </c>
      <c r="BB13">
        <v>2</v>
      </c>
      <c r="BC13">
        <v>2</v>
      </c>
      <c r="BD13">
        <v>2</v>
      </c>
      <c r="BE13">
        <v>2</v>
      </c>
      <c r="BF13" s="25"/>
    </row>
    <row r="14" spans="1:58" x14ac:dyDescent="0.3">
      <c r="D14" s="24" t="s">
        <v>104</v>
      </c>
      <c r="E14">
        <v>20</v>
      </c>
      <c r="F14">
        <v>20</v>
      </c>
      <c r="G14">
        <v>20</v>
      </c>
      <c r="H14">
        <v>20</v>
      </c>
      <c r="I14">
        <v>20</v>
      </c>
      <c r="J14">
        <v>20</v>
      </c>
      <c r="K14">
        <v>20</v>
      </c>
      <c r="L14">
        <v>20</v>
      </c>
      <c r="M14">
        <v>20</v>
      </c>
      <c r="N14">
        <v>20</v>
      </c>
      <c r="O14">
        <v>20</v>
      </c>
      <c r="P14" s="25"/>
      <c r="R14" s="24" t="s">
        <v>104</v>
      </c>
      <c r="S14">
        <v>20</v>
      </c>
      <c r="T14">
        <v>20</v>
      </c>
      <c r="U14">
        <v>20</v>
      </c>
      <c r="V14">
        <v>20</v>
      </c>
      <c r="W14">
        <v>20</v>
      </c>
      <c r="X14">
        <v>20</v>
      </c>
      <c r="Y14">
        <v>20</v>
      </c>
      <c r="Z14">
        <v>20</v>
      </c>
      <c r="AA14">
        <v>20</v>
      </c>
      <c r="AB14">
        <v>20</v>
      </c>
      <c r="AC14">
        <v>20</v>
      </c>
      <c r="AD14" s="25"/>
      <c r="AF14" s="24" t="s">
        <v>104</v>
      </c>
      <c r="AG14">
        <v>20</v>
      </c>
      <c r="AH14">
        <v>20</v>
      </c>
      <c r="AI14">
        <v>20</v>
      </c>
      <c r="AJ14">
        <v>20</v>
      </c>
      <c r="AK14">
        <v>20</v>
      </c>
      <c r="AL14">
        <v>20</v>
      </c>
      <c r="AM14">
        <v>20</v>
      </c>
      <c r="AN14">
        <v>20</v>
      </c>
      <c r="AO14">
        <v>20</v>
      </c>
      <c r="AP14">
        <v>20</v>
      </c>
      <c r="AQ14">
        <v>20</v>
      </c>
      <c r="AR14" s="25"/>
      <c r="AT14" s="24" t="s">
        <v>104</v>
      </c>
      <c r="AU14">
        <v>20</v>
      </c>
      <c r="AV14">
        <v>20</v>
      </c>
      <c r="AW14">
        <v>20</v>
      </c>
      <c r="AX14">
        <v>20</v>
      </c>
      <c r="AY14">
        <v>20</v>
      </c>
      <c r="AZ14">
        <v>20</v>
      </c>
      <c r="BA14">
        <v>20</v>
      </c>
      <c r="BB14">
        <v>20</v>
      </c>
      <c r="BC14">
        <v>20</v>
      </c>
      <c r="BD14">
        <v>20</v>
      </c>
      <c r="BE14">
        <v>20</v>
      </c>
      <c r="BF14" s="25"/>
    </row>
    <row r="15" spans="1:58" x14ac:dyDescent="0.3">
      <c r="D15" s="24" t="s">
        <v>32</v>
      </c>
      <c r="E15">
        <v>2</v>
      </c>
      <c r="F15">
        <v>2</v>
      </c>
      <c r="G15">
        <v>2</v>
      </c>
      <c r="H15">
        <v>2</v>
      </c>
      <c r="I15">
        <v>2</v>
      </c>
      <c r="J15">
        <v>2</v>
      </c>
      <c r="K15">
        <v>2</v>
      </c>
      <c r="L15">
        <v>2</v>
      </c>
      <c r="M15">
        <v>2</v>
      </c>
      <c r="N15">
        <v>2</v>
      </c>
      <c r="O15">
        <v>2</v>
      </c>
      <c r="P15" s="105">
        <f>SUM(E15:O15)</f>
        <v>22</v>
      </c>
      <c r="R15" s="24" t="s">
        <v>32</v>
      </c>
      <c r="S15">
        <v>2</v>
      </c>
      <c r="T15">
        <v>2</v>
      </c>
      <c r="U15">
        <v>2</v>
      </c>
      <c r="V15">
        <v>2</v>
      </c>
      <c r="W15">
        <v>2</v>
      </c>
      <c r="X15">
        <v>2</v>
      </c>
      <c r="Y15">
        <v>2</v>
      </c>
      <c r="Z15">
        <v>2</v>
      </c>
      <c r="AA15">
        <v>2</v>
      </c>
      <c r="AB15">
        <v>2</v>
      </c>
      <c r="AC15">
        <v>2</v>
      </c>
      <c r="AD15" s="105">
        <f>SUM(S15:AC15)</f>
        <v>22</v>
      </c>
      <c r="AF15" s="24" t="s">
        <v>32</v>
      </c>
      <c r="AG15">
        <v>2</v>
      </c>
      <c r="AH15">
        <v>2</v>
      </c>
      <c r="AI15">
        <v>2</v>
      </c>
      <c r="AJ15">
        <v>2</v>
      </c>
      <c r="AK15">
        <v>2</v>
      </c>
      <c r="AL15">
        <v>2</v>
      </c>
      <c r="AM15">
        <v>2</v>
      </c>
      <c r="AN15">
        <v>2</v>
      </c>
      <c r="AO15">
        <v>2</v>
      </c>
      <c r="AP15">
        <v>2</v>
      </c>
      <c r="AQ15">
        <v>2</v>
      </c>
      <c r="AR15" s="105">
        <f>SUM(AG15:AQ15)</f>
        <v>22</v>
      </c>
      <c r="AT15" s="24" t="s">
        <v>32</v>
      </c>
      <c r="AU15">
        <v>2</v>
      </c>
      <c r="AV15">
        <v>2</v>
      </c>
      <c r="AW15">
        <v>2</v>
      </c>
      <c r="AX15">
        <v>2</v>
      </c>
      <c r="AY15">
        <v>2</v>
      </c>
      <c r="AZ15">
        <v>2</v>
      </c>
      <c r="BA15">
        <v>2</v>
      </c>
      <c r="BB15">
        <v>2</v>
      </c>
      <c r="BC15">
        <v>2</v>
      </c>
      <c r="BD15">
        <v>2</v>
      </c>
      <c r="BE15">
        <v>2</v>
      </c>
      <c r="BF15" s="105">
        <f>SUM(AU15:BE15)</f>
        <v>22</v>
      </c>
    </row>
    <row r="16" spans="1:58" x14ac:dyDescent="0.3">
      <c r="D16" s="24"/>
      <c r="P16" s="25"/>
      <c r="R16" s="24"/>
      <c r="AD16" s="25"/>
      <c r="AF16" s="24"/>
      <c r="AR16" s="25"/>
      <c r="AT16" s="24"/>
      <c r="BF16" s="25"/>
    </row>
    <row r="17" spans="4:58" x14ac:dyDescent="0.3">
      <c r="D17" s="24"/>
      <c r="P17" s="25"/>
      <c r="R17" s="24"/>
      <c r="AD17" s="25"/>
      <c r="AF17" s="24"/>
      <c r="AR17" s="25"/>
      <c r="AT17" s="24"/>
      <c r="BF17" s="25"/>
    </row>
    <row r="18" spans="4:58" x14ac:dyDescent="0.3">
      <c r="D18" s="24" t="s">
        <v>106</v>
      </c>
      <c r="E18">
        <v>0</v>
      </c>
      <c r="F18">
        <v>1</v>
      </c>
      <c r="G18">
        <v>2</v>
      </c>
      <c r="H18">
        <v>3</v>
      </c>
      <c r="I18">
        <v>4</v>
      </c>
      <c r="J18">
        <v>5</v>
      </c>
      <c r="K18">
        <v>6</v>
      </c>
      <c r="L18">
        <v>7</v>
      </c>
      <c r="M18">
        <v>8</v>
      </c>
      <c r="N18">
        <v>9</v>
      </c>
      <c r="O18">
        <v>10</v>
      </c>
      <c r="P18" s="25">
        <v>11</v>
      </c>
      <c r="R18" s="24" t="s">
        <v>106</v>
      </c>
      <c r="S18">
        <v>0</v>
      </c>
      <c r="T18">
        <v>1</v>
      </c>
      <c r="U18">
        <v>2</v>
      </c>
      <c r="V18">
        <v>3</v>
      </c>
      <c r="W18">
        <v>4</v>
      </c>
      <c r="X18">
        <v>5</v>
      </c>
      <c r="Y18">
        <v>6</v>
      </c>
      <c r="Z18">
        <v>7</v>
      </c>
      <c r="AA18">
        <v>8</v>
      </c>
      <c r="AB18">
        <v>9</v>
      </c>
      <c r="AC18">
        <v>10</v>
      </c>
      <c r="AD18" s="25">
        <v>11</v>
      </c>
      <c r="AF18" s="24" t="s">
        <v>106</v>
      </c>
      <c r="AG18">
        <v>0</v>
      </c>
      <c r="AH18">
        <v>1</v>
      </c>
      <c r="AI18">
        <v>2</v>
      </c>
      <c r="AJ18">
        <v>3</v>
      </c>
      <c r="AK18">
        <v>4</v>
      </c>
      <c r="AL18">
        <v>5</v>
      </c>
      <c r="AM18">
        <v>6</v>
      </c>
      <c r="AN18">
        <v>7</v>
      </c>
      <c r="AO18">
        <v>8</v>
      </c>
      <c r="AP18">
        <v>9</v>
      </c>
      <c r="AQ18">
        <v>10</v>
      </c>
      <c r="AR18" s="25">
        <v>11</v>
      </c>
      <c r="AT18" s="24" t="s">
        <v>106</v>
      </c>
      <c r="AU18">
        <v>0</v>
      </c>
      <c r="AV18">
        <v>1</v>
      </c>
      <c r="AW18">
        <v>2</v>
      </c>
      <c r="AX18">
        <v>3</v>
      </c>
      <c r="AY18">
        <v>4</v>
      </c>
      <c r="AZ18">
        <v>5</v>
      </c>
      <c r="BA18">
        <v>6</v>
      </c>
      <c r="BB18">
        <v>7</v>
      </c>
      <c r="BC18">
        <v>8</v>
      </c>
      <c r="BD18">
        <v>9</v>
      </c>
      <c r="BE18">
        <v>10</v>
      </c>
      <c r="BF18" s="25">
        <v>11</v>
      </c>
    </row>
    <row r="19" spans="4:58" x14ac:dyDescent="0.3">
      <c r="D19" s="24"/>
      <c r="P19" s="25"/>
      <c r="R19" s="24"/>
      <c r="AD19" s="25"/>
      <c r="AF19" s="24"/>
      <c r="AR19" s="25"/>
      <c r="AT19" s="24"/>
      <c r="BF19" s="25"/>
    </row>
    <row r="20" spans="4:58" x14ac:dyDescent="0.3">
      <c r="D20" s="24" t="s">
        <v>107</v>
      </c>
      <c r="E20" s="33">
        <v>0.08</v>
      </c>
      <c r="F20" s="33">
        <v>0.02</v>
      </c>
      <c r="G20" s="33">
        <v>0.08</v>
      </c>
      <c r="H20" s="33">
        <v>0.02</v>
      </c>
      <c r="I20" s="33">
        <v>0.08</v>
      </c>
      <c r="J20" s="33">
        <v>0.02</v>
      </c>
      <c r="K20" s="33">
        <v>0.08</v>
      </c>
      <c r="L20" s="33">
        <v>0.02</v>
      </c>
      <c r="M20" s="33">
        <v>0.08</v>
      </c>
      <c r="N20" s="33">
        <v>0.02</v>
      </c>
      <c r="O20" s="33">
        <v>0.08</v>
      </c>
      <c r="P20" s="34"/>
      <c r="R20" s="24" t="s">
        <v>107</v>
      </c>
      <c r="S20" s="33">
        <v>-0.15</v>
      </c>
      <c r="T20" s="33">
        <v>0.02</v>
      </c>
      <c r="U20" s="33">
        <v>0.08</v>
      </c>
      <c r="V20" s="33">
        <v>0.02</v>
      </c>
      <c r="W20" s="33">
        <v>0.08</v>
      </c>
      <c r="X20" s="33">
        <v>0.02</v>
      </c>
      <c r="Y20" s="33">
        <v>0.08</v>
      </c>
      <c r="Z20" s="33">
        <v>0.02</v>
      </c>
      <c r="AA20" s="33">
        <v>0.08</v>
      </c>
      <c r="AB20" s="33">
        <v>0.02</v>
      </c>
      <c r="AC20" s="33">
        <v>0.08</v>
      </c>
      <c r="AD20" s="34"/>
      <c r="AF20" s="24" t="s">
        <v>107</v>
      </c>
      <c r="AG20" s="33">
        <v>0.08</v>
      </c>
      <c r="AH20" s="33">
        <v>0.02</v>
      </c>
      <c r="AI20" s="33">
        <v>-0.15</v>
      </c>
      <c r="AJ20" s="33">
        <v>0.02</v>
      </c>
      <c r="AK20" s="33">
        <v>0.08</v>
      </c>
      <c r="AL20" s="33">
        <v>0.02</v>
      </c>
      <c r="AM20" s="33">
        <v>0.08</v>
      </c>
      <c r="AN20" s="33">
        <v>0.02</v>
      </c>
      <c r="AO20" s="33">
        <v>0.08</v>
      </c>
      <c r="AP20" s="33">
        <v>0.02</v>
      </c>
      <c r="AQ20" s="33">
        <v>0.08</v>
      </c>
      <c r="AR20" s="34"/>
      <c r="AT20" s="24" t="s">
        <v>107</v>
      </c>
      <c r="AU20" s="33">
        <v>0.08</v>
      </c>
      <c r="AV20" s="33">
        <v>0.02</v>
      </c>
      <c r="AW20" s="33">
        <v>0.08</v>
      </c>
      <c r="AX20" s="33">
        <v>-0.15</v>
      </c>
      <c r="AY20" s="33">
        <v>0.08</v>
      </c>
      <c r="AZ20" s="33">
        <v>0.02</v>
      </c>
      <c r="BA20" s="33">
        <v>0.08</v>
      </c>
      <c r="BB20" s="33">
        <v>0.02</v>
      </c>
      <c r="BC20" s="33">
        <v>0.08</v>
      </c>
      <c r="BD20" s="33">
        <v>0.02</v>
      </c>
      <c r="BE20" s="33">
        <v>0.08</v>
      </c>
      <c r="BF20" s="34"/>
    </row>
    <row r="21" spans="4:58" x14ac:dyDescent="0.3">
      <c r="D21" s="24" t="s">
        <v>108</v>
      </c>
      <c r="E21" s="33">
        <v>0.05</v>
      </c>
      <c r="F21" s="33">
        <v>0.05</v>
      </c>
      <c r="G21" s="33">
        <v>0.05</v>
      </c>
      <c r="H21" s="33">
        <v>0.05</v>
      </c>
      <c r="I21" s="33">
        <v>0.05</v>
      </c>
      <c r="J21" s="33">
        <v>0.05</v>
      </c>
      <c r="K21" s="33">
        <v>0.05</v>
      </c>
      <c r="L21" s="33">
        <v>0.05</v>
      </c>
      <c r="M21" s="33">
        <v>0.05</v>
      </c>
      <c r="N21" s="33">
        <v>0.05</v>
      </c>
      <c r="O21" s="33">
        <v>0.05</v>
      </c>
      <c r="P21" s="34"/>
      <c r="R21" s="24" t="s">
        <v>108</v>
      </c>
      <c r="S21" s="33">
        <v>0.05</v>
      </c>
      <c r="T21" s="33">
        <v>0.05</v>
      </c>
      <c r="U21" s="33">
        <v>0.05</v>
      </c>
      <c r="V21" s="33">
        <v>0.05</v>
      </c>
      <c r="W21" s="33">
        <v>0.05</v>
      </c>
      <c r="X21" s="33">
        <v>0.05</v>
      </c>
      <c r="Y21" s="33">
        <v>0.05</v>
      </c>
      <c r="Z21" s="33">
        <v>0.05</v>
      </c>
      <c r="AA21" s="33">
        <v>0.05</v>
      </c>
      <c r="AB21" s="33">
        <v>0.05</v>
      </c>
      <c r="AC21" s="33">
        <v>0.05</v>
      </c>
      <c r="AD21" s="34"/>
      <c r="AF21" s="24" t="s">
        <v>108</v>
      </c>
      <c r="AG21" s="33">
        <v>0.05</v>
      </c>
      <c r="AH21" s="33">
        <v>0.05</v>
      </c>
      <c r="AI21" s="33">
        <v>0.05</v>
      </c>
      <c r="AJ21" s="33">
        <v>0.05</v>
      </c>
      <c r="AK21" s="33">
        <v>0.05</v>
      </c>
      <c r="AL21" s="33">
        <v>0.05</v>
      </c>
      <c r="AM21" s="33">
        <v>0.05</v>
      </c>
      <c r="AN21" s="33">
        <v>0.05</v>
      </c>
      <c r="AO21" s="33">
        <v>0.05</v>
      </c>
      <c r="AP21" s="33">
        <v>0.05</v>
      </c>
      <c r="AQ21" s="33">
        <v>0.05</v>
      </c>
      <c r="AR21" s="34"/>
      <c r="AT21" s="24" t="s">
        <v>108</v>
      </c>
      <c r="AU21" s="33">
        <v>0.05</v>
      </c>
      <c r="AV21" s="33">
        <v>0.05</v>
      </c>
      <c r="AW21" s="33">
        <v>0.05</v>
      </c>
      <c r="AX21" s="33">
        <v>0.05</v>
      </c>
      <c r="AY21" s="33">
        <v>0.05</v>
      </c>
      <c r="AZ21" s="33">
        <v>0.05</v>
      </c>
      <c r="BA21" s="33">
        <v>0.05</v>
      </c>
      <c r="BB21" s="33">
        <v>0.05</v>
      </c>
      <c r="BC21" s="33">
        <v>0.05</v>
      </c>
      <c r="BD21" s="33">
        <v>0.05</v>
      </c>
      <c r="BE21" s="33">
        <v>0.05</v>
      </c>
      <c r="BF21" s="34"/>
    </row>
    <row r="22" spans="4:58" x14ac:dyDescent="0.3">
      <c r="D22" s="24"/>
      <c r="P22" s="25"/>
      <c r="R22" s="24"/>
      <c r="AD22" s="25"/>
      <c r="AF22" s="24"/>
      <c r="AR22" s="25"/>
      <c r="AT22" s="24"/>
      <c r="BF22" s="25"/>
    </row>
    <row r="23" spans="4:58" x14ac:dyDescent="0.3">
      <c r="D23" s="24"/>
      <c r="P23" s="25"/>
      <c r="R23" s="24"/>
      <c r="AD23" s="25"/>
      <c r="AF23" s="24"/>
      <c r="AR23" s="25"/>
      <c r="AT23" s="24"/>
      <c r="BF23" s="25"/>
    </row>
    <row r="24" spans="4:58" x14ac:dyDescent="0.3">
      <c r="D24" s="24" t="s">
        <v>102</v>
      </c>
      <c r="P24" s="25"/>
      <c r="R24" s="24" t="s">
        <v>102</v>
      </c>
      <c r="AD24" s="25"/>
      <c r="AF24" s="24" t="s">
        <v>102</v>
      </c>
      <c r="AR24" s="25"/>
      <c r="AT24" s="24" t="s">
        <v>102</v>
      </c>
      <c r="BF24" s="25"/>
    </row>
    <row r="25" spans="4:58" x14ac:dyDescent="0.3">
      <c r="D25" s="24" t="s">
        <v>109</v>
      </c>
      <c r="E25">
        <v>200</v>
      </c>
      <c r="F25">
        <f>(E25+E10-E$9)*(1+E20)</f>
        <v>235.44000000000003</v>
      </c>
      <c r="G25">
        <f t="shared" ref="G25:P25" si="0">(F25+F10-F$9)*(1+F20)</f>
        <v>258.50880000000001</v>
      </c>
      <c r="H25">
        <f t="shared" si="0"/>
        <v>298.62950400000005</v>
      </c>
      <c r="I25">
        <f t="shared" si="0"/>
        <v>322.96209408000004</v>
      </c>
      <c r="J25">
        <f t="shared" si="0"/>
        <v>368.23906160640007</v>
      </c>
      <c r="K25">
        <f t="shared" si="0"/>
        <v>393.96384283852808</v>
      </c>
      <c r="L25">
        <f t="shared" si="0"/>
        <v>444.92095026561037</v>
      </c>
      <c r="M25">
        <f t="shared" si="0"/>
        <v>472.17936927092256</v>
      </c>
      <c r="N25">
        <f t="shared" si="0"/>
        <v>529.39371881259638</v>
      </c>
      <c r="O25">
        <f t="shared" si="0"/>
        <v>558.34159318884826</v>
      </c>
      <c r="P25" s="25">
        <f t="shared" si="0"/>
        <v>622.44892064395617</v>
      </c>
      <c r="R25" s="24" t="s">
        <v>109</v>
      </c>
      <c r="S25">
        <v>200</v>
      </c>
      <c r="T25">
        <f>(S25+S10-S$9)*(1+S20)</f>
        <v>185.29999999999998</v>
      </c>
      <c r="U25">
        <f t="shared" ref="U25:AD25" si="1">(T25+T10-T$9)*(1+T20)</f>
        <v>207.36599999999999</v>
      </c>
      <c r="V25">
        <f t="shared" si="1"/>
        <v>243.39528000000001</v>
      </c>
      <c r="W25">
        <f t="shared" si="1"/>
        <v>266.6231856</v>
      </c>
      <c r="X25">
        <f t="shared" si="1"/>
        <v>307.39304044800002</v>
      </c>
      <c r="Y25">
        <f t="shared" si="1"/>
        <v>331.90090125696003</v>
      </c>
      <c r="Z25">
        <f t="shared" si="1"/>
        <v>377.89297335751684</v>
      </c>
      <c r="AA25">
        <f t="shared" si="1"/>
        <v>403.81083282466716</v>
      </c>
      <c r="AB25">
        <f t="shared" si="1"/>
        <v>455.55569945064059</v>
      </c>
      <c r="AC25">
        <f t="shared" si="1"/>
        <v>483.02681343965338</v>
      </c>
      <c r="AD25" s="25">
        <f t="shared" si="1"/>
        <v>541.10895851482564</v>
      </c>
      <c r="AF25" s="24" t="s">
        <v>109</v>
      </c>
      <c r="AG25">
        <v>200</v>
      </c>
      <c r="AH25">
        <f>(AG25+AG10-AG$9)*(1+AG20)</f>
        <v>235.44000000000003</v>
      </c>
      <c r="AI25">
        <f t="shared" ref="AI25:AR25" si="2">(AH25+AH10-AH$9)*(1+AH20)</f>
        <v>258.50880000000001</v>
      </c>
      <c r="AJ25">
        <f t="shared" si="2"/>
        <v>235.03247999999999</v>
      </c>
      <c r="AK25">
        <f t="shared" si="2"/>
        <v>258.0931296</v>
      </c>
      <c r="AL25">
        <f t="shared" si="2"/>
        <v>298.18057996800002</v>
      </c>
      <c r="AM25">
        <f t="shared" si="2"/>
        <v>322.50419156736001</v>
      </c>
      <c r="AN25">
        <f t="shared" si="2"/>
        <v>367.74452689274881</v>
      </c>
      <c r="AO25">
        <f t="shared" si="2"/>
        <v>393.45941743060376</v>
      </c>
      <c r="AP25">
        <f t="shared" si="2"/>
        <v>444.3761708250521</v>
      </c>
      <c r="AQ25">
        <f t="shared" si="2"/>
        <v>471.62369424155315</v>
      </c>
      <c r="AR25" s="25">
        <f t="shared" si="2"/>
        <v>528.79358978087748</v>
      </c>
      <c r="AT25" s="24" t="s">
        <v>109</v>
      </c>
      <c r="AU25">
        <v>200</v>
      </c>
      <c r="AV25">
        <f>(AU25+AU10-AU$9)*(1+AU20)</f>
        <v>235.44000000000003</v>
      </c>
      <c r="AW25">
        <f t="shared" ref="AW25:BF25" si="3">(AV25+AV10-AV$9)*(1+AV20)</f>
        <v>258.50880000000001</v>
      </c>
      <c r="AX25">
        <f t="shared" si="3"/>
        <v>298.62950400000005</v>
      </c>
      <c r="AY25">
        <f t="shared" si="3"/>
        <v>269.13507840000005</v>
      </c>
      <c r="AZ25">
        <f t="shared" si="3"/>
        <v>310.10588467200006</v>
      </c>
      <c r="BA25">
        <f t="shared" si="3"/>
        <v>334.66800236544009</v>
      </c>
      <c r="BB25">
        <f t="shared" si="3"/>
        <v>380.88144255467535</v>
      </c>
      <c r="BC25">
        <f t="shared" si="3"/>
        <v>406.85907140576887</v>
      </c>
      <c r="BD25">
        <f t="shared" si="3"/>
        <v>458.8477971182304</v>
      </c>
      <c r="BE25">
        <f t="shared" si="3"/>
        <v>486.38475306059502</v>
      </c>
      <c r="BF25" s="25">
        <f t="shared" si="3"/>
        <v>544.73553330544269</v>
      </c>
    </row>
    <row r="26" spans="4:58" x14ac:dyDescent="0.3">
      <c r="D26" s="24" t="s">
        <v>110</v>
      </c>
      <c r="E26">
        <v>200</v>
      </c>
      <c r="F26">
        <f>(E26+E8-E9)*(1+E21)</f>
        <v>228.9</v>
      </c>
      <c r="G26">
        <f t="shared" ref="G26:P26" si="4">(F26+F8-F9)*(1+F21)</f>
        <v>259.245</v>
      </c>
      <c r="H26">
        <f t="shared" si="4"/>
        <v>291.10725000000002</v>
      </c>
      <c r="I26">
        <f t="shared" si="4"/>
        <v>324.56261250000006</v>
      </c>
      <c r="J26">
        <f t="shared" si="4"/>
        <v>359.6907431250001</v>
      </c>
      <c r="K26">
        <f t="shared" si="4"/>
        <v>396.57528028125012</v>
      </c>
      <c r="L26">
        <f t="shared" si="4"/>
        <v>435.30404429531262</v>
      </c>
      <c r="M26">
        <f t="shared" si="4"/>
        <v>475.96924651007828</v>
      </c>
      <c r="N26">
        <f t="shared" si="4"/>
        <v>518.66770883558218</v>
      </c>
      <c r="O26">
        <f t="shared" si="4"/>
        <v>563.50109427736129</v>
      </c>
      <c r="P26" s="25">
        <f t="shared" si="4"/>
        <v>610.57614899122939</v>
      </c>
      <c r="R26" s="24" t="s">
        <v>110</v>
      </c>
      <c r="S26">
        <v>200</v>
      </c>
      <c r="T26">
        <f>(S26+S8-S9)*(1+S21)</f>
        <v>228.9</v>
      </c>
      <c r="U26">
        <f t="shared" ref="U26:AD26" si="5">(T26+T8-T9)*(1+T21)</f>
        <v>259.245</v>
      </c>
      <c r="V26">
        <f t="shared" si="5"/>
        <v>291.10725000000002</v>
      </c>
      <c r="W26">
        <f t="shared" si="5"/>
        <v>324.56261250000006</v>
      </c>
      <c r="X26">
        <f t="shared" si="5"/>
        <v>359.6907431250001</v>
      </c>
      <c r="Y26">
        <f t="shared" si="5"/>
        <v>396.57528028125012</v>
      </c>
      <c r="Z26">
        <f t="shared" si="5"/>
        <v>435.30404429531262</v>
      </c>
      <c r="AA26">
        <f t="shared" si="5"/>
        <v>475.96924651007828</v>
      </c>
      <c r="AB26">
        <f t="shared" si="5"/>
        <v>518.66770883558218</v>
      </c>
      <c r="AC26">
        <f t="shared" si="5"/>
        <v>563.50109427736129</v>
      </c>
      <c r="AD26" s="25">
        <f t="shared" si="5"/>
        <v>610.57614899122939</v>
      </c>
      <c r="AF26" s="24" t="s">
        <v>110</v>
      </c>
      <c r="AG26">
        <v>200</v>
      </c>
      <c r="AH26">
        <f>(AG26+AG8-AG9)*(1+AG21)</f>
        <v>228.9</v>
      </c>
      <c r="AI26">
        <f t="shared" ref="AI26:AR26" si="6">(AH26+AH8-AH9)*(1+AH21)</f>
        <v>259.245</v>
      </c>
      <c r="AJ26">
        <f t="shared" si="6"/>
        <v>291.10725000000002</v>
      </c>
      <c r="AK26">
        <f t="shared" si="6"/>
        <v>324.56261250000006</v>
      </c>
      <c r="AL26">
        <f t="shared" si="6"/>
        <v>359.6907431250001</v>
      </c>
      <c r="AM26">
        <f t="shared" si="6"/>
        <v>396.57528028125012</v>
      </c>
      <c r="AN26">
        <f t="shared" si="6"/>
        <v>435.30404429531262</v>
      </c>
      <c r="AO26">
        <f t="shared" si="6"/>
        <v>475.96924651007828</v>
      </c>
      <c r="AP26">
        <f t="shared" si="6"/>
        <v>518.66770883558218</v>
      </c>
      <c r="AQ26">
        <f t="shared" si="6"/>
        <v>563.50109427736129</v>
      </c>
      <c r="AR26" s="25">
        <f t="shared" si="6"/>
        <v>610.57614899122939</v>
      </c>
      <c r="AT26" s="24" t="s">
        <v>110</v>
      </c>
      <c r="AU26">
        <v>200</v>
      </c>
      <c r="AV26">
        <f>(AU26+AU8-AU9)*(1+AU21)</f>
        <v>228.9</v>
      </c>
      <c r="AW26">
        <f t="shared" ref="AW26:BF26" si="7">(AV26+AV8-AV9)*(1+AV21)</f>
        <v>259.245</v>
      </c>
      <c r="AX26">
        <f t="shared" si="7"/>
        <v>291.10725000000002</v>
      </c>
      <c r="AY26">
        <f t="shared" si="7"/>
        <v>324.56261250000006</v>
      </c>
      <c r="AZ26">
        <f t="shared" si="7"/>
        <v>359.6907431250001</v>
      </c>
      <c r="BA26">
        <f t="shared" si="7"/>
        <v>396.57528028125012</v>
      </c>
      <c r="BB26">
        <f t="shared" si="7"/>
        <v>435.30404429531262</v>
      </c>
      <c r="BC26">
        <f t="shared" si="7"/>
        <v>475.96924651007828</v>
      </c>
      <c r="BD26">
        <f t="shared" si="7"/>
        <v>518.66770883558218</v>
      </c>
      <c r="BE26">
        <f t="shared" si="7"/>
        <v>563.50109427736129</v>
      </c>
      <c r="BF26" s="25">
        <f t="shared" si="7"/>
        <v>610.57614899122939</v>
      </c>
    </row>
    <row r="27" spans="4:58" x14ac:dyDescent="0.3">
      <c r="D27" s="24" t="s">
        <v>111</v>
      </c>
      <c r="E27" s="31">
        <f>E25/E26</f>
        <v>1</v>
      </c>
      <c r="F27" s="31">
        <f>F25/F26</f>
        <v>1.0285714285714287</v>
      </c>
      <c r="G27" s="31">
        <f>G25/G26</f>
        <v>0.99716021524040965</v>
      </c>
      <c r="H27" s="31">
        <f t="shared" ref="H27:P27" si="8">H25/H26</f>
        <v>1.0258401465439284</v>
      </c>
      <c r="I27" s="31">
        <f t="shared" si="8"/>
        <v>0.99506869134534093</v>
      </c>
      <c r="J27" s="31">
        <f t="shared" si="8"/>
        <v>1.0237657450039777</v>
      </c>
      <c r="K27" s="31">
        <f t="shared" si="8"/>
        <v>0.9934150271775134</v>
      </c>
      <c r="L27" s="31">
        <f t="shared" si="8"/>
        <v>1.0220923882888935</v>
      </c>
      <c r="M27" s="31">
        <f t="shared" si="8"/>
        <v>0.99203755858819864</v>
      </c>
      <c r="N27" s="31">
        <f t="shared" si="8"/>
        <v>1.0206799262693531</v>
      </c>
      <c r="O27" s="31">
        <f t="shared" si="8"/>
        <v>0.99084384903434908</v>
      </c>
      <c r="P27" s="106">
        <f t="shared" si="8"/>
        <v>1.0194451939734994</v>
      </c>
      <c r="R27" s="24" t="s">
        <v>111</v>
      </c>
      <c r="S27" s="31">
        <f t="shared" ref="S27:AD27" si="9">S25/S26</f>
        <v>1</v>
      </c>
      <c r="T27" s="31">
        <f t="shared" si="9"/>
        <v>0.80952380952380942</v>
      </c>
      <c r="U27" s="31">
        <f t="shared" si="9"/>
        <v>0.7998842793496499</v>
      </c>
      <c r="V27" s="31">
        <f t="shared" si="9"/>
        <v>0.8361017460059823</v>
      </c>
      <c r="W27" s="31">
        <f t="shared" si="9"/>
        <v>0.82148459289962106</v>
      </c>
      <c r="X27" s="31">
        <f t="shared" si="9"/>
        <v>0.85460370143908448</v>
      </c>
      <c r="Y27" s="31">
        <f t="shared" si="9"/>
        <v>0.83691777516131816</v>
      </c>
      <c r="Z27" s="31">
        <f t="shared" si="9"/>
        <v>0.86811270951838937</v>
      </c>
      <c r="AA27" s="31">
        <f t="shared" si="9"/>
        <v>0.84839689913897998</v>
      </c>
      <c r="AB27" s="31">
        <f t="shared" si="9"/>
        <v>0.87831899246893719</v>
      </c>
      <c r="AC27" s="31">
        <f t="shared" si="9"/>
        <v>0.85718877628639067</v>
      </c>
      <c r="AD27" s="106">
        <f t="shared" si="9"/>
        <v>0.88622681938825354</v>
      </c>
      <c r="AF27" s="24" t="s">
        <v>111</v>
      </c>
      <c r="AG27" s="31">
        <f t="shared" ref="AG27:AR27" si="10">AG25/AG26</f>
        <v>1</v>
      </c>
      <c r="AH27" s="31">
        <f t="shared" si="10"/>
        <v>1.0285714285714287</v>
      </c>
      <c r="AI27" s="31">
        <f t="shared" si="10"/>
        <v>0.99716021524040965</v>
      </c>
      <c r="AJ27" s="31">
        <f t="shared" si="10"/>
        <v>0.80737418940957317</v>
      </c>
      <c r="AK27" s="31">
        <f t="shared" si="10"/>
        <v>0.79520289663677746</v>
      </c>
      <c r="AL27" s="31">
        <f t="shared" si="10"/>
        <v>0.82899153138443704</v>
      </c>
      <c r="AM27" s="31">
        <f t="shared" si="10"/>
        <v>0.81322313215952569</v>
      </c>
      <c r="AN27" s="31">
        <f t="shared" si="10"/>
        <v>0.84479924253418814</v>
      </c>
      <c r="AO27" s="31">
        <f t="shared" si="10"/>
        <v>0.82664882303960485</v>
      </c>
      <c r="AP27" s="31">
        <f t="shared" si="10"/>
        <v>0.85676467467520612</v>
      </c>
      <c r="AQ27" s="31">
        <f t="shared" si="10"/>
        <v>0.83695257920726396</v>
      </c>
      <c r="AR27" s="106">
        <f t="shared" si="10"/>
        <v>0.8660567410871356</v>
      </c>
      <c r="AT27" s="24" t="s">
        <v>111</v>
      </c>
      <c r="AU27" s="31">
        <f t="shared" ref="AU27:BF27" si="11">AU25/AU26</f>
        <v>1</v>
      </c>
      <c r="AV27" s="31">
        <f t="shared" si="11"/>
        <v>1.0285714285714287</v>
      </c>
      <c r="AW27" s="31">
        <f t="shared" si="11"/>
        <v>0.99716021524040965</v>
      </c>
      <c r="AX27" s="31">
        <f t="shared" si="11"/>
        <v>1.0258401465439284</v>
      </c>
      <c r="AY27" s="31">
        <f t="shared" si="11"/>
        <v>0.82922390945445079</v>
      </c>
      <c r="AZ27" s="31">
        <f t="shared" si="11"/>
        <v>0.86214585890588724</v>
      </c>
      <c r="BA27" s="31">
        <f t="shared" si="11"/>
        <v>0.84389526782429414</v>
      </c>
      <c r="BB27" s="31">
        <f t="shared" si="11"/>
        <v>0.87497795516984289</v>
      </c>
      <c r="BC27" s="31">
        <f t="shared" si="11"/>
        <v>0.85480117547290724</v>
      </c>
      <c r="BD27" s="31">
        <f t="shared" si="11"/>
        <v>0.88466621172224413</v>
      </c>
      <c r="BE27" s="31">
        <f t="shared" si="11"/>
        <v>0.86314784123771593</v>
      </c>
      <c r="BF27" s="106">
        <f t="shared" si="11"/>
        <v>0.89216641397708374</v>
      </c>
    </row>
    <row r="28" spans="4:58" x14ac:dyDescent="0.3">
      <c r="D28" s="24"/>
      <c r="P28" s="25"/>
      <c r="R28" s="24"/>
      <c r="AD28" s="25"/>
      <c r="AF28" s="24"/>
      <c r="AR28" s="25"/>
      <c r="AT28" s="24"/>
      <c r="BF28" s="25"/>
    </row>
    <row r="29" spans="4:58" x14ac:dyDescent="0.3">
      <c r="D29" s="24"/>
      <c r="P29" s="25"/>
      <c r="R29" s="24"/>
      <c r="AD29" s="25"/>
      <c r="AF29" s="24"/>
      <c r="AR29" s="25"/>
      <c r="AT29" s="24"/>
      <c r="BF29" s="25"/>
    </row>
    <row r="30" spans="4:58" x14ac:dyDescent="0.3">
      <c r="D30" s="24" t="s">
        <v>105</v>
      </c>
      <c r="P30" s="25"/>
      <c r="R30" s="24" t="s">
        <v>105</v>
      </c>
      <c r="AD30" s="25"/>
      <c r="AF30" s="24" t="s">
        <v>105</v>
      </c>
      <c r="AR30" s="25"/>
      <c r="AT30" s="24" t="s">
        <v>105</v>
      </c>
      <c r="BF30" s="25"/>
    </row>
    <row r="31" spans="4:58" x14ac:dyDescent="0.3">
      <c r="D31" s="24" t="s">
        <v>109</v>
      </c>
      <c r="E31">
        <v>200</v>
      </c>
      <c r="F31">
        <f>(E31+E15-E14)*(1+E20)</f>
        <v>196.56</v>
      </c>
      <c r="G31">
        <f t="shared" ref="G31:P31" si="12">(F31+F15-F14)*(1+F20)</f>
        <v>182.13120000000001</v>
      </c>
      <c r="H31">
        <f t="shared" si="12"/>
        <v>177.26169600000003</v>
      </c>
      <c r="I31">
        <f t="shared" si="12"/>
        <v>162.44692992000003</v>
      </c>
      <c r="J31">
        <f t="shared" si="12"/>
        <v>156.00268431360004</v>
      </c>
      <c r="K31">
        <f t="shared" si="12"/>
        <v>140.76273799987206</v>
      </c>
      <c r="L31">
        <f t="shared" si="12"/>
        <v>132.58375703986184</v>
      </c>
      <c r="M31">
        <f t="shared" si="12"/>
        <v>116.87543218065908</v>
      </c>
      <c r="N31">
        <f t="shared" si="12"/>
        <v>106.78546675511181</v>
      </c>
      <c r="O31">
        <f t="shared" si="12"/>
        <v>90.561176090214047</v>
      </c>
      <c r="P31" s="25">
        <f t="shared" si="12"/>
        <v>78.366070177431183</v>
      </c>
      <c r="R31" s="24" t="s">
        <v>109</v>
      </c>
      <c r="S31">
        <v>200</v>
      </c>
      <c r="T31">
        <f>(S31+S15-S14)*(1+S20)</f>
        <v>154.69999999999999</v>
      </c>
      <c r="U31">
        <f t="shared" ref="U31:AD31" si="13">(T31+T15-T14)*(1+T20)</f>
        <v>139.434</v>
      </c>
      <c r="V31">
        <f t="shared" si="13"/>
        <v>131.14872</v>
      </c>
      <c r="W31">
        <f t="shared" si="13"/>
        <v>115.4116944</v>
      </c>
      <c r="X31">
        <f t="shared" si="13"/>
        <v>105.204629952</v>
      </c>
      <c r="Y31">
        <f t="shared" si="13"/>
        <v>88.948722551040007</v>
      </c>
      <c r="Z31">
        <f t="shared" si="13"/>
        <v>76.624620355123213</v>
      </c>
      <c r="AA31">
        <f t="shared" si="13"/>
        <v>59.79711276222568</v>
      </c>
      <c r="AB31">
        <f t="shared" si="13"/>
        <v>45.140881783203739</v>
      </c>
      <c r="AC31">
        <f t="shared" si="13"/>
        <v>27.683699418867814</v>
      </c>
      <c r="AD31" s="25">
        <f t="shared" si="13"/>
        <v>10.45839537237724</v>
      </c>
      <c r="AF31" s="24" t="s">
        <v>109</v>
      </c>
      <c r="AG31">
        <v>200</v>
      </c>
      <c r="AH31">
        <f>(AG31+AG15-AG14)*(1+AG20)</f>
        <v>196.56</v>
      </c>
      <c r="AI31">
        <f t="shared" ref="AI31:AR31" si="14">(AH31+AH15-AH14)*(1+AH20)</f>
        <v>182.13120000000001</v>
      </c>
      <c r="AJ31">
        <f t="shared" si="14"/>
        <v>139.51151999999999</v>
      </c>
      <c r="AK31">
        <f t="shared" si="14"/>
        <v>123.94175039999999</v>
      </c>
      <c r="AL31">
        <f t="shared" si="14"/>
        <v>114.41709043199999</v>
      </c>
      <c r="AM31">
        <f t="shared" si="14"/>
        <v>98.345432240639994</v>
      </c>
      <c r="AN31">
        <f t="shared" si="14"/>
        <v>86.773066819891199</v>
      </c>
      <c r="AO31">
        <f t="shared" si="14"/>
        <v>70.148528156289018</v>
      </c>
      <c r="AP31">
        <f t="shared" si="14"/>
        <v>56.320410408792142</v>
      </c>
      <c r="AQ31">
        <f t="shared" si="14"/>
        <v>39.086818616967989</v>
      </c>
      <c r="AR31" s="25">
        <f t="shared" si="14"/>
        <v>22.77376410632543</v>
      </c>
      <c r="AT31" s="24" t="s">
        <v>109</v>
      </c>
      <c r="AU31">
        <v>200</v>
      </c>
      <c r="AV31">
        <f>(AU31+AU15-AU14)*(1+AU20)</f>
        <v>196.56</v>
      </c>
      <c r="AW31">
        <f t="shared" ref="AW31:BF31" si="15">(AV31+AV15-AV14)*(1+AV20)</f>
        <v>182.13120000000001</v>
      </c>
      <c r="AX31">
        <f t="shared" si="15"/>
        <v>177.26169600000003</v>
      </c>
      <c r="AY31">
        <f t="shared" si="15"/>
        <v>135.37244160000003</v>
      </c>
      <c r="AZ31">
        <f t="shared" si="15"/>
        <v>126.76223692800004</v>
      </c>
      <c r="BA31">
        <f t="shared" si="15"/>
        <v>110.93748166656005</v>
      </c>
      <c r="BB31">
        <f t="shared" si="15"/>
        <v>100.37248019988486</v>
      </c>
      <c r="BC31">
        <f t="shared" si="15"/>
        <v>84.019929803882562</v>
      </c>
      <c r="BD31">
        <f t="shared" si="15"/>
        <v>71.30152418819317</v>
      </c>
      <c r="BE31">
        <f t="shared" si="15"/>
        <v>54.367554671957038</v>
      </c>
      <c r="BF31" s="25">
        <f t="shared" si="15"/>
        <v>39.276959045713603</v>
      </c>
    </row>
    <row r="32" spans="4:58" x14ac:dyDescent="0.3">
      <c r="D32" s="24" t="s">
        <v>110</v>
      </c>
      <c r="E32">
        <v>200</v>
      </c>
      <c r="F32">
        <f>(E32+E13-E14)*(1+E21)</f>
        <v>191.1</v>
      </c>
      <c r="G32">
        <f t="shared" ref="G32:P32" si="16">(F32+F13-F14)*(1+F21)</f>
        <v>181.755</v>
      </c>
      <c r="H32">
        <f t="shared" si="16"/>
        <v>171.94274999999999</v>
      </c>
      <c r="I32">
        <f t="shared" si="16"/>
        <v>161.63988749999999</v>
      </c>
      <c r="J32">
        <f t="shared" si="16"/>
        <v>150.821881875</v>
      </c>
      <c r="K32">
        <f t="shared" si="16"/>
        <v>139.46297596875002</v>
      </c>
      <c r="L32">
        <f t="shared" si="16"/>
        <v>127.53612476718752</v>
      </c>
      <c r="M32">
        <f t="shared" si="16"/>
        <v>115.0129310055469</v>
      </c>
      <c r="N32">
        <f t="shared" si="16"/>
        <v>101.86357755582425</v>
      </c>
      <c r="O32">
        <f t="shared" si="16"/>
        <v>88.056756433615462</v>
      </c>
      <c r="P32" s="25">
        <f t="shared" si="16"/>
        <v>73.559594255296233</v>
      </c>
      <c r="R32" s="24" t="s">
        <v>110</v>
      </c>
      <c r="S32">
        <v>200</v>
      </c>
      <c r="T32">
        <f>(S32+S13-S14)*(1+S21)</f>
        <v>191.1</v>
      </c>
      <c r="U32">
        <f t="shared" ref="U32:AD32" si="17">(T32+T13-T14)*(1+T21)</f>
        <v>181.755</v>
      </c>
      <c r="V32">
        <f t="shared" si="17"/>
        <v>171.94274999999999</v>
      </c>
      <c r="W32">
        <f t="shared" si="17"/>
        <v>161.63988749999999</v>
      </c>
      <c r="X32">
        <f t="shared" si="17"/>
        <v>150.821881875</v>
      </c>
      <c r="Y32">
        <f t="shared" si="17"/>
        <v>139.46297596875002</v>
      </c>
      <c r="Z32">
        <f t="shared" si="17"/>
        <v>127.53612476718752</v>
      </c>
      <c r="AA32">
        <f t="shared" si="17"/>
        <v>115.0129310055469</v>
      </c>
      <c r="AB32">
        <f t="shared" si="17"/>
        <v>101.86357755582425</v>
      </c>
      <c r="AC32">
        <f t="shared" si="17"/>
        <v>88.056756433615462</v>
      </c>
      <c r="AD32" s="25">
        <f t="shared" si="17"/>
        <v>73.559594255296233</v>
      </c>
      <c r="AF32" s="24" t="s">
        <v>110</v>
      </c>
      <c r="AG32">
        <v>200</v>
      </c>
      <c r="AH32">
        <f>(AG32+AG13-AG14)*(1+AG21)</f>
        <v>191.1</v>
      </c>
      <c r="AI32">
        <f t="shared" ref="AI32:AR32" si="18">(AH32+AH13-AH14)*(1+AH21)</f>
        <v>181.755</v>
      </c>
      <c r="AJ32">
        <f t="shared" si="18"/>
        <v>171.94274999999999</v>
      </c>
      <c r="AK32">
        <f t="shared" si="18"/>
        <v>161.63988749999999</v>
      </c>
      <c r="AL32">
        <f t="shared" si="18"/>
        <v>150.821881875</v>
      </c>
      <c r="AM32">
        <f t="shared" si="18"/>
        <v>139.46297596875002</v>
      </c>
      <c r="AN32">
        <f t="shared" si="18"/>
        <v>127.53612476718752</v>
      </c>
      <c r="AO32">
        <f t="shared" si="18"/>
        <v>115.0129310055469</v>
      </c>
      <c r="AP32">
        <f t="shared" si="18"/>
        <v>101.86357755582425</v>
      </c>
      <c r="AQ32">
        <f t="shared" si="18"/>
        <v>88.056756433615462</v>
      </c>
      <c r="AR32" s="25">
        <f t="shared" si="18"/>
        <v>73.559594255296233</v>
      </c>
      <c r="AT32" s="24" t="s">
        <v>110</v>
      </c>
      <c r="AU32">
        <v>200</v>
      </c>
      <c r="AV32">
        <f>(AU32+AU13-AU14)*(1+AU21)</f>
        <v>191.1</v>
      </c>
      <c r="AW32">
        <f t="shared" ref="AW32:BF32" si="19">(AV32+AV13-AV14)*(1+AV21)</f>
        <v>181.755</v>
      </c>
      <c r="AX32">
        <f t="shared" si="19"/>
        <v>171.94274999999999</v>
      </c>
      <c r="AY32">
        <f t="shared" si="19"/>
        <v>161.63988749999999</v>
      </c>
      <c r="AZ32">
        <f t="shared" si="19"/>
        <v>150.821881875</v>
      </c>
      <c r="BA32">
        <f t="shared" si="19"/>
        <v>139.46297596875002</v>
      </c>
      <c r="BB32">
        <f t="shared" si="19"/>
        <v>127.53612476718752</v>
      </c>
      <c r="BC32">
        <f t="shared" si="19"/>
        <v>115.0129310055469</v>
      </c>
      <c r="BD32">
        <f t="shared" si="19"/>
        <v>101.86357755582425</v>
      </c>
      <c r="BE32">
        <f t="shared" si="19"/>
        <v>88.056756433615462</v>
      </c>
      <c r="BF32" s="25">
        <f t="shared" si="19"/>
        <v>73.559594255296233</v>
      </c>
    </row>
    <row r="33" spans="4:58" x14ac:dyDescent="0.3">
      <c r="D33" s="47"/>
      <c r="E33" s="53">
        <f>E31/E32</f>
        <v>1</v>
      </c>
      <c r="F33" s="53">
        <f>F31/F32</f>
        <v>1.0285714285714287</v>
      </c>
      <c r="G33" s="53">
        <f t="shared" ref="G33:P33" si="20">G31/G32</f>
        <v>1.0020698192621937</v>
      </c>
      <c r="H33" s="53">
        <f t="shared" si="20"/>
        <v>1.0309344011306092</v>
      </c>
      <c r="I33" s="53">
        <f t="shared" si="20"/>
        <v>1.0049928420050407</v>
      </c>
      <c r="J33" s="53">
        <f t="shared" si="20"/>
        <v>1.0343504694026684</v>
      </c>
      <c r="K33" s="53">
        <f t="shared" si="20"/>
        <v>1.0093197640599127</v>
      </c>
      <c r="L33" s="53">
        <f t="shared" si="20"/>
        <v>1.0395780590157384</v>
      </c>
      <c r="M33" s="53">
        <f t="shared" si="20"/>
        <v>1.0161938414996341</v>
      </c>
      <c r="N33" s="53">
        <f t="shared" si="20"/>
        <v>1.0483184403825816</v>
      </c>
      <c r="O33" s="53">
        <f t="shared" si="20"/>
        <v>1.0284409710058606</v>
      </c>
      <c r="P33" s="107">
        <f t="shared" si="20"/>
        <v>1.0653412511419458</v>
      </c>
      <c r="R33" s="47"/>
      <c r="S33" s="53">
        <f t="shared" ref="S33:AD33" si="21">S31/S32</f>
        <v>1</v>
      </c>
      <c r="T33" s="53">
        <f t="shared" si="21"/>
        <v>0.80952380952380953</v>
      </c>
      <c r="U33" s="53">
        <f t="shared" si="21"/>
        <v>0.76715358587109017</v>
      </c>
      <c r="V33" s="53">
        <f t="shared" si="21"/>
        <v>0.76274643740431047</v>
      </c>
      <c r="W33" s="53">
        <f t="shared" si="21"/>
        <v>0.71400504037099144</v>
      </c>
      <c r="X33" s="53">
        <f t="shared" si="21"/>
        <v>0.69754221764181923</v>
      </c>
      <c r="Y33" s="53">
        <f t="shared" si="21"/>
        <v>0.63779452527222047</v>
      </c>
      <c r="Z33" s="53">
        <f t="shared" si="21"/>
        <v>0.60080718694408053</v>
      </c>
      <c r="AA33" s="53">
        <f t="shared" si="21"/>
        <v>0.51991643234743534</v>
      </c>
      <c r="AB33" s="53">
        <f t="shared" si="21"/>
        <v>0.44315036705308336</v>
      </c>
      <c r="AC33" s="53">
        <f t="shared" si="21"/>
        <v>0.31438472798777339</v>
      </c>
      <c r="AD33" s="107">
        <f t="shared" si="21"/>
        <v>0.14217581646902902</v>
      </c>
      <c r="AF33" s="47"/>
      <c r="AG33" s="53">
        <f t="shared" ref="AG33:AR33" si="22">AG31/AG32</f>
        <v>1</v>
      </c>
      <c r="AH33" s="53">
        <f t="shared" si="22"/>
        <v>1.0285714285714287</v>
      </c>
      <c r="AI33" s="53">
        <f t="shared" si="22"/>
        <v>1.0020698192621937</v>
      </c>
      <c r="AJ33" s="53">
        <f t="shared" si="22"/>
        <v>0.81138355644538662</v>
      </c>
      <c r="AK33" s="53">
        <f t="shared" si="22"/>
        <v>0.76677701473901361</v>
      </c>
      <c r="AL33" s="53">
        <f t="shared" si="22"/>
        <v>0.75862394109913034</v>
      </c>
      <c r="AM33" s="53">
        <f t="shared" si="22"/>
        <v>0.70517233378611266</v>
      </c>
      <c r="AN33" s="53">
        <f t="shared" si="22"/>
        <v>0.68038029992123583</v>
      </c>
      <c r="AO33" s="53">
        <f t="shared" si="22"/>
        <v>0.60991861995853192</v>
      </c>
      <c r="AP33" s="53">
        <f t="shared" si="22"/>
        <v>0.55290037676054415</v>
      </c>
      <c r="AQ33" s="53">
        <f t="shared" si="22"/>
        <v>0.44388210740461348</v>
      </c>
      <c r="AR33" s="107">
        <f t="shared" si="22"/>
        <v>0.30959610825593614</v>
      </c>
      <c r="AT33" s="47"/>
      <c r="AU33" s="53">
        <f t="shared" ref="AU33:BF33" si="23">AU31/AU32</f>
        <v>1</v>
      </c>
      <c r="AV33" s="53">
        <f t="shared" si="23"/>
        <v>1.0285714285714287</v>
      </c>
      <c r="AW33" s="53">
        <f t="shared" si="23"/>
        <v>1.0020698192621937</v>
      </c>
      <c r="AX33" s="53">
        <f t="shared" si="23"/>
        <v>1.0309344011306092</v>
      </c>
      <c r="AY33" s="53">
        <f t="shared" si="23"/>
        <v>0.83749403500420061</v>
      </c>
      <c r="AZ33" s="53">
        <f t="shared" si="23"/>
        <v>0.84047643055574384</v>
      </c>
      <c r="BA33" s="53">
        <f t="shared" si="23"/>
        <v>0.79546188438871557</v>
      </c>
      <c r="BB33" s="53">
        <f t="shared" si="23"/>
        <v>0.7870121534828749</v>
      </c>
      <c r="BC33" s="53">
        <f t="shared" si="23"/>
        <v>0.73052594233800028</v>
      </c>
      <c r="BD33" s="53">
        <f t="shared" si="23"/>
        <v>0.69997074419576344</v>
      </c>
      <c r="BE33" s="53">
        <f t="shared" si="23"/>
        <v>0.61741491367495283</v>
      </c>
      <c r="BF33" s="107">
        <f t="shared" si="23"/>
        <v>0.53394746726577669</v>
      </c>
    </row>
    <row r="36" spans="4:58" x14ac:dyDescent="0.3">
      <c r="E36" s="12"/>
      <c r="F36" s="12"/>
      <c r="G36" s="12"/>
      <c r="H36" s="12"/>
      <c r="I36" s="12"/>
      <c r="J36" s="12"/>
      <c r="K36" s="12"/>
      <c r="L36" s="12"/>
      <c r="M36" s="12"/>
      <c r="N36" s="12"/>
      <c r="O36" s="12"/>
      <c r="P36" s="12"/>
    </row>
    <row r="37" spans="4:58" x14ac:dyDescent="0.3">
      <c r="D37" s="7" t="s">
        <v>112</v>
      </c>
      <c r="E37" s="12"/>
      <c r="F37" s="12"/>
      <c r="G37" s="12"/>
      <c r="H37" s="12"/>
      <c r="I37" s="12"/>
      <c r="J37" s="12"/>
      <c r="K37" s="12"/>
      <c r="L37" s="12"/>
      <c r="M37" s="12"/>
      <c r="N37" s="12"/>
      <c r="O37" s="12"/>
      <c r="P37" s="12"/>
      <c r="R37" s="7" t="s">
        <v>113</v>
      </c>
      <c r="AF37" s="7" t="s">
        <v>114</v>
      </c>
      <c r="AT37" s="7" t="s">
        <v>115</v>
      </c>
    </row>
    <row r="38" spans="4:58" ht="28.8" x14ac:dyDescent="0.3">
      <c r="D38" s="157" t="s">
        <v>116</v>
      </c>
      <c r="E38" s="158"/>
      <c r="F38" s="158"/>
      <c r="G38" s="158"/>
      <c r="H38" s="158"/>
      <c r="I38" s="158"/>
      <c r="J38" s="158"/>
      <c r="K38" s="158"/>
      <c r="L38" s="158"/>
      <c r="M38" s="158"/>
      <c r="N38" s="158"/>
      <c r="O38" s="158"/>
      <c r="P38" s="158"/>
      <c r="R38" s="58" t="s">
        <v>102</v>
      </c>
      <c r="S38" s="22"/>
      <c r="T38" s="22"/>
      <c r="U38" s="22"/>
      <c r="V38" s="22"/>
      <c r="W38" s="22"/>
      <c r="X38" s="22"/>
      <c r="Y38" s="22"/>
      <c r="Z38" s="22"/>
      <c r="AA38" s="22"/>
      <c r="AB38" s="22"/>
      <c r="AC38" s="22"/>
      <c r="AD38" s="57" t="s">
        <v>28</v>
      </c>
      <c r="AF38" s="58" t="s">
        <v>102</v>
      </c>
      <c r="AG38" s="22"/>
      <c r="AH38" s="22"/>
      <c r="AI38" s="22"/>
      <c r="AJ38" s="22"/>
      <c r="AK38" s="22"/>
      <c r="AL38" s="22"/>
      <c r="AM38" s="22"/>
      <c r="AN38" s="22"/>
      <c r="AO38" s="22"/>
      <c r="AP38" s="22"/>
      <c r="AQ38" s="22"/>
      <c r="AR38" s="57" t="s">
        <v>28</v>
      </c>
      <c r="AT38" s="58" t="s">
        <v>102</v>
      </c>
      <c r="AU38" s="22"/>
      <c r="AV38" s="22"/>
      <c r="AW38" s="22"/>
      <c r="AX38" s="22"/>
      <c r="AY38" s="22"/>
      <c r="AZ38" s="22"/>
      <c r="BA38" s="22"/>
      <c r="BB38" s="22"/>
      <c r="BC38" s="22"/>
      <c r="BD38" s="22"/>
      <c r="BE38" s="22"/>
      <c r="BF38" s="57" t="s">
        <v>28</v>
      </c>
    </row>
    <row r="39" spans="4:58" x14ac:dyDescent="0.3">
      <c r="D39" s="158"/>
      <c r="E39" s="158"/>
      <c r="F39" s="158"/>
      <c r="G39" s="158"/>
      <c r="H39" s="158"/>
      <c r="I39" s="158"/>
      <c r="J39" s="158"/>
      <c r="K39" s="158"/>
      <c r="L39" s="158"/>
      <c r="M39" s="158"/>
      <c r="N39" s="158"/>
      <c r="O39" s="158"/>
      <c r="P39" s="158"/>
      <c r="R39" s="24" t="s">
        <v>103</v>
      </c>
      <c r="S39">
        <v>20</v>
      </c>
      <c r="T39">
        <v>20</v>
      </c>
      <c r="U39">
        <v>20</v>
      </c>
      <c r="V39">
        <v>20</v>
      </c>
      <c r="W39">
        <v>20</v>
      </c>
      <c r="X39">
        <v>20</v>
      </c>
      <c r="Y39">
        <v>20</v>
      </c>
      <c r="Z39">
        <v>20</v>
      </c>
      <c r="AA39">
        <v>20</v>
      </c>
      <c r="AB39">
        <v>20</v>
      </c>
      <c r="AC39">
        <v>20</v>
      </c>
      <c r="AD39" s="25"/>
      <c r="AF39" s="24" t="s">
        <v>103</v>
      </c>
      <c r="AG39">
        <v>20</v>
      </c>
      <c r="AH39">
        <v>20</v>
      </c>
      <c r="AI39">
        <v>20</v>
      </c>
      <c r="AJ39">
        <v>20</v>
      </c>
      <c r="AK39">
        <v>20</v>
      </c>
      <c r="AL39">
        <v>20</v>
      </c>
      <c r="AM39">
        <v>20</v>
      </c>
      <c r="AN39">
        <v>20</v>
      </c>
      <c r="AO39">
        <v>20</v>
      </c>
      <c r="AP39">
        <v>20</v>
      </c>
      <c r="AQ39">
        <v>20</v>
      </c>
      <c r="AR39" s="25"/>
      <c r="AT39" s="24" t="s">
        <v>103</v>
      </c>
      <c r="AU39">
        <v>20</v>
      </c>
      <c r="AV39">
        <v>20</v>
      </c>
      <c r="AW39">
        <v>20</v>
      </c>
      <c r="AX39">
        <v>20</v>
      </c>
      <c r="AY39">
        <v>20</v>
      </c>
      <c r="AZ39">
        <v>20</v>
      </c>
      <c r="BA39">
        <v>20</v>
      </c>
      <c r="BB39">
        <v>20</v>
      </c>
      <c r="BC39">
        <v>20</v>
      </c>
      <c r="BD39">
        <v>20</v>
      </c>
      <c r="BE39">
        <v>20</v>
      </c>
      <c r="BF39" s="25"/>
    </row>
    <row r="40" spans="4:58" x14ac:dyDescent="0.3">
      <c r="D40" s="158"/>
      <c r="E40" s="158"/>
      <c r="F40" s="158"/>
      <c r="G40" s="158"/>
      <c r="H40" s="158"/>
      <c r="I40" s="158"/>
      <c r="J40" s="158"/>
      <c r="K40" s="158"/>
      <c r="L40" s="158"/>
      <c r="M40" s="158"/>
      <c r="N40" s="158"/>
      <c r="O40" s="158"/>
      <c r="P40" s="158"/>
      <c r="R40" s="24" t="s">
        <v>104</v>
      </c>
      <c r="S40">
        <v>2</v>
      </c>
      <c r="T40">
        <v>2</v>
      </c>
      <c r="U40">
        <v>2</v>
      </c>
      <c r="V40">
        <v>2</v>
      </c>
      <c r="W40">
        <v>2</v>
      </c>
      <c r="X40">
        <v>2</v>
      </c>
      <c r="Y40">
        <v>2</v>
      </c>
      <c r="Z40">
        <v>2</v>
      </c>
      <c r="AA40">
        <v>2</v>
      </c>
      <c r="AB40">
        <v>2</v>
      </c>
      <c r="AC40">
        <v>2</v>
      </c>
      <c r="AD40" s="25"/>
      <c r="AF40" s="24" t="s">
        <v>104</v>
      </c>
      <c r="AG40">
        <v>2</v>
      </c>
      <c r="AH40">
        <v>2</v>
      </c>
      <c r="AI40">
        <v>2</v>
      </c>
      <c r="AJ40">
        <v>2</v>
      </c>
      <c r="AK40">
        <v>2</v>
      </c>
      <c r="AL40">
        <v>2</v>
      </c>
      <c r="AM40">
        <v>2</v>
      </c>
      <c r="AN40">
        <v>2</v>
      </c>
      <c r="AO40">
        <v>2</v>
      </c>
      <c r="AP40">
        <v>2</v>
      </c>
      <c r="AQ40">
        <v>2</v>
      </c>
      <c r="AR40" s="25"/>
      <c r="AT40" s="24" t="s">
        <v>104</v>
      </c>
      <c r="AU40">
        <v>2</v>
      </c>
      <c r="AV40">
        <v>2</v>
      </c>
      <c r="AW40">
        <v>2</v>
      </c>
      <c r="AX40">
        <v>2</v>
      </c>
      <c r="AY40">
        <v>2</v>
      </c>
      <c r="AZ40">
        <v>2</v>
      </c>
      <c r="BA40">
        <v>2</v>
      </c>
      <c r="BB40">
        <v>2</v>
      </c>
      <c r="BC40">
        <v>2</v>
      </c>
      <c r="BD40">
        <v>2</v>
      </c>
      <c r="BE40">
        <v>2</v>
      </c>
      <c r="BF40" s="25"/>
    </row>
    <row r="41" spans="4:58" x14ac:dyDescent="0.3">
      <c r="D41" s="158"/>
      <c r="E41" s="158"/>
      <c r="F41" s="158"/>
      <c r="G41" s="158"/>
      <c r="H41" s="158"/>
      <c r="I41" s="158"/>
      <c r="J41" s="158"/>
      <c r="K41" s="158"/>
      <c r="L41" s="158"/>
      <c r="M41" s="158"/>
      <c r="N41" s="158"/>
      <c r="O41" s="158"/>
      <c r="P41" s="158"/>
      <c r="R41" s="24" t="s">
        <v>32</v>
      </c>
      <c r="S41">
        <v>20</v>
      </c>
      <c r="T41">
        <v>24.25</v>
      </c>
      <c r="U41">
        <f>T41</f>
        <v>24.25</v>
      </c>
      <c r="V41">
        <f t="shared" ref="V41:AC41" si="24">U41</f>
        <v>24.25</v>
      </c>
      <c r="W41">
        <f t="shared" si="24"/>
        <v>24.25</v>
      </c>
      <c r="X41">
        <f t="shared" si="24"/>
        <v>24.25</v>
      </c>
      <c r="Y41">
        <f t="shared" si="24"/>
        <v>24.25</v>
      </c>
      <c r="Z41">
        <f t="shared" si="24"/>
        <v>24.25</v>
      </c>
      <c r="AA41">
        <f t="shared" si="24"/>
        <v>24.25</v>
      </c>
      <c r="AB41">
        <f t="shared" si="24"/>
        <v>24.25</v>
      </c>
      <c r="AC41">
        <f t="shared" si="24"/>
        <v>24.25</v>
      </c>
      <c r="AD41" s="105">
        <f>SUM(S41:AC41)</f>
        <v>262.5</v>
      </c>
      <c r="AF41" s="24" t="s">
        <v>32</v>
      </c>
      <c r="AG41">
        <v>20</v>
      </c>
      <c r="AH41">
        <v>20</v>
      </c>
      <c r="AI41">
        <v>20</v>
      </c>
      <c r="AJ41">
        <v>30</v>
      </c>
      <c r="AK41">
        <f>AJ41</f>
        <v>30</v>
      </c>
      <c r="AL41">
        <f t="shared" ref="AL41:AQ41" si="25">AK41</f>
        <v>30</v>
      </c>
      <c r="AM41">
        <f t="shared" si="25"/>
        <v>30</v>
      </c>
      <c r="AN41">
        <f t="shared" si="25"/>
        <v>30</v>
      </c>
      <c r="AO41">
        <f t="shared" si="25"/>
        <v>30</v>
      </c>
      <c r="AP41">
        <f t="shared" si="25"/>
        <v>30</v>
      </c>
      <c r="AQ41">
        <f t="shared" si="25"/>
        <v>30</v>
      </c>
      <c r="AR41" s="105">
        <f>SUM(AG41:AQ41)</f>
        <v>300</v>
      </c>
      <c r="AT41" s="24" t="s">
        <v>32</v>
      </c>
      <c r="AU41">
        <v>20</v>
      </c>
      <c r="AV41">
        <v>20</v>
      </c>
      <c r="AW41">
        <v>20</v>
      </c>
      <c r="AX41">
        <v>20</v>
      </c>
      <c r="AY41">
        <v>29</v>
      </c>
      <c r="AZ41">
        <f t="shared" ref="AZ41:BE41" si="26">AY41</f>
        <v>29</v>
      </c>
      <c r="BA41">
        <f t="shared" si="26"/>
        <v>29</v>
      </c>
      <c r="BB41">
        <f t="shared" si="26"/>
        <v>29</v>
      </c>
      <c r="BC41">
        <f t="shared" si="26"/>
        <v>29</v>
      </c>
      <c r="BD41">
        <f t="shared" si="26"/>
        <v>29</v>
      </c>
      <c r="BE41">
        <f t="shared" si="26"/>
        <v>29</v>
      </c>
      <c r="BF41" s="105">
        <f>SUM(AU41:BE41)</f>
        <v>283</v>
      </c>
    </row>
    <row r="42" spans="4:58" x14ac:dyDescent="0.3">
      <c r="D42" s="158"/>
      <c r="E42" s="158"/>
      <c r="F42" s="158"/>
      <c r="G42" s="158"/>
      <c r="H42" s="158"/>
      <c r="I42" s="158"/>
      <c r="J42" s="158"/>
      <c r="K42" s="158"/>
      <c r="L42" s="158"/>
      <c r="M42" s="158"/>
      <c r="N42" s="158"/>
      <c r="O42" s="158"/>
      <c r="P42" s="158"/>
      <c r="R42" s="24"/>
      <c r="AD42" s="25"/>
      <c r="AF42" s="24"/>
      <c r="AR42" s="25"/>
      <c r="AT42" s="24"/>
      <c r="BF42" s="25"/>
    </row>
    <row r="43" spans="4:58" x14ac:dyDescent="0.3">
      <c r="D43" s="158"/>
      <c r="E43" s="158"/>
      <c r="F43" s="158"/>
      <c r="G43" s="158"/>
      <c r="H43" s="158"/>
      <c r="I43" s="158"/>
      <c r="J43" s="158"/>
      <c r="K43" s="158"/>
      <c r="L43" s="158"/>
      <c r="M43" s="158"/>
      <c r="N43" s="158"/>
      <c r="O43" s="158"/>
      <c r="P43" s="158"/>
      <c r="R43" s="24" t="s">
        <v>105</v>
      </c>
      <c r="AD43" s="25"/>
      <c r="AF43" s="24" t="s">
        <v>105</v>
      </c>
      <c r="AR43" s="25"/>
      <c r="AT43" s="24" t="s">
        <v>105</v>
      </c>
      <c r="BF43" s="25"/>
    </row>
    <row r="44" spans="4:58" x14ac:dyDescent="0.3">
      <c r="D44" s="158"/>
      <c r="E44" s="158"/>
      <c r="F44" s="158"/>
      <c r="G44" s="158"/>
      <c r="H44" s="158"/>
      <c r="I44" s="158"/>
      <c r="J44" s="158"/>
      <c r="K44" s="158"/>
      <c r="L44" s="158"/>
      <c r="M44" s="158"/>
      <c r="N44" s="158"/>
      <c r="O44" s="158"/>
      <c r="P44" s="158"/>
      <c r="R44" s="24" t="s">
        <v>103</v>
      </c>
      <c r="S44">
        <v>2</v>
      </c>
      <c r="T44">
        <v>2</v>
      </c>
      <c r="U44">
        <v>2</v>
      </c>
      <c r="V44">
        <v>2</v>
      </c>
      <c r="W44">
        <v>2</v>
      </c>
      <c r="X44">
        <v>2</v>
      </c>
      <c r="Y44">
        <v>2</v>
      </c>
      <c r="Z44">
        <v>2</v>
      </c>
      <c r="AA44">
        <v>2</v>
      </c>
      <c r="AB44">
        <v>2</v>
      </c>
      <c r="AC44">
        <v>2</v>
      </c>
      <c r="AD44" s="25"/>
      <c r="AF44" s="24" t="s">
        <v>103</v>
      </c>
      <c r="AG44">
        <v>2</v>
      </c>
      <c r="AH44">
        <v>2</v>
      </c>
      <c r="AI44">
        <v>2</v>
      </c>
      <c r="AJ44">
        <v>2</v>
      </c>
      <c r="AK44">
        <v>2</v>
      </c>
      <c r="AL44">
        <v>2</v>
      </c>
      <c r="AM44">
        <v>2</v>
      </c>
      <c r="AN44">
        <v>2</v>
      </c>
      <c r="AO44">
        <v>2</v>
      </c>
      <c r="AP44">
        <v>2</v>
      </c>
      <c r="AQ44">
        <v>2</v>
      </c>
      <c r="AR44" s="25"/>
      <c r="AT44" s="24" t="s">
        <v>103</v>
      </c>
      <c r="AU44">
        <v>2</v>
      </c>
      <c r="AV44">
        <v>2</v>
      </c>
      <c r="AW44">
        <v>2</v>
      </c>
      <c r="AX44">
        <v>2</v>
      </c>
      <c r="AY44">
        <v>2</v>
      </c>
      <c r="AZ44">
        <v>2</v>
      </c>
      <c r="BA44">
        <v>2</v>
      </c>
      <c r="BB44">
        <v>2</v>
      </c>
      <c r="BC44">
        <v>2</v>
      </c>
      <c r="BD44">
        <v>2</v>
      </c>
      <c r="BE44">
        <v>2</v>
      </c>
      <c r="BF44" s="25"/>
    </row>
    <row r="45" spans="4:58" x14ac:dyDescent="0.3">
      <c r="D45" s="158"/>
      <c r="E45" s="158"/>
      <c r="F45" s="158"/>
      <c r="G45" s="158"/>
      <c r="H45" s="158"/>
      <c r="I45" s="158"/>
      <c r="J45" s="158"/>
      <c r="K45" s="158"/>
      <c r="L45" s="158"/>
      <c r="M45" s="158"/>
      <c r="N45" s="158"/>
      <c r="O45" s="158"/>
      <c r="P45" s="158"/>
      <c r="R45" s="24" t="s">
        <v>104</v>
      </c>
      <c r="S45">
        <v>20</v>
      </c>
      <c r="T45">
        <v>20</v>
      </c>
      <c r="U45">
        <v>20</v>
      </c>
      <c r="V45">
        <v>20</v>
      </c>
      <c r="W45">
        <v>20</v>
      </c>
      <c r="X45">
        <v>20</v>
      </c>
      <c r="Y45">
        <v>20</v>
      </c>
      <c r="Z45">
        <v>20</v>
      </c>
      <c r="AA45">
        <v>20</v>
      </c>
      <c r="AB45">
        <v>20</v>
      </c>
      <c r="AC45">
        <v>20</v>
      </c>
      <c r="AD45" s="25"/>
      <c r="AF45" s="24" t="s">
        <v>104</v>
      </c>
      <c r="AG45">
        <v>20</v>
      </c>
      <c r="AH45">
        <v>20</v>
      </c>
      <c r="AI45">
        <v>20</v>
      </c>
      <c r="AJ45">
        <v>20</v>
      </c>
      <c r="AK45">
        <v>20</v>
      </c>
      <c r="AL45">
        <v>20</v>
      </c>
      <c r="AM45">
        <v>20</v>
      </c>
      <c r="AN45">
        <v>20</v>
      </c>
      <c r="AO45">
        <v>20</v>
      </c>
      <c r="AP45">
        <v>20</v>
      </c>
      <c r="AQ45">
        <v>20</v>
      </c>
      <c r="AR45" s="25"/>
      <c r="AT45" s="24" t="s">
        <v>104</v>
      </c>
      <c r="AU45">
        <v>20</v>
      </c>
      <c r="AV45">
        <v>20</v>
      </c>
      <c r="AW45">
        <v>20</v>
      </c>
      <c r="AX45">
        <v>20</v>
      </c>
      <c r="AY45">
        <v>20</v>
      </c>
      <c r="AZ45">
        <v>20</v>
      </c>
      <c r="BA45">
        <v>20</v>
      </c>
      <c r="BB45">
        <v>20</v>
      </c>
      <c r="BC45">
        <v>20</v>
      </c>
      <c r="BD45">
        <v>20</v>
      </c>
      <c r="BE45">
        <v>20</v>
      </c>
      <c r="BF45" s="25"/>
    </row>
    <row r="46" spans="4:58" x14ac:dyDescent="0.3">
      <c r="D46" s="158"/>
      <c r="E46" s="158"/>
      <c r="F46" s="158"/>
      <c r="G46" s="158"/>
      <c r="H46" s="158"/>
      <c r="I46" s="158"/>
      <c r="J46" s="158"/>
      <c r="K46" s="158"/>
      <c r="L46" s="158"/>
      <c r="M46" s="158"/>
      <c r="N46" s="158"/>
      <c r="O46" s="158"/>
      <c r="P46" s="158"/>
      <c r="R46" s="24" t="s">
        <v>32</v>
      </c>
      <c r="S46">
        <v>2</v>
      </c>
      <c r="T46">
        <v>6.75</v>
      </c>
      <c r="U46">
        <f>T46</f>
        <v>6.75</v>
      </c>
      <c r="V46">
        <f t="shared" ref="V46:AC46" si="27">U46</f>
        <v>6.75</v>
      </c>
      <c r="W46">
        <f t="shared" si="27"/>
        <v>6.75</v>
      </c>
      <c r="X46">
        <f t="shared" si="27"/>
        <v>6.75</v>
      </c>
      <c r="Y46">
        <f t="shared" si="27"/>
        <v>6.75</v>
      </c>
      <c r="Z46">
        <f t="shared" si="27"/>
        <v>6.75</v>
      </c>
      <c r="AA46">
        <f t="shared" si="27"/>
        <v>6.75</v>
      </c>
      <c r="AB46">
        <f t="shared" si="27"/>
        <v>6.75</v>
      </c>
      <c r="AC46">
        <f t="shared" si="27"/>
        <v>6.75</v>
      </c>
      <c r="AD46" s="105">
        <f>SUM(S46:AC46)</f>
        <v>69.5</v>
      </c>
      <c r="AF46" s="24" t="s">
        <v>32</v>
      </c>
      <c r="AG46">
        <v>2</v>
      </c>
      <c r="AH46">
        <v>2</v>
      </c>
      <c r="AI46">
        <v>2</v>
      </c>
      <c r="AJ46">
        <v>7</v>
      </c>
      <c r="AK46">
        <f>AJ46</f>
        <v>7</v>
      </c>
      <c r="AL46">
        <f t="shared" ref="AL46:AQ46" si="28">AK46</f>
        <v>7</v>
      </c>
      <c r="AM46">
        <f t="shared" si="28"/>
        <v>7</v>
      </c>
      <c r="AN46">
        <f t="shared" si="28"/>
        <v>7</v>
      </c>
      <c r="AO46">
        <f t="shared" si="28"/>
        <v>7</v>
      </c>
      <c r="AP46">
        <f t="shared" si="28"/>
        <v>7</v>
      </c>
      <c r="AQ46">
        <f t="shared" si="28"/>
        <v>7</v>
      </c>
      <c r="AR46" s="105">
        <f>SUM(AG46:AQ46)</f>
        <v>62</v>
      </c>
      <c r="AT46" s="24" t="s">
        <v>32</v>
      </c>
      <c r="AU46">
        <v>2</v>
      </c>
      <c r="AV46">
        <v>2</v>
      </c>
      <c r="AW46">
        <v>2</v>
      </c>
      <c r="AX46">
        <v>2</v>
      </c>
      <c r="AY46">
        <v>6</v>
      </c>
      <c r="AZ46">
        <f t="shared" ref="AZ46:BE46" si="29">AY46</f>
        <v>6</v>
      </c>
      <c r="BA46">
        <f t="shared" si="29"/>
        <v>6</v>
      </c>
      <c r="BB46">
        <f t="shared" si="29"/>
        <v>6</v>
      </c>
      <c r="BC46">
        <f t="shared" si="29"/>
        <v>6</v>
      </c>
      <c r="BD46">
        <f t="shared" si="29"/>
        <v>6</v>
      </c>
      <c r="BE46">
        <f t="shared" si="29"/>
        <v>6</v>
      </c>
      <c r="BF46" s="105">
        <f>SUM(AU46:BE46)</f>
        <v>50</v>
      </c>
    </row>
    <row r="47" spans="4:58" x14ac:dyDescent="0.3">
      <c r="D47" s="158"/>
      <c r="E47" s="158"/>
      <c r="F47" s="158"/>
      <c r="G47" s="158"/>
      <c r="H47" s="158"/>
      <c r="I47" s="158"/>
      <c r="J47" s="158"/>
      <c r="K47" s="158"/>
      <c r="L47" s="158"/>
      <c r="M47" s="158"/>
      <c r="N47" s="158"/>
      <c r="O47" s="158"/>
      <c r="P47" s="158"/>
      <c r="R47" s="24"/>
      <c r="AD47" s="25"/>
      <c r="AF47" s="24"/>
      <c r="AR47" s="25"/>
      <c r="AT47" s="24"/>
      <c r="BF47" s="25"/>
    </row>
    <row r="48" spans="4:58" x14ac:dyDescent="0.3">
      <c r="D48" s="158"/>
      <c r="E48" s="158"/>
      <c r="F48" s="158"/>
      <c r="G48" s="158"/>
      <c r="H48" s="158"/>
      <c r="I48" s="158"/>
      <c r="J48" s="158"/>
      <c r="K48" s="158"/>
      <c r="L48" s="158"/>
      <c r="M48" s="158"/>
      <c r="N48" s="158"/>
      <c r="O48" s="158"/>
      <c r="P48" s="158"/>
      <c r="R48" s="24"/>
      <c r="AD48" s="25"/>
      <c r="AF48" s="24"/>
      <c r="AR48" s="25"/>
      <c r="AT48" s="24"/>
      <c r="BF48" s="25"/>
    </row>
    <row r="49" spans="4:58" x14ac:dyDescent="0.3">
      <c r="D49" s="158"/>
      <c r="E49" s="158"/>
      <c r="F49" s="158"/>
      <c r="G49" s="158"/>
      <c r="H49" s="158"/>
      <c r="I49" s="158"/>
      <c r="J49" s="158"/>
      <c r="K49" s="158"/>
      <c r="L49" s="158"/>
      <c r="M49" s="158"/>
      <c r="N49" s="158"/>
      <c r="O49" s="158"/>
      <c r="P49" s="158"/>
      <c r="R49" s="24" t="s">
        <v>106</v>
      </c>
      <c r="S49">
        <v>0</v>
      </c>
      <c r="T49">
        <v>1</v>
      </c>
      <c r="U49">
        <v>2</v>
      </c>
      <c r="V49">
        <v>3</v>
      </c>
      <c r="W49">
        <v>4</v>
      </c>
      <c r="X49">
        <v>5</v>
      </c>
      <c r="Y49">
        <v>6</v>
      </c>
      <c r="Z49">
        <v>7</v>
      </c>
      <c r="AA49">
        <v>8</v>
      </c>
      <c r="AB49">
        <v>9</v>
      </c>
      <c r="AC49">
        <v>10</v>
      </c>
      <c r="AD49" s="25">
        <v>11</v>
      </c>
      <c r="AF49" s="24" t="s">
        <v>106</v>
      </c>
      <c r="AG49">
        <v>0</v>
      </c>
      <c r="AH49">
        <v>1</v>
      </c>
      <c r="AI49">
        <v>2</v>
      </c>
      <c r="AJ49">
        <v>3</v>
      </c>
      <c r="AK49">
        <v>4</v>
      </c>
      <c r="AL49">
        <v>5</v>
      </c>
      <c r="AM49">
        <v>6</v>
      </c>
      <c r="AN49">
        <v>7</v>
      </c>
      <c r="AO49">
        <v>8</v>
      </c>
      <c r="AP49">
        <v>9</v>
      </c>
      <c r="AQ49">
        <v>10</v>
      </c>
      <c r="AR49" s="25">
        <v>11</v>
      </c>
      <c r="AT49" s="24" t="s">
        <v>106</v>
      </c>
      <c r="AU49">
        <v>0</v>
      </c>
      <c r="AV49">
        <v>1</v>
      </c>
      <c r="AW49">
        <v>2</v>
      </c>
      <c r="AX49">
        <v>3</v>
      </c>
      <c r="AY49">
        <v>4</v>
      </c>
      <c r="AZ49">
        <v>5</v>
      </c>
      <c r="BA49">
        <v>6</v>
      </c>
      <c r="BB49">
        <v>7</v>
      </c>
      <c r="BC49">
        <v>8</v>
      </c>
      <c r="BD49">
        <v>9</v>
      </c>
      <c r="BE49">
        <v>10</v>
      </c>
      <c r="BF49" s="25">
        <v>11</v>
      </c>
    </row>
    <row r="50" spans="4:58" x14ac:dyDescent="0.3">
      <c r="D50" s="158"/>
      <c r="E50" s="158"/>
      <c r="F50" s="158"/>
      <c r="G50" s="158"/>
      <c r="H50" s="158"/>
      <c r="I50" s="158"/>
      <c r="J50" s="158"/>
      <c r="K50" s="158"/>
      <c r="L50" s="158"/>
      <c r="M50" s="158"/>
      <c r="N50" s="158"/>
      <c r="O50" s="158"/>
      <c r="P50" s="158"/>
      <c r="R50" s="24"/>
      <c r="AD50" s="25"/>
      <c r="AF50" s="24"/>
      <c r="AR50" s="25"/>
      <c r="AT50" s="24"/>
      <c r="BF50" s="25"/>
    </row>
    <row r="51" spans="4:58" x14ac:dyDescent="0.3">
      <c r="D51" s="158"/>
      <c r="E51" s="158"/>
      <c r="F51" s="158"/>
      <c r="G51" s="158"/>
      <c r="H51" s="158"/>
      <c r="I51" s="158"/>
      <c r="J51" s="158"/>
      <c r="K51" s="158"/>
      <c r="L51" s="158"/>
      <c r="M51" s="158"/>
      <c r="N51" s="158"/>
      <c r="O51" s="158"/>
      <c r="P51" s="158"/>
      <c r="R51" s="24" t="s">
        <v>107</v>
      </c>
      <c r="S51" s="33">
        <v>-0.15</v>
      </c>
      <c r="T51" s="33">
        <v>0.02</v>
      </c>
      <c r="U51" s="33">
        <v>0.08</v>
      </c>
      <c r="V51" s="33">
        <v>0.02</v>
      </c>
      <c r="W51" s="33">
        <v>0.08</v>
      </c>
      <c r="X51" s="33">
        <v>0.02</v>
      </c>
      <c r="Y51" s="33">
        <v>0.08</v>
      </c>
      <c r="Z51" s="33">
        <v>0.02</v>
      </c>
      <c r="AA51" s="33">
        <v>0.08</v>
      </c>
      <c r="AB51" s="33">
        <v>0.02</v>
      </c>
      <c r="AC51" s="33">
        <v>0.08</v>
      </c>
      <c r="AD51" s="34"/>
      <c r="AF51" s="24" t="s">
        <v>107</v>
      </c>
      <c r="AG51" s="33">
        <v>0.08</v>
      </c>
      <c r="AH51" s="33">
        <v>0.02</v>
      </c>
      <c r="AI51" s="33">
        <v>-0.15</v>
      </c>
      <c r="AJ51" s="33">
        <v>0.02</v>
      </c>
      <c r="AK51" s="33">
        <v>0.08</v>
      </c>
      <c r="AL51" s="33">
        <v>0.02</v>
      </c>
      <c r="AM51" s="33">
        <v>0.08</v>
      </c>
      <c r="AN51" s="33">
        <v>0.02</v>
      </c>
      <c r="AO51" s="33">
        <v>0.08</v>
      </c>
      <c r="AP51" s="33">
        <v>0.02</v>
      </c>
      <c r="AQ51" s="33">
        <v>0.08</v>
      </c>
      <c r="AR51" s="34"/>
      <c r="AT51" s="24" t="s">
        <v>107</v>
      </c>
      <c r="AU51" s="33">
        <v>0.08</v>
      </c>
      <c r="AV51" s="33">
        <v>0.02</v>
      </c>
      <c r="AW51" s="33">
        <v>0.08</v>
      </c>
      <c r="AX51" s="33">
        <v>-0.15</v>
      </c>
      <c r="AY51" s="33">
        <v>0.08</v>
      </c>
      <c r="AZ51" s="33">
        <v>0.02</v>
      </c>
      <c r="BA51" s="33">
        <v>0.08</v>
      </c>
      <c r="BB51" s="33">
        <v>0.02</v>
      </c>
      <c r="BC51" s="33">
        <v>0.08</v>
      </c>
      <c r="BD51" s="33">
        <v>0.02</v>
      </c>
      <c r="BE51" s="33">
        <v>0.08</v>
      </c>
      <c r="BF51" s="34"/>
    </row>
    <row r="52" spans="4:58" x14ac:dyDescent="0.3">
      <c r="D52" s="158"/>
      <c r="E52" s="158"/>
      <c r="F52" s="158"/>
      <c r="G52" s="158"/>
      <c r="H52" s="158"/>
      <c r="I52" s="158"/>
      <c r="J52" s="158"/>
      <c r="K52" s="158"/>
      <c r="L52" s="158"/>
      <c r="M52" s="158"/>
      <c r="N52" s="158"/>
      <c r="O52" s="158"/>
      <c r="P52" s="158"/>
      <c r="R52" s="24" t="s">
        <v>108</v>
      </c>
      <c r="S52" s="33">
        <v>0.05</v>
      </c>
      <c r="T52" s="33">
        <v>0.05</v>
      </c>
      <c r="U52" s="33">
        <v>0.05</v>
      </c>
      <c r="V52" s="33">
        <v>0.05</v>
      </c>
      <c r="W52" s="33">
        <v>0.05</v>
      </c>
      <c r="X52" s="33">
        <v>0.05</v>
      </c>
      <c r="Y52" s="33">
        <v>0.05</v>
      </c>
      <c r="Z52" s="33">
        <v>0.05</v>
      </c>
      <c r="AA52" s="33">
        <v>0.05</v>
      </c>
      <c r="AB52" s="33">
        <v>0.05</v>
      </c>
      <c r="AC52" s="33">
        <v>0.05</v>
      </c>
      <c r="AD52" s="34"/>
      <c r="AF52" s="24" t="s">
        <v>108</v>
      </c>
      <c r="AG52" s="33">
        <v>0.05</v>
      </c>
      <c r="AH52" s="33">
        <v>0.05</v>
      </c>
      <c r="AI52" s="33">
        <v>0.05</v>
      </c>
      <c r="AJ52" s="33">
        <v>0.05</v>
      </c>
      <c r="AK52" s="33">
        <v>0.05</v>
      </c>
      <c r="AL52" s="33">
        <v>0.05</v>
      </c>
      <c r="AM52" s="33">
        <v>0.05</v>
      </c>
      <c r="AN52" s="33">
        <v>0.05</v>
      </c>
      <c r="AO52" s="33">
        <v>0.05</v>
      </c>
      <c r="AP52" s="33">
        <v>0.05</v>
      </c>
      <c r="AQ52" s="33">
        <v>0.05</v>
      </c>
      <c r="AR52" s="34"/>
      <c r="AT52" s="24" t="s">
        <v>108</v>
      </c>
      <c r="AU52" s="33">
        <v>0.05</v>
      </c>
      <c r="AV52" s="33">
        <v>0.05</v>
      </c>
      <c r="AW52" s="33">
        <v>0.05</v>
      </c>
      <c r="AX52" s="33">
        <v>0.05</v>
      </c>
      <c r="AY52" s="33">
        <v>0.05</v>
      </c>
      <c r="AZ52" s="33">
        <v>0.05</v>
      </c>
      <c r="BA52" s="33">
        <v>0.05</v>
      </c>
      <c r="BB52" s="33">
        <v>0.05</v>
      </c>
      <c r="BC52" s="33">
        <v>0.05</v>
      </c>
      <c r="BD52" s="33">
        <v>0.05</v>
      </c>
      <c r="BE52" s="33">
        <v>0.05</v>
      </c>
      <c r="BF52" s="34"/>
    </row>
    <row r="53" spans="4:58" x14ac:dyDescent="0.3">
      <c r="D53" s="158"/>
      <c r="E53" s="158"/>
      <c r="F53" s="158"/>
      <c r="G53" s="158"/>
      <c r="H53" s="158"/>
      <c r="I53" s="158"/>
      <c r="J53" s="158"/>
      <c r="K53" s="158"/>
      <c r="L53" s="158"/>
      <c r="M53" s="158"/>
      <c r="N53" s="158"/>
      <c r="O53" s="158"/>
      <c r="P53" s="158"/>
      <c r="R53" s="24"/>
      <c r="AD53" s="25"/>
      <c r="AF53" s="24"/>
      <c r="AR53" s="25"/>
      <c r="AT53" s="24"/>
      <c r="BF53" s="25"/>
    </row>
    <row r="54" spans="4:58" x14ac:dyDescent="0.3">
      <c r="D54" s="158"/>
      <c r="E54" s="158"/>
      <c r="F54" s="158"/>
      <c r="G54" s="158"/>
      <c r="H54" s="158"/>
      <c r="I54" s="158"/>
      <c r="J54" s="158"/>
      <c r="K54" s="158"/>
      <c r="L54" s="158"/>
      <c r="M54" s="158"/>
      <c r="N54" s="158"/>
      <c r="O54" s="158"/>
      <c r="P54" s="158"/>
      <c r="R54" s="24"/>
      <c r="AD54" s="25"/>
      <c r="AF54" s="24"/>
      <c r="AR54" s="25"/>
      <c r="AT54" s="24"/>
      <c r="BF54" s="25"/>
    </row>
    <row r="55" spans="4:58" x14ac:dyDescent="0.3">
      <c r="D55" s="158"/>
      <c r="E55" s="158"/>
      <c r="F55" s="158"/>
      <c r="G55" s="158"/>
      <c r="H55" s="158"/>
      <c r="I55" s="158"/>
      <c r="J55" s="158"/>
      <c r="K55" s="158"/>
      <c r="L55" s="158"/>
      <c r="M55" s="158"/>
      <c r="N55" s="158"/>
      <c r="O55" s="158"/>
      <c r="P55" s="158"/>
      <c r="R55" s="24" t="s">
        <v>102</v>
      </c>
      <c r="AD55" s="25"/>
      <c r="AF55" s="24" t="s">
        <v>102</v>
      </c>
      <c r="AR55" s="25"/>
      <c r="AT55" s="24" t="s">
        <v>102</v>
      </c>
      <c r="BF55" s="25"/>
    </row>
    <row r="56" spans="4:58" x14ac:dyDescent="0.3">
      <c r="D56" s="158"/>
      <c r="E56" s="158"/>
      <c r="F56" s="158"/>
      <c r="G56" s="158"/>
      <c r="H56" s="158"/>
      <c r="I56" s="158"/>
      <c r="J56" s="158"/>
      <c r="K56" s="158"/>
      <c r="L56" s="158"/>
      <c r="M56" s="158"/>
      <c r="N56" s="158"/>
      <c r="O56" s="158"/>
      <c r="P56" s="158"/>
      <c r="R56" s="24" t="s">
        <v>109</v>
      </c>
      <c r="S56">
        <v>200</v>
      </c>
      <c r="T56">
        <f>(S56+S41-S$9)*(1+S51)</f>
        <v>185.29999999999998</v>
      </c>
      <c r="U56">
        <f t="shared" ref="U56:AD56" si="30">(T56+T41-T$9)*(1+T51)</f>
        <v>211.70099999999999</v>
      </c>
      <c r="V56">
        <f t="shared" si="30"/>
        <v>252.66708</v>
      </c>
      <c r="W56">
        <f t="shared" si="30"/>
        <v>280.4154216</v>
      </c>
      <c r="X56">
        <f t="shared" si="30"/>
        <v>326.87865532800004</v>
      </c>
      <c r="Y56">
        <f t="shared" si="30"/>
        <v>356.11122843456002</v>
      </c>
      <c r="Z56">
        <f t="shared" si="30"/>
        <v>408.63012670932483</v>
      </c>
      <c r="AA56">
        <f t="shared" si="30"/>
        <v>439.49772924351134</v>
      </c>
      <c r="AB56">
        <f t="shared" si="30"/>
        <v>498.68754758299229</v>
      </c>
      <c r="AC56">
        <f t="shared" si="30"/>
        <v>531.35629853465207</v>
      </c>
      <c r="AD56" s="25">
        <f t="shared" si="30"/>
        <v>597.89480241742433</v>
      </c>
      <c r="AF56" s="24" t="s">
        <v>109</v>
      </c>
      <c r="AG56">
        <v>200</v>
      </c>
      <c r="AH56">
        <f>(AG56+AG41-AG$9)*(1+AG51)</f>
        <v>235.44000000000003</v>
      </c>
      <c r="AI56">
        <f t="shared" ref="AI56:AQ56" si="31">(AH56+AH41-AH$9)*(1+AH51)</f>
        <v>258.50880000000001</v>
      </c>
      <c r="AJ56">
        <f t="shared" si="31"/>
        <v>235.03247999999999</v>
      </c>
      <c r="AK56">
        <f t="shared" si="31"/>
        <v>268.29312959999999</v>
      </c>
      <c r="AL56">
        <f t="shared" si="31"/>
        <v>319.99657996799999</v>
      </c>
      <c r="AM56">
        <f t="shared" si="31"/>
        <v>354.95651156736</v>
      </c>
      <c r="AN56">
        <f t="shared" si="31"/>
        <v>413.59303249274882</v>
      </c>
      <c r="AO56">
        <f t="shared" si="31"/>
        <v>450.42489314260382</v>
      </c>
      <c r="AP56">
        <f t="shared" si="31"/>
        <v>516.69888459401216</v>
      </c>
      <c r="AQ56">
        <f t="shared" si="31"/>
        <v>555.59286228589247</v>
      </c>
      <c r="AR56" s="25">
        <f>(AQ56+AQ41-AQ$9)*(1+AQ51)</f>
        <v>630.2802912687639</v>
      </c>
      <c r="AT56" s="24" t="s">
        <v>109</v>
      </c>
      <c r="AU56">
        <v>200</v>
      </c>
      <c r="AV56">
        <f>(AU56+AU41-AU$9)*(1+AU51)</f>
        <v>235.44000000000003</v>
      </c>
      <c r="AW56">
        <f t="shared" ref="AW56:BF56" si="32">(AV56+AV41-AV$9)*(1+AV51)</f>
        <v>258.50880000000001</v>
      </c>
      <c r="AX56">
        <f t="shared" si="32"/>
        <v>298.62950400000005</v>
      </c>
      <c r="AY56">
        <f t="shared" si="32"/>
        <v>269.13507840000005</v>
      </c>
      <c r="AZ56">
        <f t="shared" si="32"/>
        <v>319.82588467200009</v>
      </c>
      <c r="BA56">
        <f t="shared" si="32"/>
        <v>353.7624023654401</v>
      </c>
      <c r="BB56">
        <f t="shared" si="32"/>
        <v>411.22339455467534</v>
      </c>
      <c r="BC56">
        <f t="shared" si="32"/>
        <v>446.98786244576883</v>
      </c>
      <c r="BD56">
        <f t="shared" si="32"/>
        <v>511.90689144143039</v>
      </c>
      <c r="BE56">
        <f t="shared" si="32"/>
        <v>549.68502927025895</v>
      </c>
      <c r="BF56" s="25">
        <f t="shared" si="32"/>
        <v>622.81983161187975</v>
      </c>
    </row>
    <row r="57" spans="4:58" x14ac:dyDescent="0.3">
      <c r="D57" s="158"/>
      <c r="E57" s="158"/>
      <c r="F57" s="158"/>
      <c r="G57" s="158"/>
      <c r="H57" s="158"/>
      <c r="I57" s="158"/>
      <c r="J57" s="158"/>
      <c r="K57" s="158"/>
      <c r="L57" s="158"/>
      <c r="M57" s="158"/>
      <c r="N57" s="158"/>
      <c r="O57" s="158"/>
      <c r="P57" s="158"/>
      <c r="R57" s="24" t="s">
        <v>110</v>
      </c>
      <c r="S57">
        <v>200</v>
      </c>
      <c r="T57">
        <f>(S57+S39-S40)*(1+S52)</f>
        <v>228.9</v>
      </c>
      <c r="U57">
        <f t="shared" ref="U57:AD57" si="33">(T57+T39-T40)*(1+T52)</f>
        <v>259.245</v>
      </c>
      <c r="V57">
        <f t="shared" si="33"/>
        <v>291.10725000000002</v>
      </c>
      <c r="W57">
        <f t="shared" si="33"/>
        <v>324.56261250000006</v>
      </c>
      <c r="X57">
        <f t="shared" si="33"/>
        <v>359.6907431250001</v>
      </c>
      <c r="Y57">
        <f t="shared" si="33"/>
        <v>396.57528028125012</v>
      </c>
      <c r="Z57">
        <f t="shared" si="33"/>
        <v>435.30404429531262</v>
      </c>
      <c r="AA57">
        <f t="shared" si="33"/>
        <v>475.96924651007828</v>
      </c>
      <c r="AB57">
        <f t="shared" si="33"/>
        <v>518.66770883558218</v>
      </c>
      <c r="AC57">
        <f t="shared" si="33"/>
        <v>563.50109427736129</v>
      </c>
      <c r="AD57" s="25">
        <f t="shared" si="33"/>
        <v>610.57614899122939</v>
      </c>
      <c r="AF57" s="24" t="s">
        <v>110</v>
      </c>
      <c r="AG57">
        <v>200</v>
      </c>
      <c r="AH57">
        <f>(AG57+AG39-AG40)*(1+AG52)</f>
        <v>228.9</v>
      </c>
      <c r="AI57">
        <f t="shared" ref="AI57:AR57" si="34">(AH57+AH39-AH40)*(1+AH52)</f>
        <v>259.245</v>
      </c>
      <c r="AJ57">
        <f t="shared" si="34"/>
        <v>291.10725000000002</v>
      </c>
      <c r="AK57">
        <f t="shared" si="34"/>
        <v>324.56261250000006</v>
      </c>
      <c r="AL57">
        <f t="shared" si="34"/>
        <v>359.6907431250001</v>
      </c>
      <c r="AM57">
        <f t="shared" si="34"/>
        <v>396.57528028125012</v>
      </c>
      <c r="AN57">
        <f t="shared" si="34"/>
        <v>435.30404429531262</v>
      </c>
      <c r="AO57">
        <f t="shared" si="34"/>
        <v>475.96924651007828</v>
      </c>
      <c r="AP57">
        <f t="shared" si="34"/>
        <v>518.66770883558218</v>
      </c>
      <c r="AQ57">
        <f t="shared" si="34"/>
        <v>563.50109427736129</v>
      </c>
      <c r="AR57" s="25">
        <f t="shared" si="34"/>
        <v>610.57614899122939</v>
      </c>
      <c r="AT57" s="24" t="s">
        <v>110</v>
      </c>
      <c r="AU57">
        <v>200</v>
      </c>
      <c r="AV57">
        <f>(AU57+AU39-AU40)*(1+AU52)</f>
        <v>228.9</v>
      </c>
      <c r="AW57">
        <f t="shared" ref="AW57:BF57" si="35">(AV57+AV39-AV40)*(1+AV52)</f>
        <v>259.245</v>
      </c>
      <c r="AX57">
        <f t="shared" si="35"/>
        <v>291.10725000000002</v>
      </c>
      <c r="AY57">
        <f t="shared" si="35"/>
        <v>324.56261250000006</v>
      </c>
      <c r="AZ57">
        <f t="shared" si="35"/>
        <v>359.6907431250001</v>
      </c>
      <c r="BA57">
        <f t="shared" si="35"/>
        <v>396.57528028125012</v>
      </c>
      <c r="BB57">
        <f t="shared" si="35"/>
        <v>435.30404429531262</v>
      </c>
      <c r="BC57">
        <f t="shared" si="35"/>
        <v>475.96924651007828</v>
      </c>
      <c r="BD57">
        <f t="shared" si="35"/>
        <v>518.66770883558218</v>
      </c>
      <c r="BE57">
        <f t="shared" si="35"/>
        <v>563.50109427736129</v>
      </c>
      <c r="BF57" s="25">
        <f t="shared" si="35"/>
        <v>610.57614899122939</v>
      </c>
    </row>
    <row r="58" spans="4:58" x14ac:dyDescent="0.3">
      <c r="D58" s="158"/>
      <c r="E58" s="158"/>
      <c r="F58" s="158"/>
      <c r="G58" s="158"/>
      <c r="H58" s="158"/>
      <c r="I58" s="158"/>
      <c r="J58" s="158"/>
      <c r="K58" s="158"/>
      <c r="L58" s="158"/>
      <c r="M58" s="158"/>
      <c r="N58" s="158"/>
      <c r="O58" s="158"/>
      <c r="P58" s="158"/>
      <c r="R58" s="24" t="s">
        <v>111</v>
      </c>
      <c r="S58" s="31">
        <f t="shared" ref="S58:AD58" si="36">S56/S57</f>
        <v>1</v>
      </c>
      <c r="T58" s="31">
        <f t="shared" si="36"/>
        <v>0.80952380952380942</v>
      </c>
      <c r="U58" s="31">
        <f t="shared" si="36"/>
        <v>0.8166059133252328</v>
      </c>
      <c r="V58" s="31">
        <f t="shared" si="36"/>
        <v>0.86795186310200101</v>
      </c>
      <c r="W58" s="31">
        <f t="shared" si="36"/>
        <v>0.86397943201175076</v>
      </c>
      <c r="X58" s="31">
        <f t="shared" si="36"/>
        <v>0.90877694679621723</v>
      </c>
      <c r="Y58" s="31">
        <f t="shared" si="36"/>
        <v>0.89796627813515484</v>
      </c>
      <c r="Z58" s="31">
        <f t="shared" si="36"/>
        <v>0.93872347859949568</v>
      </c>
      <c r="AA58" s="31">
        <f t="shared" si="36"/>
        <v>0.92337421475445125</v>
      </c>
      <c r="AB58" s="31">
        <f t="shared" si="36"/>
        <v>0.96147791560526163</v>
      </c>
      <c r="AC58" s="31">
        <f t="shared" si="36"/>
        <v>0.94295522037285129</v>
      </c>
      <c r="AD58" s="106">
        <f t="shared" si="36"/>
        <v>0.97923052416188106</v>
      </c>
      <c r="AF58" s="24" t="s">
        <v>111</v>
      </c>
      <c r="AG58" s="31">
        <f t="shared" ref="AG58:AR58" si="37">AG56/AG57</f>
        <v>1</v>
      </c>
      <c r="AH58" s="31">
        <f t="shared" si="37"/>
        <v>1.0285714285714287</v>
      </c>
      <c r="AI58" s="31">
        <f t="shared" si="37"/>
        <v>0.99716021524040965</v>
      </c>
      <c r="AJ58" s="31">
        <f t="shared" si="37"/>
        <v>0.80737418940957317</v>
      </c>
      <c r="AK58" s="31">
        <f t="shared" si="37"/>
        <v>0.82662980659856478</v>
      </c>
      <c r="AL58" s="31">
        <f t="shared" si="37"/>
        <v>0.88964363438398097</v>
      </c>
      <c r="AM58" s="31">
        <f t="shared" si="37"/>
        <v>0.89505455638996412</v>
      </c>
      <c r="AN58" s="31">
        <f t="shared" si="37"/>
        <v>0.950124488648594</v>
      </c>
      <c r="AO58" s="31">
        <f t="shared" si="37"/>
        <v>0.94633192468889149</v>
      </c>
      <c r="AP58" s="31">
        <f t="shared" si="37"/>
        <v>0.99620407399953614</v>
      </c>
      <c r="AQ58" s="31">
        <f t="shared" si="37"/>
        <v>0.98596589772090792</v>
      </c>
      <c r="AR58" s="106">
        <f t="shared" si="37"/>
        <v>1.0322713920451838</v>
      </c>
      <c r="AT58" s="24" t="s">
        <v>111</v>
      </c>
      <c r="AU58" s="31">
        <f t="shared" ref="AU58:BF58" si="38">AU56/AU57</f>
        <v>1</v>
      </c>
      <c r="AV58" s="31">
        <f t="shared" si="38"/>
        <v>1.0285714285714287</v>
      </c>
      <c r="AW58" s="31">
        <f t="shared" si="38"/>
        <v>0.99716021524040965</v>
      </c>
      <c r="AX58" s="31">
        <f t="shared" si="38"/>
        <v>1.0258401465439284</v>
      </c>
      <c r="AY58" s="31">
        <f t="shared" si="38"/>
        <v>0.82922390945445079</v>
      </c>
      <c r="AZ58" s="31">
        <f t="shared" si="38"/>
        <v>0.88916907311360494</v>
      </c>
      <c r="BA58" s="31">
        <f t="shared" si="38"/>
        <v>0.892043503353393</v>
      </c>
      <c r="BB58" s="31">
        <f t="shared" si="38"/>
        <v>0.94468084995713741</v>
      </c>
      <c r="BC58" s="31">
        <f t="shared" si="38"/>
        <v>0.93911080542113179</v>
      </c>
      <c r="BD58" s="31">
        <f t="shared" si="38"/>
        <v>0.98696503121559287</v>
      </c>
      <c r="BE58" s="31">
        <f t="shared" si="38"/>
        <v>0.97548174236499008</v>
      </c>
      <c r="BF58" s="106">
        <f t="shared" si="38"/>
        <v>1.0200526709745852</v>
      </c>
    </row>
    <row r="59" spans="4:58" x14ac:dyDescent="0.3">
      <c r="D59" s="158"/>
      <c r="E59" s="158"/>
      <c r="F59" s="158"/>
      <c r="G59" s="158"/>
      <c r="H59" s="158"/>
      <c r="I59" s="158"/>
      <c r="J59" s="158"/>
      <c r="K59" s="158"/>
      <c r="L59" s="158"/>
      <c r="M59" s="158"/>
      <c r="N59" s="158"/>
      <c r="O59" s="158"/>
      <c r="P59" s="158"/>
      <c r="R59" s="24"/>
      <c r="AD59" s="25"/>
      <c r="AF59" s="24"/>
      <c r="AR59" s="25"/>
      <c r="AT59" s="24"/>
      <c r="BF59" s="25"/>
    </row>
    <row r="60" spans="4:58" x14ac:dyDescent="0.3">
      <c r="D60" s="158"/>
      <c r="E60" s="158"/>
      <c r="F60" s="158"/>
      <c r="G60" s="158"/>
      <c r="H60" s="158"/>
      <c r="I60" s="158"/>
      <c r="J60" s="158"/>
      <c r="K60" s="158"/>
      <c r="L60" s="158"/>
      <c r="M60" s="158"/>
      <c r="N60" s="158"/>
      <c r="O60" s="158"/>
      <c r="P60" s="158"/>
      <c r="R60" s="24"/>
      <c r="AD60" s="25"/>
      <c r="AF60" s="24"/>
      <c r="AR60" s="25"/>
      <c r="AT60" s="24"/>
      <c r="BF60" s="25"/>
    </row>
    <row r="61" spans="4:58" x14ac:dyDescent="0.3">
      <c r="D61" s="158"/>
      <c r="E61" s="158"/>
      <c r="F61" s="158"/>
      <c r="G61" s="158"/>
      <c r="H61" s="158"/>
      <c r="I61" s="158"/>
      <c r="J61" s="158"/>
      <c r="K61" s="158"/>
      <c r="L61" s="158"/>
      <c r="M61" s="158"/>
      <c r="N61" s="158"/>
      <c r="O61" s="158"/>
      <c r="P61" s="158"/>
      <c r="R61" s="24" t="s">
        <v>105</v>
      </c>
      <c r="AD61" s="25"/>
      <c r="AF61" s="24" t="s">
        <v>105</v>
      </c>
      <c r="AR61" s="25"/>
      <c r="AT61" s="24" t="s">
        <v>105</v>
      </c>
      <c r="BF61" s="25"/>
    </row>
    <row r="62" spans="4:58" x14ac:dyDescent="0.3">
      <c r="D62" s="158"/>
      <c r="E62" s="158"/>
      <c r="F62" s="158"/>
      <c r="G62" s="158"/>
      <c r="H62" s="158"/>
      <c r="I62" s="158"/>
      <c r="J62" s="158"/>
      <c r="K62" s="158"/>
      <c r="L62" s="158"/>
      <c r="M62" s="158"/>
      <c r="N62" s="158"/>
      <c r="O62" s="158"/>
      <c r="P62" s="158"/>
      <c r="R62" s="24" t="s">
        <v>109</v>
      </c>
      <c r="S62">
        <v>200</v>
      </c>
      <c r="T62">
        <f>(S62+S46-S45)*(1+S51)</f>
        <v>154.69999999999999</v>
      </c>
      <c r="U62">
        <f t="shared" ref="U62:AD62" si="39">(T62+T46-T45)*(1+T51)</f>
        <v>144.279</v>
      </c>
      <c r="V62">
        <f t="shared" si="39"/>
        <v>141.51132000000001</v>
      </c>
      <c r="W62">
        <f t="shared" si="39"/>
        <v>130.82654640000001</v>
      </c>
      <c r="X62">
        <f t="shared" si="39"/>
        <v>126.98267011200002</v>
      </c>
      <c r="Y62">
        <f t="shared" si="39"/>
        <v>116.00732351424003</v>
      </c>
      <c r="Z62">
        <f t="shared" si="39"/>
        <v>110.97790939537924</v>
      </c>
      <c r="AA62">
        <f t="shared" si="39"/>
        <v>99.682467583286822</v>
      </c>
      <c r="AB62">
        <f t="shared" si="39"/>
        <v>93.347064989949772</v>
      </c>
      <c r="AC62">
        <f t="shared" si="39"/>
        <v>81.699006289748766</v>
      </c>
      <c r="AD62" s="25">
        <f t="shared" si="39"/>
        <v>73.924926792928673</v>
      </c>
      <c r="AF62" s="24" t="s">
        <v>109</v>
      </c>
      <c r="AG62">
        <v>200</v>
      </c>
      <c r="AH62">
        <f>(AG62+AG46-AG45)*(1+AG51)</f>
        <v>196.56</v>
      </c>
      <c r="AI62">
        <f t="shared" ref="AI62:AR62" si="40">(AH62+AH46-AH45)*(1+AH51)</f>
        <v>182.13120000000001</v>
      </c>
      <c r="AJ62">
        <f t="shared" si="40"/>
        <v>139.51151999999999</v>
      </c>
      <c r="AK62">
        <f t="shared" si="40"/>
        <v>129.04175039999998</v>
      </c>
      <c r="AL62">
        <f t="shared" si="40"/>
        <v>125.325090432</v>
      </c>
      <c r="AM62">
        <f t="shared" si="40"/>
        <v>114.57159224064</v>
      </c>
      <c r="AN62">
        <f t="shared" si="40"/>
        <v>109.6973196198912</v>
      </c>
      <c r="AO62">
        <f t="shared" si="40"/>
        <v>98.631266012289032</v>
      </c>
      <c r="AP62">
        <f t="shared" si="40"/>
        <v>92.481767293272156</v>
      </c>
      <c r="AQ62">
        <f t="shared" si="40"/>
        <v>81.071402639137602</v>
      </c>
      <c r="AR62" s="25">
        <f t="shared" si="40"/>
        <v>73.517114850268612</v>
      </c>
      <c r="AT62" s="24" t="s">
        <v>109</v>
      </c>
      <c r="AU62">
        <v>200</v>
      </c>
      <c r="AV62">
        <f>(AU62+AU46-AU45)*(1+AU51)</f>
        <v>196.56</v>
      </c>
      <c r="AW62">
        <f t="shared" ref="AW62:BF62" si="41">(AV62+AV46-AV45)*(1+AV51)</f>
        <v>182.13120000000001</v>
      </c>
      <c r="AX62">
        <f t="shared" si="41"/>
        <v>177.26169600000003</v>
      </c>
      <c r="AY62">
        <f t="shared" si="41"/>
        <v>135.37244160000003</v>
      </c>
      <c r="AZ62">
        <f t="shared" si="41"/>
        <v>131.08223692800004</v>
      </c>
      <c r="BA62">
        <f t="shared" si="41"/>
        <v>119.42388166656005</v>
      </c>
      <c r="BB62">
        <f t="shared" si="41"/>
        <v>113.85779219988486</v>
      </c>
      <c r="BC62">
        <f t="shared" si="41"/>
        <v>101.85494804388256</v>
      </c>
      <c r="BD62">
        <f t="shared" si="41"/>
        <v>94.883343887393167</v>
      </c>
      <c r="BE62">
        <f t="shared" si="41"/>
        <v>82.501010765141032</v>
      </c>
      <c r="BF62" s="25">
        <f t="shared" si="41"/>
        <v>73.981091626352324</v>
      </c>
    </row>
    <row r="63" spans="4:58" x14ac:dyDescent="0.3">
      <c r="D63" s="158"/>
      <c r="E63" s="158"/>
      <c r="F63" s="158"/>
      <c r="G63" s="158"/>
      <c r="H63" s="158"/>
      <c r="I63" s="158"/>
      <c r="J63" s="158"/>
      <c r="K63" s="158"/>
      <c r="L63" s="158"/>
      <c r="M63" s="158"/>
      <c r="N63" s="158"/>
      <c r="O63" s="158"/>
      <c r="P63" s="158"/>
      <c r="R63" s="24" t="s">
        <v>110</v>
      </c>
      <c r="S63">
        <v>200</v>
      </c>
      <c r="T63">
        <f>(S63+S44-S45)*(1+S52)</f>
        <v>191.1</v>
      </c>
      <c r="U63">
        <f t="shared" ref="U63:AD63" si="42">(T63+T44-T45)*(1+T52)</f>
        <v>181.755</v>
      </c>
      <c r="V63">
        <f t="shared" si="42"/>
        <v>171.94274999999999</v>
      </c>
      <c r="W63">
        <f t="shared" si="42"/>
        <v>161.63988749999999</v>
      </c>
      <c r="X63">
        <f t="shared" si="42"/>
        <v>150.821881875</v>
      </c>
      <c r="Y63">
        <f t="shared" si="42"/>
        <v>139.46297596875002</v>
      </c>
      <c r="Z63">
        <f t="shared" si="42"/>
        <v>127.53612476718752</v>
      </c>
      <c r="AA63">
        <f t="shared" si="42"/>
        <v>115.0129310055469</v>
      </c>
      <c r="AB63">
        <f t="shared" si="42"/>
        <v>101.86357755582425</v>
      </c>
      <c r="AC63">
        <f t="shared" si="42"/>
        <v>88.056756433615462</v>
      </c>
      <c r="AD63" s="25">
        <f t="shared" si="42"/>
        <v>73.559594255296233</v>
      </c>
      <c r="AF63" s="24" t="s">
        <v>110</v>
      </c>
      <c r="AG63">
        <v>200</v>
      </c>
      <c r="AH63">
        <f>(AG63+AG44-AG45)*(1+AG52)</f>
        <v>191.1</v>
      </c>
      <c r="AI63">
        <f t="shared" ref="AI63:AR63" si="43">(AH63+AH44-AH45)*(1+AH52)</f>
        <v>181.755</v>
      </c>
      <c r="AJ63">
        <f t="shared" si="43"/>
        <v>171.94274999999999</v>
      </c>
      <c r="AK63">
        <f t="shared" si="43"/>
        <v>161.63988749999999</v>
      </c>
      <c r="AL63">
        <f t="shared" si="43"/>
        <v>150.821881875</v>
      </c>
      <c r="AM63">
        <f t="shared" si="43"/>
        <v>139.46297596875002</v>
      </c>
      <c r="AN63">
        <f t="shared" si="43"/>
        <v>127.53612476718752</v>
      </c>
      <c r="AO63">
        <f t="shared" si="43"/>
        <v>115.0129310055469</v>
      </c>
      <c r="AP63">
        <f t="shared" si="43"/>
        <v>101.86357755582425</v>
      </c>
      <c r="AQ63">
        <f t="shared" si="43"/>
        <v>88.056756433615462</v>
      </c>
      <c r="AR63" s="25">
        <f t="shared" si="43"/>
        <v>73.559594255296233</v>
      </c>
      <c r="AT63" s="24" t="s">
        <v>110</v>
      </c>
      <c r="AU63">
        <v>200</v>
      </c>
      <c r="AV63">
        <f>(AU63+AU44-AU45)*(1+AU52)</f>
        <v>191.1</v>
      </c>
      <c r="AW63">
        <f t="shared" ref="AW63:BF63" si="44">(AV63+AV44-AV45)*(1+AV52)</f>
        <v>181.755</v>
      </c>
      <c r="AX63">
        <f t="shared" si="44"/>
        <v>171.94274999999999</v>
      </c>
      <c r="AY63">
        <f t="shared" si="44"/>
        <v>161.63988749999999</v>
      </c>
      <c r="AZ63">
        <f t="shared" si="44"/>
        <v>150.821881875</v>
      </c>
      <c r="BA63">
        <f t="shared" si="44"/>
        <v>139.46297596875002</v>
      </c>
      <c r="BB63">
        <f t="shared" si="44"/>
        <v>127.53612476718752</v>
      </c>
      <c r="BC63">
        <f t="shared" si="44"/>
        <v>115.0129310055469</v>
      </c>
      <c r="BD63">
        <f t="shared" si="44"/>
        <v>101.86357755582425</v>
      </c>
      <c r="BE63">
        <f t="shared" si="44"/>
        <v>88.056756433615462</v>
      </c>
      <c r="BF63" s="25">
        <f t="shared" si="44"/>
        <v>73.559594255296233</v>
      </c>
    </row>
    <row r="64" spans="4:58" x14ac:dyDescent="0.3">
      <c r="D64" s="158"/>
      <c r="E64" s="158"/>
      <c r="F64" s="158"/>
      <c r="G64" s="158"/>
      <c r="H64" s="158"/>
      <c r="I64" s="158"/>
      <c r="J64" s="158"/>
      <c r="K64" s="158"/>
      <c r="L64" s="158"/>
      <c r="M64" s="158"/>
      <c r="N64" s="158"/>
      <c r="O64" s="158"/>
      <c r="P64" s="158"/>
      <c r="R64" s="47"/>
      <c r="S64" s="53">
        <f t="shared" ref="S64:AD64" si="45">S62/S63</f>
        <v>1</v>
      </c>
      <c r="T64" s="53">
        <f t="shared" si="45"/>
        <v>0.80952380952380953</v>
      </c>
      <c r="U64" s="53">
        <f t="shared" si="45"/>
        <v>0.79381034909631099</v>
      </c>
      <c r="V64" s="53">
        <f t="shared" si="45"/>
        <v>0.82301417186825276</v>
      </c>
      <c r="W64" s="53">
        <f t="shared" si="45"/>
        <v>0.80937043710822942</v>
      </c>
      <c r="X64" s="53">
        <f t="shared" si="45"/>
        <v>0.84193797699223949</v>
      </c>
      <c r="Y64" s="53">
        <f t="shared" si="45"/>
        <v>0.83181448487256016</v>
      </c>
      <c r="Z64" s="53">
        <f t="shared" si="45"/>
        <v>0.87016842951724716</v>
      </c>
      <c r="AA64" s="53">
        <f t="shared" si="45"/>
        <v>0.8667066103939155</v>
      </c>
      <c r="AB64" s="53">
        <f t="shared" si="45"/>
        <v>0.91639295644012519</v>
      </c>
      <c r="AC64" s="53">
        <f t="shared" si="45"/>
        <v>0.9277994057314648</v>
      </c>
      <c r="AD64" s="107">
        <f t="shared" si="45"/>
        <v>1.0049664838602088</v>
      </c>
      <c r="AF64" s="47"/>
      <c r="AG64" s="53">
        <f t="shared" ref="AG64:AR64" si="46">AG62/AG63</f>
        <v>1</v>
      </c>
      <c r="AH64" s="53">
        <f t="shared" si="46"/>
        <v>1.0285714285714287</v>
      </c>
      <c r="AI64" s="53">
        <f t="shared" si="46"/>
        <v>1.0020698192621937</v>
      </c>
      <c r="AJ64" s="53">
        <f t="shared" si="46"/>
        <v>0.81138355644538662</v>
      </c>
      <c r="AK64" s="53">
        <f t="shared" si="46"/>
        <v>0.79832863283822808</v>
      </c>
      <c r="AL64" s="53">
        <f t="shared" si="46"/>
        <v>0.83094766405227893</v>
      </c>
      <c r="AM64" s="53">
        <f t="shared" si="46"/>
        <v>0.82151977214592409</v>
      </c>
      <c r="AN64" s="53">
        <f t="shared" si="46"/>
        <v>0.86012743307152861</v>
      </c>
      <c r="AO64" s="53">
        <f t="shared" si="46"/>
        <v>0.85756675488543277</v>
      </c>
      <c r="AP64" s="53">
        <f t="shared" si="46"/>
        <v>0.90789828427721786</v>
      </c>
      <c r="AQ64" s="53">
        <f t="shared" si="46"/>
        <v>0.92067214286113297</v>
      </c>
      <c r="AR64" s="107">
        <f t="shared" si="46"/>
        <v>0.99942251713787067</v>
      </c>
      <c r="AT64" s="47"/>
      <c r="AU64" s="53">
        <f t="shared" ref="AU64:BF64" si="47">AU62/AU63</f>
        <v>1</v>
      </c>
      <c r="AV64" s="53">
        <f t="shared" si="47"/>
        <v>1.0285714285714287</v>
      </c>
      <c r="AW64" s="53">
        <f t="shared" si="47"/>
        <v>1.0020698192621937</v>
      </c>
      <c r="AX64" s="53">
        <f t="shared" si="47"/>
        <v>1.0309344011306092</v>
      </c>
      <c r="AY64" s="53">
        <f t="shared" si="47"/>
        <v>0.83749403500420061</v>
      </c>
      <c r="AZ64" s="53">
        <f t="shared" si="47"/>
        <v>0.8691194891510502</v>
      </c>
      <c r="BA64" s="53">
        <f t="shared" si="47"/>
        <v>0.85631244304810905</v>
      </c>
      <c r="BB64" s="53">
        <f t="shared" si="47"/>
        <v>0.89274934774541759</v>
      </c>
      <c r="BC64" s="53">
        <f t="shared" si="47"/>
        <v>0.88559562088692656</v>
      </c>
      <c r="BD64" s="53">
        <f t="shared" si="47"/>
        <v>0.93147468569316927</v>
      </c>
      <c r="BE64" s="53">
        <f t="shared" si="47"/>
        <v>0.93690721878152738</v>
      </c>
      <c r="BF64" s="107">
        <f t="shared" si="47"/>
        <v>1.0057300121802364</v>
      </c>
    </row>
    <row r="67" spans="30:58" x14ac:dyDescent="0.3">
      <c r="AD67">
        <f>AD41/AD10</f>
        <v>1.1931818181818181</v>
      </c>
      <c r="AR67">
        <f>AR41/AR10</f>
        <v>1.3636363636363635</v>
      </c>
      <c r="BF67">
        <f>BF41/BF10</f>
        <v>1.2863636363636364</v>
      </c>
    </row>
    <row r="69" spans="30:58" x14ac:dyDescent="0.3">
      <c r="AD69">
        <f>AD46/AD15</f>
        <v>3.1590909090909092</v>
      </c>
      <c r="AR69">
        <f>AR46/AR15</f>
        <v>2.8181818181818183</v>
      </c>
      <c r="BF69">
        <f>BF46/BF15</f>
        <v>2.2727272727272729</v>
      </c>
    </row>
  </sheetData>
  <mergeCells count="1">
    <mergeCell ref="D38:P6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227A-1204-40B7-B89C-F6FD2C3E6207}">
  <sheetPr>
    <tabColor theme="5" tint="0.39997558519241921"/>
  </sheetPr>
  <dimension ref="A1:J47"/>
  <sheetViews>
    <sheetView zoomScale="115" zoomScaleNormal="115" workbookViewId="0"/>
  </sheetViews>
  <sheetFormatPr defaultRowHeight="14.4" x14ac:dyDescent="0.3"/>
  <cols>
    <col min="1" max="1" width="24" customWidth="1"/>
    <col min="2" max="2" width="20.44140625" customWidth="1"/>
    <col min="3" max="3" width="19.77734375" customWidth="1"/>
  </cols>
  <sheetData>
    <row r="1" spans="1:2" x14ac:dyDescent="0.3">
      <c r="A1" s="177" t="s">
        <v>210</v>
      </c>
    </row>
    <row r="3" spans="1:2" x14ac:dyDescent="0.3">
      <c r="A3" s="4" t="s">
        <v>1</v>
      </c>
      <c r="B3" s="4"/>
    </row>
    <row r="4" spans="1:2" x14ac:dyDescent="0.3">
      <c r="A4" t="s">
        <v>136</v>
      </c>
    </row>
    <row r="6" spans="1:2" x14ac:dyDescent="0.3">
      <c r="A6" t="s">
        <v>137</v>
      </c>
    </row>
    <row r="7" spans="1:2" x14ac:dyDescent="0.3">
      <c r="A7" t="s">
        <v>138</v>
      </c>
    </row>
    <row r="8" spans="1:2" x14ac:dyDescent="0.3">
      <c r="A8" t="s">
        <v>139</v>
      </c>
    </row>
    <row r="9" spans="1:2" x14ac:dyDescent="0.3">
      <c r="A9" t="s">
        <v>140</v>
      </c>
    </row>
    <row r="10" spans="1:2" x14ac:dyDescent="0.3">
      <c r="A10" t="s">
        <v>141</v>
      </c>
    </row>
    <row r="12" spans="1:2" x14ac:dyDescent="0.3">
      <c r="A12" t="s">
        <v>142</v>
      </c>
    </row>
    <row r="13" spans="1:2" x14ac:dyDescent="0.3">
      <c r="A13" t="s">
        <v>143</v>
      </c>
    </row>
    <row r="14" spans="1:2" x14ac:dyDescent="0.3">
      <c r="A14" t="s">
        <v>144</v>
      </c>
    </row>
    <row r="17" spans="1:10" x14ac:dyDescent="0.3">
      <c r="A17" s="125" t="s">
        <v>145</v>
      </c>
      <c r="B17" s="126" t="s">
        <v>146</v>
      </c>
      <c r="C17" s="126" t="s">
        <v>147</v>
      </c>
    </row>
    <row r="18" spans="1:10" x14ac:dyDescent="0.3">
      <c r="A18" t="s">
        <v>148</v>
      </c>
      <c r="B18" s="6" t="s">
        <v>149</v>
      </c>
      <c r="C18" s="6" t="s">
        <v>149</v>
      </c>
      <c r="G18" s="124"/>
      <c r="H18" s="124"/>
      <c r="I18" s="124"/>
      <c r="J18" s="124"/>
    </row>
    <row r="19" spans="1:10" ht="28.8" x14ac:dyDescent="0.3">
      <c r="A19" s="10" t="s">
        <v>150</v>
      </c>
      <c r="B19" s="127" t="s">
        <v>151</v>
      </c>
      <c r="C19" s="6" t="s">
        <v>152</v>
      </c>
      <c r="G19" s="124"/>
      <c r="H19" s="124"/>
      <c r="I19" s="124"/>
      <c r="J19" s="124"/>
    </row>
    <row r="20" spans="1:10" x14ac:dyDescent="0.3">
      <c r="A20" t="s">
        <v>153</v>
      </c>
      <c r="B20" s="128">
        <v>1</v>
      </c>
      <c r="C20" s="128">
        <v>0.75</v>
      </c>
      <c r="G20" s="124"/>
      <c r="H20" s="124"/>
      <c r="I20" s="124"/>
      <c r="J20" s="124"/>
    </row>
    <row r="21" spans="1:10" x14ac:dyDescent="0.3">
      <c r="G21" s="124"/>
      <c r="H21" s="124"/>
      <c r="I21" s="124"/>
      <c r="J21" s="124"/>
    </row>
    <row r="22" spans="1:10" x14ac:dyDescent="0.3">
      <c r="G22" s="124"/>
      <c r="H22" s="124"/>
      <c r="I22" s="124"/>
      <c r="J22" s="124"/>
    </row>
    <row r="23" spans="1:10" x14ac:dyDescent="0.3">
      <c r="G23" s="124"/>
      <c r="H23" s="124"/>
      <c r="I23" s="124"/>
      <c r="J23" s="124"/>
    </row>
    <row r="24" spans="1:10" x14ac:dyDescent="0.3">
      <c r="B24" s="129"/>
      <c r="C24" s="129"/>
      <c r="G24" s="124"/>
      <c r="H24" s="124"/>
      <c r="I24" s="124"/>
      <c r="J24" s="124"/>
    </row>
    <row r="25" spans="1:10" x14ac:dyDescent="0.3">
      <c r="A25" s="125" t="s">
        <v>154</v>
      </c>
      <c r="B25" s="126" t="s">
        <v>155</v>
      </c>
      <c r="C25" s="126" t="s">
        <v>156</v>
      </c>
      <c r="G25" s="124"/>
      <c r="H25" s="124"/>
      <c r="I25" s="124"/>
      <c r="J25" s="124"/>
    </row>
    <row r="26" spans="1:10" x14ac:dyDescent="0.3">
      <c r="A26" t="s">
        <v>3</v>
      </c>
      <c r="B26" s="6">
        <v>45</v>
      </c>
      <c r="C26" s="6">
        <v>45</v>
      </c>
      <c r="G26" s="124"/>
      <c r="H26" s="124"/>
      <c r="I26" s="124"/>
      <c r="J26" s="124"/>
    </row>
    <row r="27" spans="1:10" x14ac:dyDescent="0.3">
      <c r="A27" t="s">
        <v>157</v>
      </c>
      <c r="B27" s="6">
        <v>60</v>
      </c>
      <c r="C27" s="6">
        <v>60</v>
      </c>
      <c r="G27" s="124"/>
      <c r="H27" s="124"/>
      <c r="I27" s="124"/>
      <c r="J27" s="124"/>
    </row>
    <row r="28" spans="1:10" x14ac:dyDescent="0.3">
      <c r="A28" t="s">
        <v>158</v>
      </c>
      <c r="B28" s="130">
        <v>170000</v>
      </c>
      <c r="C28" s="130">
        <v>35000</v>
      </c>
      <c r="G28" s="124"/>
      <c r="H28" s="124"/>
      <c r="I28" s="124"/>
      <c r="J28" s="124"/>
    </row>
    <row r="29" spans="1:10" x14ac:dyDescent="0.3">
      <c r="A29" t="s">
        <v>159</v>
      </c>
      <c r="B29" s="130">
        <v>7000</v>
      </c>
      <c r="C29" s="130">
        <v>0</v>
      </c>
      <c r="G29" s="124"/>
      <c r="H29" s="124"/>
      <c r="I29" s="124"/>
      <c r="J29" s="124"/>
    </row>
    <row r="30" spans="1:10" x14ac:dyDescent="0.3">
      <c r="A30" t="s">
        <v>160</v>
      </c>
      <c r="B30" s="130">
        <v>3000</v>
      </c>
      <c r="C30" s="130">
        <v>0</v>
      </c>
      <c r="G30" s="124"/>
      <c r="H30" s="124"/>
      <c r="I30" s="124"/>
      <c r="J30" s="124"/>
    </row>
    <row r="31" spans="1:10" x14ac:dyDescent="0.3">
      <c r="G31" s="124"/>
      <c r="H31" s="124"/>
      <c r="I31" s="124"/>
      <c r="J31" s="124"/>
    </row>
    <row r="32" spans="1:10" x14ac:dyDescent="0.3">
      <c r="A32" s="4"/>
      <c r="B32" s="129"/>
      <c r="C32" s="129"/>
      <c r="G32" s="124"/>
      <c r="H32" s="124"/>
      <c r="I32" s="124"/>
      <c r="J32" s="124"/>
    </row>
    <row r="33" spans="1:10" x14ac:dyDescent="0.3">
      <c r="A33" s="125" t="s">
        <v>161</v>
      </c>
      <c r="B33" s="126" t="s">
        <v>155</v>
      </c>
      <c r="C33" s="126" t="s">
        <v>156</v>
      </c>
      <c r="G33" s="124"/>
      <c r="H33" s="124"/>
      <c r="I33" s="124"/>
      <c r="J33" s="124"/>
    </row>
    <row r="34" spans="1:10" x14ac:dyDescent="0.3">
      <c r="A34" t="s">
        <v>162</v>
      </c>
      <c r="B34" s="128">
        <v>0.05</v>
      </c>
      <c r="C34" s="6" t="s">
        <v>163</v>
      </c>
      <c r="G34" s="124"/>
      <c r="H34" s="124"/>
      <c r="I34" s="124"/>
      <c r="J34" s="124"/>
    </row>
    <row r="35" spans="1:10" x14ac:dyDescent="0.3">
      <c r="A35" t="s">
        <v>164</v>
      </c>
      <c r="B35" s="128">
        <v>2.5000000000000001E-2</v>
      </c>
      <c r="C35" s="6" t="s">
        <v>163</v>
      </c>
      <c r="G35" s="124"/>
      <c r="H35" s="124"/>
      <c r="I35" s="124"/>
      <c r="J35" s="124"/>
    </row>
    <row r="36" spans="1:10" x14ac:dyDescent="0.3">
      <c r="A36" t="s">
        <v>165</v>
      </c>
      <c r="B36" s="128">
        <v>0.02</v>
      </c>
      <c r="C36" s="6" t="s">
        <v>163</v>
      </c>
      <c r="G36" s="124"/>
      <c r="H36" s="124"/>
      <c r="I36" s="124"/>
      <c r="J36" s="124"/>
    </row>
    <row r="37" spans="1:10" x14ac:dyDescent="0.3">
      <c r="A37" t="s">
        <v>166</v>
      </c>
      <c r="B37" s="128">
        <v>0.4</v>
      </c>
      <c r="C37" s="131">
        <v>0.25</v>
      </c>
      <c r="E37" s="4"/>
      <c r="G37" s="124"/>
      <c r="H37" s="124"/>
      <c r="I37" s="124"/>
      <c r="J37" s="124"/>
    </row>
    <row r="38" spans="1:10" x14ac:dyDescent="0.3">
      <c r="A38" t="s">
        <v>167</v>
      </c>
      <c r="B38" s="128">
        <v>0.25</v>
      </c>
      <c r="C38" s="131">
        <v>0.15</v>
      </c>
      <c r="G38" s="124"/>
      <c r="H38" s="124"/>
      <c r="I38" s="124"/>
      <c r="J38" s="124"/>
    </row>
    <row r="39" spans="1:10" x14ac:dyDescent="0.3">
      <c r="G39" s="124"/>
      <c r="H39" s="124"/>
      <c r="I39" s="124"/>
      <c r="J39" s="124"/>
    </row>
    <row r="40" spans="1:10" x14ac:dyDescent="0.3">
      <c r="A40" s="7" t="s">
        <v>168</v>
      </c>
      <c r="G40" s="124"/>
      <c r="H40" s="124"/>
      <c r="I40" s="124"/>
      <c r="J40" s="124"/>
    </row>
    <row r="41" spans="1:10" x14ac:dyDescent="0.3">
      <c r="A41" t="s">
        <v>169</v>
      </c>
      <c r="B41" s="132">
        <v>7000</v>
      </c>
      <c r="G41" s="124"/>
      <c r="H41" s="124"/>
      <c r="I41" s="124"/>
      <c r="J41" s="124"/>
    </row>
    <row r="42" spans="1:10" x14ac:dyDescent="0.3">
      <c r="A42" t="s">
        <v>170</v>
      </c>
      <c r="B42" s="132">
        <v>32000</v>
      </c>
      <c r="G42" s="124"/>
      <c r="H42" s="124"/>
      <c r="I42" s="124"/>
      <c r="J42" s="124"/>
    </row>
    <row r="43" spans="1:10" x14ac:dyDescent="0.3">
      <c r="G43" s="124"/>
      <c r="H43" s="124"/>
      <c r="I43" s="124"/>
      <c r="J43" s="124"/>
    </row>
    <row r="44" spans="1:10" x14ac:dyDescent="0.3">
      <c r="A44" t="s">
        <v>171</v>
      </c>
      <c r="I44" s="124"/>
      <c r="J44" s="124"/>
    </row>
    <row r="45" spans="1:10" x14ac:dyDescent="0.3">
      <c r="A45" t="s">
        <v>172</v>
      </c>
    </row>
    <row r="46" spans="1:10" x14ac:dyDescent="0.3">
      <c r="A46" t="s">
        <v>173</v>
      </c>
      <c r="G46" s="124"/>
      <c r="H46" s="124"/>
      <c r="I46" s="124"/>
      <c r="J46" s="124"/>
    </row>
    <row r="47" spans="1:10" x14ac:dyDescent="0.3">
      <c r="A47" t="s">
        <v>174</v>
      </c>
      <c r="G47" s="124"/>
      <c r="H47" s="124"/>
      <c r="I47" s="124"/>
      <c r="J47" s="12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5CA1-6B0B-48D2-96DE-94604976BE08}">
  <sheetPr>
    <tabColor theme="9" tint="0.59999389629810485"/>
  </sheetPr>
  <dimension ref="A1:O92"/>
  <sheetViews>
    <sheetView zoomScale="115" zoomScaleNormal="115" workbookViewId="0"/>
  </sheetViews>
  <sheetFormatPr defaultRowHeight="14.4" x14ac:dyDescent="0.3"/>
  <cols>
    <col min="1" max="1" width="20" customWidth="1"/>
    <col min="2" max="2" width="20.5546875" customWidth="1"/>
    <col min="3" max="3" width="21.21875" customWidth="1"/>
    <col min="4" max="5" width="9" bestFit="1" customWidth="1"/>
    <col min="6" max="6" width="10.21875" bestFit="1" customWidth="1"/>
    <col min="7" max="7" width="12.21875" bestFit="1" customWidth="1"/>
    <col min="9" max="13" width="9" bestFit="1" customWidth="1"/>
    <col min="14" max="14" width="13.33203125" bestFit="1" customWidth="1"/>
    <col min="15" max="15" width="9.6640625" bestFit="1" customWidth="1"/>
  </cols>
  <sheetData>
    <row r="1" spans="1:13" x14ac:dyDescent="0.3">
      <c r="A1" s="177" t="s">
        <v>210</v>
      </c>
    </row>
    <row r="3" spans="1:13" x14ac:dyDescent="0.3">
      <c r="A3" s="4" t="s">
        <v>1</v>
      </c>
    </row>
    <row r="4" spans="1:13" x14ac:dyDescent="0.3">
      <c r="A4" t="s">
        <v>136</v>
      </c>
    </row>
    <row r="6" spans="1:13" x14ac:dyDescent="0.3">
      <c r="A6" s="125" t="s">
        <v>145</v>
      </c>
      <c r="B6" s="126" t="s">
        <v>146</v>
      </c>
      <c r="C6" s="126" t="s">
        <v>147</v>
      </c>
    </row>
    <row r="7" spans="1:13" x14ac:dyDescent="0.3">
      <c r="A7" t="s">
        <v>148</v>
      </c>
      <c r="B7" s="6" t="s">
        <v>149</v>
      </c>
      <c r="C7" s="6" t="s">
        <v>149</v>
      </c>
    </row>
    <row r="8" spans="1:13" ht="28.8" x14ac:dyDescent="0.3">
      <c r="A8" s="10" t="s">
        <v>150</v>
      </c>
      <c r="B8" s="127" t="s">
        <v>151</v>
      </c>
      <c r="C8" s="6" t="s">
        <v>152</v>
      </c>
    </row>
    <row r="9" spans="1:13" x14ac:dyDescent="0.3">
      <c r="A9" t="s">
        <v>153</v>
      </c>
      <c r="B9" s="128">
        <v>1</v>
      </c>
      <c r="C9" s="128">
        <v>0.75</v>
      </c>
    </row>
    <row r="13" spans="1:13" x14ac:dyDescent="0.3">
      <c r="B13" s="129"/>
      <c r="C13" s="129"/>
    </row>
    <row r="14" spans="1:13" x14ac:dyDescent="0.3">
      <c r="A14" s="125" t="s">
        <v>154</v>
      </c>
      <c r="B14" s="126" t="s">
        <v>155</v>
      </c>
      <c r="C14" s="126" t="s">
        <v>156</v>
      </c>
      <c r="G14" s="124"/>
      <c r="H14" s="124"/>
      <c r="I14" s="124"/>
      <c r="J14" s="124"/>
      <c r="K14" s="124"/>
      <c r="L14" s="124"/>
      <c r="M14" s="124"/>
    </row>
    <row r="15" spans="1:13" x14ac:dyDescent="0.3">
      <c r="A15" t="s">
        <v>3</v>
      </c>
      <c r="B15" s="6">
        <v>45</v>
      </c>
      <c r="C15" s="6">
        <v>45</v>
      </c>
      <c r="G15" s="124"/>
      <c r="H15" s="124"/>
      <c r="I15" s="124"/>
      <c r="J15" s="124"/>
      <c r="K15" s="124"/>
      <c r="L15" s="124"/>
      <c r="M15" s="124"/>
    </row>
    <row r="16" spans="1:13" x14ac:dyDescent="0.3">
      <c r="A16" t="s">
        <v>157</v>
      </c>
      <c r="B16" s="6">
        <v>60</v>
      </c>
      <c r="C16" s="6">
        <v>60</v>
      </c>
      <c r="G16" s="124"/>
      <c r="H16" s="124"/>
      <c r="I16" s="124"/>
      <c r="J16" s="124"/>
      <c r="K16" s="124"/>
      <c r="L16" s="124"/>
      <c r="M16" s="124"/>
    </row>
    <row r="17" spans="1:13" x14ac:dyDescent="0.3">
      <c r="A17" t="s">
        <v>158</v>
      </c>
      <c r="B17" s="130">
        <v>170000</v>
      </c>
      <c r="C17" s="130">
        <v>35000</v>
      </c>
      <c r="G17" s="124"/>
      <c r="H17" s="124"/>
      <c r="I17" s="124"/>
      <c r="J17" s="124"/>
      <c r="K17" s="124"/>
      <c r="L17" s="124"/>
      <c r="M17" s="124"/>
    </row>
    <row r="18" spans="1:13" x14ac:dyDescent="0.3">
      <c r="A18" t="s">
        <v>159</v>
      </c>
      <c r="B18" s="130">
        <v>7000</v>
      </c>
      <c r="C18" s="130">
        <v>0</v>
      </c>
      <c r="G18" s="124"/>
      <c r="H18" s="124"/>
      <c r="I18" s="124"/>
      <c r="J18" s="124"/>
      <c r="K18" s="124"/>
      <c r="L18" s="124"/>
      <c r="M18" s="124"/>
    </row>
    <row r="19" spans="1:13" x14ac:dyDescent="0.3">
      <c r="A19" t="s">
        <v>160</v>
      </c>
      <c r="B19" s="130">
        <v>3000</v>
      </c>
      <c r="C19" s="130">
        <v>0</v>
      </c>
      <c r="G19" s="124"/>
      <c r="H19" s="124"/>
      <c r="I19" s="124"/>
      <c r="J19" s="124"/>
      <c r="K19" s="124"/>
      <c r="L19" s="124"/>
      <c r="M19" s="124"/>
    </row>
    <row r="20" spans="1:13" x14ac:dyDescent="0.3">
      <c r="G20" s="124"/>
      <c r="H20" s="124"/>
      <c r="I20" s="124"/>
      <c r="J20" s="124"/>
      <c r="K20" s="124"/>
      <c r="L20" s="124"/>
      <c r="M20" s="124"/>
    </row>
    <row r="21" spans="1:13" x14ac:dyDescent="0.3">
      <c r="A21" s="4"/>
      <c r="B21" s="129"/>
      <c r="C21" s="129"/>
      <c r="G21" s="124"/>
      <c r="H21" s="124"/>
      <c r="I21" s="124"/>
      <c r="J21" s="124"/>
      <c r="K21" s="124"/>
      <c r="L21" s="124"/>
      <c r="M21" s="124"/>
    </row>
    <row r="22" spans="1:13" x14ac:dyDescent="0.3">
      <c r="A22" s="125" t="s">
        <v>161</v>
      </c>
      <c r="B22" s="126" t="s">
        <v>155</v>
      </c>
      <c r="C22" s="126" t="s">
        <v>156</v>
      </c>
      <c r="G22" s="124"/>
      <c r="H22" s="124"/>
      <c r="I22" s="124"/>
      <c r="J22" s="124"/>
      <c r="K22" s="124"/>
      <c r="L22" s="124"/>
      <c r="M22" s="124"/>
    </row>
    <row r="23" spans="1:13" x14ac:dyDescent="0.3">
      <c r="A23" t="s">
        <v>162</v>
      </c>
      <c r="B23" s="128">
        <v>0.05</v>
      </c>
      <c r="C23" s="6" t="s">
        <v>163</v>
      </c>
      <c r="G23" s="124"/>
      <c r="H23" s="124"/>
      <c r="I23" s="124"/>
      <c r="J23" s="124"/>
      <c r="K23" s="124"/>
      <c r="L23" s="124"/>
      <c r="M23" s="124"/>
    </row>
    <row r="24" spans="1:13" x14ac:dyDescent="0.3">
      <c r="A24" t="s">
        <v>164</v>
      </c>
      <c r="B24" s="128">
        <v>2.5000000000000001E-2</v>
      </c>
      <c r="C24" s="6" t="s">
        <v>163</v>
      </c>
      <c r="G24" s="124"/>
      <c r="H24" s="124"/>
      <c r="I24" s="124"/>
      <c r="J24" s="124"/>
      <c r="K24" s="124"/>
      <c r="L24" s="124"/>
      <c r="M24" s="124"/>
    </row>
    <row r="25" spans="1:13" x14ac:dyDescent="0.3">
      <c r="A25" t="s">
        <v>165</v>
      </c>
      <c r="B25" s="128">
        <v>0.02</v>
      </c>
      <c r="C25" s="6" t="s">
        <v>163</v>
      </c>
      <c r="G25" s="124"/>
      <c r="H25" s="124"/>
      <c r="I25" s="124"/>
      <c r="J25" s="124"/>
      <c r="K25" s="124"/>
      <c r="L25" s="124"/>
      <c r="M25" s="124"/>
    </row>
    <row r="26" spans="1:13" x14ac:dyDescent="0.3">
      <c r="A26" t="s">
        <v>166</v>
      </c>
      <c r="B26" s="128">
        <v>0.4</v>
      </c>
      <c r="C26" s="131">
        <v>0.25</v>
      </c>
      <c r="G26" s="124"/>
      <c r="H26" s="124"/>
      <c r="I26" s="124"/>
      <c r="J26" s="124"/>
      <c r="K26" s="124"/>
      <c r="L26" s="124"/>
      <c r="M26" s="124"/>
    </row>
    <row r="27" spans="1:13" x14ac:dyDescent="0.3">
      <c r="A27" t="s">
        <v>167</v>
      </c>
      <c r="B27" s="128">
        <v>0.25</v>
      </c>
      <c r="C27" s="131">
        <v>0.15</v>
      </c>
      <c r="G27" s="124"/>
      <c r="H27" s="124"/>
      <c r="I27" s="124"/>
      <c r="J27" s="124"/>
      <c r="K27" s="124"/>
      <c r="L27" s="124"/>
      <c r="M27" s="124"/>
    </row>
    <row r="28" spans="1:13" x14ac:dyDescent="0.3">
      <c r="G28" s="124"/>
      <c r="H28" s="124"/>
      <c r="I28" s="124"/>
      <c r="J28" s="124"/>
      <c r="K28" s="124"/>
      <c r="L28" s="124"/>
      <c r="M28" s="124"/>
    </row>
    <row r="29" spans="1:13" x14ac:dyDescent="0.3">
      <c r="A29" s="7" t="s">
        <v>168</v>
      </c>
      <c r="G29" s="124"/>
      <c r="H29" s="124"/>
      <c r="I29" s="124"/>
      <c r="J29" s="124"/>
      <c r="K29" s="124"/>
      <c r="L29" s="124"/>
      <c r="M29" s="124"/>
    </row>
    <row r="30" spans="1:13" x14ac:dyDescent="0.3">
      <c r="A30" t="s">
        <v>169</v>
      </c>
      <c r="B30" s="132">
        <v>7000</v>
      </c>
      <c r="G30" s="124"/>
      <c r="H30" s="124"/>
      <c r="I30" s="124"/>
      <c r="J30" s="124"/>
      <c r="K30" s="124"/>
      <c r="L30" s="124"/>
      <c r="M30" s="124"/>
    </row>
    <row r="31" spans="1:13" x14ac:dyDescent="0.3">
      <c r="A31" t="s">
        <v>170</v>
      </c>
      <c r="B31" s="132">
        <v>32000</v>
      </c>
      <c r="G31" s="124"/>
      <c r="H31" s="124"/>
      <c r="I31" s="124"/>
      <c r="J31" s="124"/>
      <c r="K31" s="124"/>
      <c r="L31" s="124"/>
      <c r="M31" s="124"/>
    </row>
    <row r="32" spans="1:13" x14ac:dyDescent="0.3">
      <c r="B32" s="132"/>
      <c r="G32" s="124"/>
      <c r="H32" s="124"/>
      <c r="I32" s="124"/>
      <c r="J32" s="124"/>
      <c r="K32" s="124"/>
      <c r="L32" s="124"/>
      <c r="M32" s="124"/>
    </row>
    <row r="33" spans="1:14" x14ac:dyDescent="0.3">
      <c r="G33" s="124"/>
      <c r="H33" s="124"/>
      <c r="I33" s="124"/>
      <c r="J33" s="124"/>
      <c r="K33" s="124"/>
      <c r="L33" s="124"/>
      <c r="M33" s="124"/>
    </row>
    <row r="34" spans="1:14" x14ac:dyDescent="0.3">
      <c r="A34" s="7" t="s">
        <v>175</v>
      </c>
    </row>
    <row r="35" spans="1:14" x14ac:dyDescent="0.3">
      <c r="A35" s="7"/>
    </row>
    <row r="36" spans="1:14" x14ac:dyDescent="0.3">
      <c r="A36" s="159" t="s">
        <v>176</v>
      </c>
      <c r="B36" s="160"/>
      <c r="C36" s="160"/>
      <c r="D36" s="160"/>
      <c r="E36" s="160"/>
      <c r="F36" s="161"/>
      <c r="I36" s="159" t="s">
        <v>177</v>
      </c>
      <c r="J36" s="160"/>
      <c r="K36" s="160"/>
      <c r="L36" s="160"/>
      <c r="M36" s="160"/>
      <c r="N36" s="161"/>
    </row>
    <row r="37" spans="1:14" ht="28.8" x14ac:dyDescent="0.3">
      <c r="A37" s="133" t="s">
        <v>3</v>
      </c>
      <c r="B37" s="133" t="s">
        <v>178</v>
      </c>
      <c r="C37" s="133" t="s">
        <v>179</v>
      </c>
      <c r="D37" s="133" t="s">
        <v>180</v>
      </c>
      <c r="E37" s="133" t="s">
        <v>181</v>
      </c>
      <c r="F37" s="134" t="s">
        <v>182</v>
      </c>
      <c r="I37" s="133" t="s">
        <v>3</v>
      </c>
      <c r="J37" s="133" t="s">
        <v>178</v>
      </c>
      <c r="K37" s="133" t="s">
        <v>179</v>
      </c>
      <c r="L37" s="133" t="s">
        <v>180</v>
      </c>
      <c r="M37" s="133" t="s">
        <v>181</v>
      </c>
      <c r="N37" s="134" t="s">
        <v>182</v>
      </c>
    </row>
    <row r="38" spans="1:14" x14ac:dyDescent="0.3">
      <c r="A38" s="6">
        <f>B15</f>
        <v>45</v>
      </c>
      <c r="B38" s="130">
        <f>B17</f>
        <v>170000</v>
      </c>
      <c r="C38" s="130">
        <f>MIN(B31,0.18*B17)</f>
        <v>30600</v>
      </c>
      <c r="D38" s="130">
        <f>0.5*C38+B18</f>
        <v>22300</v>
      </c>
      <c r="E38" s="130">
        <f>0.5*C38</f>
        <v>15300</v>
      </c>
      <c r="F38" s="130">
        <f>D38+E38</f>
        <v>37600</v>
      </c>
      <c r="I38" s="6">
        <f>C15</f>
        <v>45</v>
      </c>
      <c r="J38" s="130">
        <f>C17</f>
        <v>35000</v>
      </c>
      <c r="K38" s="130">
        <f>MIN(B31,J38*0.18)</f>
        <v>6300</v>
      </c>
      <c r="L38" s="130">
        <f>0.5*K38</f>
        <v>3150</v>
      </c>
      <c r="M38" s="130">
        <f>0.5*K38</f>
        <v>3150</v>
      </c>
      <c r="N38" s="130">
        <f>L38+M38</f>
        <v>6300</v>
      </c>
    </row>
    <row r="39" spans="1:14" x14ac:dyDescent="0.3">
      <c r="A39" s="6">
        <f t="shared" ref="A39:A52" si="0">A38+1</f>
        <v>46</v>
      </c>
      <c r="B39" s="130">
        <f t="shared" ref="B39:B52" si="1">B38*(1+$B$24)</f>
        <v>174249.99999999997</v>
      </c>
      <c r="C39" s="130">
        <f t="shared" ref="C39:C52" si="2">MIN($B$31*(1+$B$25)^(A39-$A$38),0.18*B39)</f>
        <v>31364.999999999993</v>
      </c>
      <c r="D39" s="130">
        <f t="shared" ref="D39:D52" si="3">C39/2</f>
        <v>15682.499999999996</v>
      </c>
      <c r="E39" s="130">
        <f t="shared" ref="E39:E52" si="4">D39</f>
        <v>15682.499999999996</v>
      </c>
      <c r="F39" s="130">
        <f t="shared" ref="F39:F52" si="5">(F38*(1+$B$23))+D39+E39</f>
        <v>70845</v>
      </c>
      <c r="I39" s="6">
        <f t="shared" ref="I39:I52" si="6">I38+1</f>
        <v>46</v>
      </c>
      <c r="J39" s="130">
        <f t="shared" ref="J39:J52" si="7">J38*(1+$B$24)</f>
        <v>35875</v>
      </c>
      <c r="K39" s="130">
        <f t="shared" ref="K39:K52" si="8">MIN($B$31*(1+$B$25)^(I39-$A$38),0.18*J39)</f>
        <v>6457.5</v>
      </c>
      <c r="L39" s="130">
        <f t="shared" ref="L39:L52" si="9">K39/2</f>
        <v>3228.75</v>
      </c>
      <c r="M39" s="130">
        <f t="shared" ref="M39:M52" si="10">L39</f>
        <v>3228.75</v>
      </c>
      <c r="N39" s="130">
        <f t="shared" ref="N39:N52" si="11">(N38*(1+$B$23))+L39+M39</f>
        <v>13072.5</v>
      </c>
    </row>
    <row r="40" spans="1:14" x14ac:dyDescent="0.3">
      <c r="A40" s="6">
        <f t="shared" si="0"/>
        <v>47</v>
      </c>
      <c r="B40" s="130">
        <f t="shared" si="1"/>
        <v>178606.24999999994</v>
      </c>
      <c r="C40" s="130">
        <f t="shared" si="2"/>
        <v>32149.124999999989</v>
      </c>
      <c r="D40" s="130">
        <f t="shared" si="3"/>
        <v>16074.562499999995</v>
      </c>
      <c r="E40" s="130">
        <f t="shared" si="4"/>
        <v>16074.562499999995</v>
      </c>
      <c r="F40" s="130">
        <f t="shared" si="5"/>
        <v>106536.375</v>
      </c>
      <c r="I40" s="6">
        <f t="shared" si="6"/>
        <v>47</v>
      </c>
      <c r="J40" s="130">
        <f t="shared" si="7"/>
        <v>36771.875</v>
      </c>
      <c r="K40" s="130">
        <f t="shared" si="8"/>
        <v>6618.9375</v>
      </c>
      <c r="L40" s="130">
        <f t="shared" si="9"/>
        <v>3309.46875</v>
      </c>
      <c r="M40" s="130">
        <f t="shared" si="10"/>
        <v>3309.46875</v>
      </c>
      <c r="N40" s="130">
        <f t="shared" si="11"/>
        <v>20345.0625</v>
      </c>
    </row>
    <row r="41" spans="1:14" x14ac:dyDescent="0.3">
      <c r="A41" s="6">
        <f t="shared" si="0"/>
        <v>48</v>
      </c>
      <c r="B41" s="130">
        <f t="shared" si="1"/>
        <v>183071.40624999991</v>
      </c>
      <c r="C41" s="130">
        <f t="shared" si="2"/>
        <v>32952.85312499998</v>
      </c>
      <c r="D41" s="130">
        <f t="shared" si="3"/>
        <v>16476.42656249999</v>
      </c>
      <c r="E41" s="130">
        <f t="shared" si="4"/>
        <v>16476.42656249999</v>
      </c>
      <c r="F41" s="130">
        <f t="shared" si="5"/>
        <v>144816.04687499997</v>
      </c>
      <c r="I41" s="6">
        <f t="shared" si="6"/>
        <v>48</v>
      </c>
      <c r="J41" s="130">
        <f t="shared" si="7"/>
        <v>37691.171875</v>
      </c>
      <c r="K41" s="130">
        <f t="shared" si="8"/>
        <v>6784.4109374999998</v>
      </c>
      <c r="L41" s="130">
        <f t="shared" si="9"/>
        <v>3392.2054687499999</v>
      </c>
      <c r="M41" s="130">
        <f t="shared" si="10"/>
        <v>3392.2054687499999</v>
      </c>
      <c r="N41" s="130">
        <f t="shared" si="11"/>
        <v>28146.726562499996</v>
      </c>
    </row>
    <row r="42" spans="1:14" x14ac:dyDescent="0.3">
      <c r="A42" s="6">
        <f t="shared" si="0"/>
        <v>49</v>
      </c>
      <c r="B42" s="130">
        <f t="shared" si="1"/>
        <v>187648.19140624988</v>
      </c>
      <c r="C42" s="130">
        <f t="shared" si="2"/>
        <v>33776.674453124979</v>
      </c>
      <c r="D42" s="130">
        <f t="shared" si="3"/>
        <v>16888.337226562489</v>
      </c>
      <c r="E42" s="130">
        <f t="shared" si="4"/>
        <v>16888.337226562489</v>
      </c>
      <c r="F42" s="130">
        <f t="shared" si="5"/>
        <v>185833.52367187495</v>
      </c>
      <c r="I42" s="6">
        <f t="shared" si="6"/>
        <v>49</v>
      </c>
      <c r="J42" s="130">
        <f t="shared" si="7"/>
        <v>38633.451171875</v>
      </c>
      <c r="K42" s="130">
        <f t="shared" si="8"/>
        <v>6954.0212109374997</v>
      </c>
      <c r="L42" s="130">
        <f t="shared" si="9"/>
        <v>3477.0106054687499</v>
      </c>
      <c r="M42" s="130">
        <f t="shared" si="10"/>
        <v>3477.0106054687499</v>
      </c>
      <c r="N42" s="130">
        <f t="shared" si="11"/>
        <v>36508.084101562497</v>
      </c>
    </row>
    <row r="43" spans="1:14" x14ac:dyDescent="0.3">
      <c r="A43" s="6">
        <f t="shared" si="0"/>
        <v>50</v>
      </c>
      <c r="B43" s="130">
        <f t="shared" si="1"/>
        <v>192339.39619140612</v>
      </c>
      <c r="C43" s="130">
        <f t="shared" si="2"/>
        <v>34621.0913144531</v>
      </c>
      <c r="D43" s="130">
        <f t="shared" si="3"/>
        <v>17310.54565722655</v>
      </c>
      <c r="E43" s="130">
        <f t="shared" si="4"/>
        <v>17310.54565722655</v>
      </c>
      <c r="F43" s="130">
        <f t="shared" si="5"/>
        <v>229746.29116992181</v>
      </c>
      <c r="I43" s="6">
        <f t="shared" si="6"/>
        <v>50</v>
      </c>
      <c r="J43" s="130">
        <f t="shared" si="7"/>
        <v>39599.287451171869</v>
      </c>
      <c r="K43" s="130">
        <f t="shared" si="8"/>
        <v>7127.8717412109363</v>
      </c>
      <c r="L43" s="130">
        <f t="shared" si="9"/>
        <v>3563.9358706054682</v>
      </c>
      <c r="M43" s="130">
        <f t="shared" si="10"/>
        <v>3563.9358706054682</v>
      </c>
      <c r="N43" s="130">
        <f t="shared" si="11"/>
        <v>45461.360047851565</v>
      </c>
    </row>
    <row r="44" spans="1:14" x14ac:dyDescent="0.3">
      <c r="A44" s="6">
        <f t="shared" si="0"/>
        <v>51</v>
      </c>
      <c r="B44" s="130">
        <f t="shared" si="1"/>
        <v>197147.88109619127</v>
      </c>
      <c r="C44" s="130">
        <f t="shared" si="2"/>
        <v>35486.618597314424</v>
      </c>
      <c r="D44" s="130">
        <f t="shared" si="3"/>
        <v>17743.309298657212</v>
      </c>
      <c r="E44" s="130">
        <f t="shared" si="4"/>
        <v>17743.309298657212</v>
      </c>
      <c r="F44" s="130">
        <f t="shared" si="5"/>
        <v>276720.22432573233</v>
      </c>
      <c r="I44" s="6">
        <f t="shared" si="6"/>
        <v>51</v>
      </c>
      <c r="J44" s="130">
        <f t="shared" si="7"/>
        <v>40589.269637451165</v>
      </c>
      <c r="K44" s="130">
        <f t="shared" si="8"/>
        <v>7306.0685347412091</v>
      </c>
      <c r="L44" s="130">
        <f t="shared" si="9"/>
        <v>3653.0342673706045</v>
      </c>
      <c r="M44" s="130">
        <f t="shared" si="10"/>
        <v>3653.0342673706045</v>
      </c>
      <c r="N44" s="130">
        <f t="shared" si="11"/>
        <v>55040.496584985354</v>
      </c>
    </row>
    <row r="45" spans="1:14" x14ac:dyDescent="0.3">
      <c r="A45" s="6">
        <f t="shared" si="0"/>
        <v>52</v>
      </c>
      <c r="B45" s="130">
        <f t="shared" si="1"/>
        <v>202076.57812359603</v>
      </c>
      <c r="C45" s="130">
        <f t="shared" si="2"/>
        <v>36373.784062247287</v>
      </c>
      <c r="D45" s="130">
        <f t="shared" si="3"/>
        <v>18186.892031123643</v>
      </c>
      <c r="E45" s="130">
        <f t="shared" si="4"/>
        <v>18186.892031123643</v>
      </c>
      <c r="F45" s="130">
        <f t="shared" si="5"/>
        <v>326930.01960426621</v>
      </c>
      <c r="I45" s="6">
        <f t="shared" si="6"/>
        <v>52</v>
      </c>
      <c r="J45" s="130">
        <f t="shared" si="7"/>
        <v>41604.001378387438</v>
      </c>
      <c r="K45" s="130">
        <f t="shared" si="8"/>
        <v>7488.7202481097383</v>
      </c>
      <c r="L45" s="130">
        <f t="shared" si="9"/>
        <v>3744.3601240548692</v>
      </c>
      <c r="M45" s="130">
        <f t="shared" si="10"/>
        <v>3744.3601240548692</v>
      </c>
      <c r="N45" s="130">
        <f t="shared" si="11"/>
        <v>65281.241662344357</v>
      </c>
    </row>
    <row r="46" spans="1:14" x14ac:dyDescent="0.3">
      <c r="A46" s="6">
        <f t="shared" si="0"/>
        <v>53</v>
      </c>
      <c r="B46" s="130">
        <f t="shared" si="1"/>
        <v>207128.49257668591</v>
      </c>
      <c r="C46" s="130">
        <f t="shared" si="2"/>
        <v>37283.128663803465</v>
      </c>
      <c r="D46" s="130">
        <f t="shared" si="3"/>
        <v>18641.564331901733</v>
      </c>
      <c r="E46" s="130">
        <f t="shared" si="4"/>
        <v>18641.564331901733</v>
      </c>
      <c r="F46" s="130">
        <f t="shared" si="5"/>
        <v>380559.64924828301</v>
      </c>
      <c r="I46" s="6">
        <f t="shared" si="6"/>
        <v>53</v>
      </c>
      <c r="J46" s="130">
        <f t="shared" si="7"/>
        <v>42644.101412847122</v>
      </c>
      <c r="K46" s="130">
        <f t="shared" si="8"/>
        <v>7675.9382543124811</v>
      </c>
      <c r="L46" s="130">
        <f t="shared" si="9"/>
        <v>3837.9691271562406</v>
      </c>
      <c r="M46" s="130">
        <f t="shared" si="10"/>
        <v>3837.9691271562406</v>
      </c>
      <c r="N46" s="130">
        <f t="shared" si="11"/>
        <v>76221.241999774065</v>
      </c>
    </row>
    <row r="47" spans="1:14" x14ac:dyDescent="0.3">
      <c r="A47" s="6">
        <f t="shared" si="0"/>
        <v>54</v>
      </c>
      <c r="B47" s="130">
        <f t="shared" si="1"/>
        <v>212306.70489110303</v>
      </c>
      <c r="C47" s="130">
        <f t="shared" si="2"/>
        <v>38215.206880398546</v>
      </c>
      <c r="D47" s="130">
        <f t="shared" si="3"/>
        <v>19107.603440199273</v>
      </c>
      <c r="E47" s="130">
        <f t="shared" si="4"/>
        <v>19107.603440199273</v>
      </c>
      <c r="F47" s="130">
        <f t="shared" si="5"/>
        <v>437802.83859109576</v>
      </c>
      <c r="I47" s="6">
        <f t="shared" si="6"/>
        <v>54</v>
      </c>
      <c r="J47" s="130">
        <f t="shared" si="7"/>
        <v>43710.203948168295</v>
      </c>
      <c r="K47" s="130">
        <f t="shared" si="8"/>
        <v>7867.8367106702926</v>
      </c>
      <c r="L47" s="130">
        <f t="shared" si="9"/>
        <v>3933.9183553351463</v>
      </c>
      <c r="M47" s="130">
        <f t="shared" si="10"/>
        <v>3933.9183553351463</v>
      </c>
      <c r="N47" s="130">
        <f t="shared" si="11"/>
        <v>87900.140810433062</v>
      </c>
    </row>
    <row r="48" spans="1:14" x14ac:dyDescent="0.3">
      <c r="A48" s="6">
        <f t="shared" si="0"/>
        <v>55</v>
      </c>
      <c r="B48" s="130">
        <f t="shared" si="1"/>
        <v>217614.3725133806</v>
      </c>
      <c r="C48" s="130">
        <f t="shared" si="2"/>
        <v>39007.821439832231</v>
      </c>
      <c r="D48" s="130">
        <f t="shared" si="3"/>
        <v>19503.910719916115</v>
      </c>
      <c r="E48" s="130">
        <f t="shared" si="4"/>
        <v>19503.910719916115</v>
      </c>
      <c r="F48" s="130">
        <f t="shared" si="5"/>
        <v>498700.80196048279</v>
      </c>
      <c r="I48" s="6">
        <f t="shared" si="6"/>
        <v>55</v>
      </c>
      <c r="J48" s="130">
        <f t="shared" si="7"/>
        <v>44802.9590468725</v>
      </c>
      <c r="K48" s="130">
        <f t="shared" si="8"/>
        <v>8064.5326284370494</v>
      </c>
      <c r="L48" s="130">
        <f t="shared" si="9"/>
        <v>4032.2663142185247</v>
      </c>
      <c r="M48" s="130">
        <f t="shared" si="10"/>
        <v>4032.2663142185247</v>
      </c>
      <c r="N48" s="130">
        <f t="shared" si="11"/>
        <v>100359.68047939175</v>
      </c>
    </row>
    <row r="49" spans="1:15" x14ac:dyDescent="0.3">
      <c r="A49" s="6">
        <f t="shared" si="0"/>
        <v>56</v>
      </c>
      <c r="B49" s="130">
        <f t="shared" si="1"/>
        <v>223054.73182621511</v>
      </c>
      <c r="C49" s="130">
        <f t="shared" si="2"/>
        <v>39787.977868628863</v>
      </c>
      <c r="D49" s="130">
        <f t="shared" si="3"/>
        <v>19893.988934314431</v>
      </c>
      <c r="E49" s="130">
        <f t="shared" si="4"/>
        <v>19893.988934314431</v>
      </c>
      <c r="F49" s="130">
        <f t="shared" si="5"/>
        <v>563423.81992713583</v>
      </c>
      <c r="I49" s="6">
        <f t="shared" si="6"/>
        <v>56</v>
      </c>
      <c r="J49" s="130">
        <f t="shared" si="7"/>
        <v>45923.033023044307</v>
      </c>
      <c r="K49" s="130">
        <f t="shared" si="8"/>
        <v>8266.1459441479747</v>
      </c>
      <c r="L49" s="130">
        <f t="shared" si="9"/>
        <v>4133.0729720739873</v>
      </c>
      <c r="M49" s="130">
        <f t="shared" si="10"/>
        <v>4133.0729720739873</v>
      </c>
      <c r="N49" s="130">
        <f t="shared" si="11"/>
        <v>113643.81044750933</v>
      </c>
    </row>
    <row r="50" spans="1:15" x14ac:dyDescent="0.3">
      <c r="A50" s="6">
        <f t="shared" si="0"/>
        <v>57</v>
      </c>
      <c r="B50" s="130">
        <f t="shared" si="1"/>
        <v>228631.10012187046</v>
      </c>
      <c r="C50" s="130">
        <f t="shared" si="2"/>
        <v>40583.737426001448</v>
      </c>
      <c r="D50" s="130">
        <f t="shared" si="3"/>
        <v>20291.868713000724</v>
      </c>
      <c r="E50" s="130">
        <f t="shared" si="4"/>
        <v>20291.868713000724</v>
      </c>
      <c r="F50" s="130">
        <f t="shared" si="5"/>
        <v>632178.74834949395</v>
      </c>
      <c r="I50" s="6">
        <f t="shared" si="6"/>
        <v>57</v>
      </c>
      <c r="J50" s="130">
        <f t="shared" si="7"/>
        <v>47071.10884862041</v>
      </c>
      <c r="K50" s="130">
        <f t="shared" si="8"/>
        <v>8472.7995927516731</v>
      </c>
      <c r="L50" s="130">
        <f t="shared" si="9"/>
        <v>4236.3997963758366</v>
      </c>
      <c r="M50" s="130">
        <f t="shared" si="10"/>
        <v>4236.3997963758366</v>
      </c>
      <c r="N50" s="130">
        <f t="shared" si="11"/>
        <v>127798.80056263646</v>
      </c>
    </row>
    <row r="51" spans="1:15" x14ac:dyDescent="0.3">
      <c r="A51" s="6">
        <f t="shared" si="0"/>
        <v>58</v>
      </c>
      <c r="B51" s="130">
        <f t="shared" si="1"/>
        <v>234346.87762491719</v>
      </c>
      <c r="C51" s="130">
        <f t="shared" si="2"/>
        <v>41395.412174521472</v>
      </c>
      <c r="D51" s="130">
        <f t="shared" si="3"/>
        <v>20697.706087260736</v>
      </c>
      <c r="E51" s="130">
        <f t="shared" si="4"/>
        <v>20697.706087260736</v>
      </c>
      <c r="F51" s="130">
        <f t="shared" si="5"/>
        <v>705183.09794149012</v>
      </c>
      <c r="I51" s="6">
        <f t="shared" si="6"/>
        <v>58</v>
      </c>
      <c r="J51" s="130">
        <f t="shared" si="7"/>
        <v>48247.886569835915</v>
      </c>
      <c r="K51" s="130">
        <f t="shared" si="8"/>
        <v>8684.6195825704635</v>
      </c>
      <c r="L51" s="130">
        <f t="shared" si="9"/>
        <v>4342.3097912852318</v>
      </c>
      <c r="M51" s="130">
        <f t="shared" si="10"/>
        <v>4342.3097912852318</v>
      </c>
      <c r="N51" s="130">
        <f t="shared" si="11"/>
        <v>142873.36017333873</v>
      </c>
    </row>
    <row r="52" spans="1:15" x14ac:dyDescent="0.3">
      <c r="A52" s="133">
        <f t="shared" si="0"/>
        <v>59</v>
      </c>
      <c r="B52" s="135">
        <f t="shared" si="1"/>
        <v>240205.5495655401</v>
      </c>
      <c r="C52" s="135">
        <f t="shared" si="2"/>
        <v>42223.320418011906</v>
      </c>
      <c r="D52" s="135">
        <f t="shared" si="3"/>
        <v>21111.660209005953</v>
      </c>
      <c r="E52" s="135">
        <f t="shared" si="4"/>
        <v>21111.660209005953</v>
      </c>
      <c r="F52" s="135">
        <f t="shared" si="5"/>
        <v>782665.57325657655</v>
      </c>
      <c r="I52" s="133">
        <f t="shared" si="6"/>
        <v>59</v>
      </c>
      <c r="J52" s="130">
        <f t="shared" si="7"/>
        <v>49454.083734081811</v>
      </c>
      <c r="K52" s="135">
        <f t="shared" si="8"/>
        <v>8901.7350721347248</v>
      </c>
      <c r="L52" s="135">
        <f t="shared" si="9"/>
        <v>4450.8675360673624</v>
      </c>
      <c r="M52" s="135">
        <f t="shared" si="10"/>
        <v>4450.8675360673624</v>
      </c>
      <c r="N52" s="135">
        <f t="shared" si="11"/>
        <v>158918.76325414039</v>
      </c>
    </row>
    <row r="53" spans="1:15" ht="15" thickBot="1" x14ac:dyDescent="0.35">
      <c r="A53" s="136" t="s">
        <v>183</v>
      </c>
      <c r="B53" s="137"/>
      <c r="C53" s="130"/>
      <c r="D53" s="130"/>
      <c r="E53" s="138" t="s">
        <v>184</v>
      </c>
      <c r="F53" s="139">
        <f>F52*(1-$B$27)</f>
        <v>586999.17994243244</v>
      </c>
      <c r="I53" s="6"/>
      <c r="J53" s="137"/>
      <c r="K53" s="130"/>
      <c r="L53" s="130"/>
      <c r="M53" s="130" t="s">
        <v>185</v>
      </c>
      <c r="N53" s="139">
        <f>N52*(1-C27)</f>
        <v>135080.94876601931</v>
      </c>
    </row>
    <row r="54" spans="1:15" ht="15" thickTop="1" x14ac:dyDescent="0.3">
      <c r="B54" s="6"/>
      <c r="C54" s="6"/>
      <c r="I54" s="6"/>
      <c r="J54" s="137"/>
      <c r="K54" s="130"/>
      <c r="L54" s="130"/>
      <c r="M54" s="130"/>
      <c r="N54" s="130"/>
    </row>
    <row r="55" spans="1:15" x14ac:dyDescent="0.3">
      <c r="J55" s="140"/>
    </row>
    <row r="57" spans="1:15" x14ac:dyDescent="0.3">
      <c r="A57" s="159" t="s">
        <v>186</v>
      </c>
      <c r="B57" s="160"/>
      <c r="C57" s="160"/>
      <c r="D57" s="160"/>
      <c r="E57" s="160"/>
      <c r="F57" s="160"/>
      <c r="G57" s="161"/>
      <c r="I57" s="159" t="s">
        <v>187</v>
      </c>
      <c r="J57" s="160"/>
      <c r="K57" s="160"/>
      <c r="L57" s="160"/>
      <c r="M57" s="160"/>
      <c r="N57" s="160"/>
      <c r="O57" s="161"/>
    </row>
    <row r="59" spans="1:15" ht="15.6" x14ac:dyDescent="0.3">
      <c r="A59" s="141" t="s">
        <v>3</v>
      </c>
      <c r="B59" s="133" t="s">
        <v>188</v>
      </c>
      <c r="C59" s="133" t="s">
        <v>179</v>
      </c>
      <c r="D59" s="133" t="s">
        <v>189</v>
      </c>
      <c r="E59" s="141" t="s">
        <v>180</v>
      </c>
      <c r="F59" s="141" t="s">
        <v>181</v>
      </c>
      <c r="G59" s="133" t="s">
        <v>182</v>
      </c>
      <c r="I59" s="141" t="s">
        <v>3</v>
      </c>
      <c r="J59" s="133" t="s">
        <v>188</v>
      </c>
      <c r="K59" s="133" t="s">
        <v>179</v>
      </c>
      <c r="L59" s="133" t="s">
        <v>189</v>
      </c>
      <c r="M59" s="141" t="s">
        <v>180</v>
      </c>
      <c r="N59" s="141" t="s">
        <v>181</v>
      </c>
      <c r="O59" s="133" t="s">
        <v>182</v>
      </c>
    </row>
    <row r="60" spans="1:15" ht="15.6" x14ac:dyDescent="0.3">
      <c r="A60" s="142">
        <f>A38</f>
        <v>45</v>
      </c>
      <c r="B60" s="137">
        <f t="shared" ref="B60:B74" si="12">B38*(1-$B$26)</f>
        <v>102000</v>
      </c>
      <c r="C60" s="137">
        <f>B30</f>
        <v>7000</v>
      </c>
      <c r="D60" s="137">
        <f t="shared" ref="D60:D74" si="13">ROUNDDOWN(C60*2,-3)/2</f>
        <v>7000</v>
      </c>
      <c r="E60" s="137">
        <f>MIN(B60*0.1,C60/1.75)+B19</f>
        <v>7000</v>
      </c>
      <c r="F60" s="143">
        <f>(E60-B19)*0.75</f>
        <v>3000</v>
      </c>
      <c r="G60" s="143">
        <f>F60+E60</f>
        <v>10000</v>
      </c>
      <c r="I60" s="144">
        <f>I38</f>
        <v>45</v>
      </c>
      <c r="J60" s="132">
        <f>J38*(1-$C$26)</f>
        <v>26250</v>
      </c>
      <c r="K60" s="132">
        <f>B18</f>
        <v>7000</v>
      </c>
      <c r="L60" s="132">
        <f t="shared" ref="L60:L74" si="14">ROUNDDOWN(K60*2,-3)/2</f>
        <v>7000</v>
      </c>
      <c r="M60" s="132">
        <f t="shared" ref="M60:M74" si="15">MIN(J60*0.1,L60/1.75)</f>
        <v>2625</v>
      </c>
      <c r="N60" s="132">
        <f t="shared" ref="N60:N74" si="16">M60*0.75</f>
        <v>1968.75</v>
      </c>
      <c r="O60" s="132">
        <f>N60+M60</f>
        <v>4593.75</v>
      </c>
    </row>
    <row r="61" spans="1:15" ht="15.6" x14ac:dyDescent="0.3">
      <c r="A61" s="142">
        <f t="shared" ref="A61:A74" si="17">A60+1</f>
        <v>46</v>
      </c>
      <c r="B61" s="137">
        <f t="shared" si="12"/>
        <v>104549.99999999999</v>
      </c>
      <c r="C61" s="137">
        <f t="shared" ref="C61:C74" si="18">C60*(1+$B$25)</f>
        <v>7140</v>
      </c>
      <c r="D61" s="137">
        <f t="shared" si="13"/>
        <v>7000</v>
      </c>
      <c r="E61" s="137">
        <f t="shared" ref="E61:E74" si="19">MIN(B61*0.1,D61/1.75)</f>
        <v>4000</v>
      </c>
      <c r="F61" s="143">
        <f t="shared" ref="F61:F74" si="20">E61*0.75</f>
        <v>3000</v>
      </c>
      <c r="G61" s="143">
        <f t="shared" ref="G61:G74" si="21">G60*(1+$B$23)+E61+F61</f>
        <v>17500</v>
      </c>
      <c r="I61" s="144">
        <f t="shared" ref="I61:I74" si="22">I60+1</f>
        <v>46</v>
      </c>
      <c r="J61" s="132">
        <f t="shared" ref="J61:J74" si="23">$C$17*(1+$B$24)^(I61-$I$60)*(1-$C$26)</f>
        <v>26906.25</v>
      </c>
      <c r="K61" s="132">
        <f t="shared" ref="K61:K74" si="24">K60*(1+$B$25)</f>
        <v>7140</v>
      </c>
      <c r="L61" s="132">
        <f t="shared" si="14"/>
        <v>7000</v>
      </c>
      <c r="M61" s="132">
        <f t="shared" si="15"/>
        <v>2690.625</v>
      </c>
      <c r="N61" s="132">
        <f t="shared" si="16"/>
        <v>2017.96875</v>
      </c>
      <c r="O61" s="132">
        <f t="shared" ref="O61:O74" si="25">O60*(1+$B$23)+M61+N61</f>
        <v>9532.03125</v>
      </c>
    </row>
    <row r="62" spans="1:15" ht="15.6" x14ac:dyDescent="0.3">
      <c r="A62" s="142">
        <f t="shared" si="17"/>
        <v>47</v>
      </c>
      <c r="B62" s="137">
        <f t="shared" si="12"/>
        <v>107163.74999999996</v>
      </c>
      <c r="C62" s="137">
        <f t="shared" si="18"/>
        <v>7282.8</v>
      </c>
      <c r="D62" s="137">
        <f t="shared" si="13"/>
        <v>7000</v>
      </c>
      <c r="E62" s="137">
        <f t="shared" si="19"/>
        <v>4000</v>
      </c>
      <c r="F62" s="143">
        <f t="shared" si="20"/>
        <v>3000</v>
      </c>
      <c r="G62" s="143">
        <f t="shared" si="21"/>
        <v>25375</v>
      </c>
      <c r="I62" s="144">
        <f t="shared" si="22"/>
        <v>47</v>
      </c>
      <c r="J62" s="132">
        <f t="shared" si="23"/>
        <v>27578.90625</v>
      </c>
      <c r="K62" s="132">
        <f t="shared" si="24"/>
        <v>7282.8</v>
      </c>
      <c r="L62" s="132">
        <f t="shared" si="14"/>
        <v>7000</v>
      </c>
      <c r="M62" s="132">
        <f t="shared" si="15"/>
        <v>2757.890625</v>
      </c>
      <c r="N62" s="132">
        <f t="shared" si="16"/>
        <v>2068.41796875</v>
      </c>
      <c r="O62" s="132">
        <f t="shared" si="25"/>
        <v>14834.94140625</v>
      </c>
    </row>
    <row r="63" spans="1:15" ht="15.6" x14ac:dyDescent="0.3">
      <c r="A63" s="142">
        <f t="shared" si="17"/>
        <v>48</v>
      </c>
      <c r="B63" s="137">
        <f t="shared" si="12"/>
        <v>109842.84374999994</v>
      </c>
      <c r="C63" s="137">
        <f t="shared" si="18"/>
        <v>7428.4560000000001</v>
      </c>
      <c r="D63" s="137">
        <f t="shared" si="13"/>
        <v>7000</v>
      </c>
      <c r="E63" s="137">
        <f t="shared" si="19"/>
        <v>4000</v>
      </c>
      <c r="F63" s="143">
        <f t="shared" si="20"/>
        <v>3000</v>
      </c>
      <c r="G63" s="143">
        <f t="shared" si="21"/>
        <v>33643.75</v>
      </c>
      <c r="I63" s="144">
        <f t="shared" si="22"/>
        <v>48</v>
      </c>
      <c r="J63" s="132">
        <f t="shared" si="23"/>
        <v>28268.378906249993</v>
      </c>
      <c r="K63" s="132">
        <f t="shared" si="24"/>
        <v>7428.4560000000001</v>
      </c>
      <c r="L63" s="132">
        <f t="shared" si="14"/>
        <v>7000</v>
      </c>
      <c r="M63" s="132">
        <f t="shared" si="15"/>
        <v>2826.8378906249995</v>
      </c>
      <c r="N63" s="132">
        <f t="shared" si="16"/>
        <v>2120.1284179687495</v>
      </c>
      <c r="O63" s="132">
        <f t="shared" si="25"/>
        <v>20523.65478515625</v>
      </c>
    </row>
    <row r="64" spans="1:15" ht="15.6" x14ac:dyDescent="0.3">
      <c r="A64" s="142">
        <f t="shared" si="17"/>
        <v>49</v>
      </c>
      <c r="B64" s="137">
        <f t="shared" si="12"/>
        <v>112588.91484374992</v>
      </c>
      <c r="C64" s="137">
        <f t="shared" si="18"/>
        <v>7577.0251200000002</v>
      </c>
      <c r="D64" s="137">
        <f t="shared" si="13"/>
        <v>7500</v>
      </c>
      <c r="E64" s="137">
        <f t="shared" si="19"/>
        <v>4285.7142857142853</v>
      </c>
      <c r="F64" s="143">
        <f t="shared" si="20"/>
        <v>3214.2857142857138</v>
      </c>
      <c r="G64" s="143">
        <f t="shared" si="21"/>
        <v>42825.9375</v>
      </c>
      <c r="I64" s="144">
        <f t="shared" si="22"/>
        <v>49</v>
      </c>
      <c r="J64" s="132">
        <f t="shared" si="23"/>
        <v>28975.088378906243</v>
      </c>
      <c r="K64" s="132">
        <f t="shared" si="24"/>
        <v>7577.0251200000002</v>
      </c>
      <c r="L64" s="132">
        <f t="shared" si="14"/>
        <v>7500</v>
      </c>
      <c r="M64" s="132">
        <f t="shared" si="15"/>
        <v>2897.5088378906244</v>
      </c>
      <c r="N64" s="132">
        <f t="shared" si="16"/>
        <v>2173.1316284179684</v>
      </c>
      <c r="O64" s="132">
        <f t="shared" si="25"/>
        <v>26620.477990722655</v>
      </c>
    </row>
    <row r="65" spans="1:15" ht="15.6" x14ac:dyDescent="0.3">
      <c r="A65" s="142">
        <f t="shared" si="17"/>
        <v>50</v>
      </c>
      <c r="B65" s="137">
        <f t="shared" si="12"/>
        <v>115403.63771484367</v>
      </c>
      <c r="C65" s="137">
        <f t="shared" si="18"/>
        <v>7728.5656224000004</v>
      </c>
      <c r="D65" s="137">
        <f t="shared" si="13"/>
        <v>7500</v>
      </c>
      <c r="E65" s="137">
        <f t="shared" si="19"/>
        <v>4285.7142857142853</v>
      </c>
      <c r="F65" s="143">
        <f t="shared" si="20"/>
        <v>3214.2857142857138</v>
      </c>
      <c r="G65" s="143">
        <f t="shared" si="21"/>
        <v>52467.234375</v>
      </c>
      <c r="I65" s="144">
        <f t="shared" si="22"/>
        <v>50</v>
      </c>
      <c r="J65" s="132">
        <f t="shared" si="23"/>
        <v>29699.465588378895</v>
      </c>
      <c r="K65" s="132">
        <f t="shared" si="24"/>
        <v>7728.5656224000004</v>
      </c>
      <c r="L65" s="132">
        <f t="shared" si="14"/>
        <v>7500</v>
      </c>
      <c r="M65" s="132">
        <f t="shared" si="15"/>
        <v>2969.9465588378898</v>
      </c>
      <c r="N65" s="132">
        <f t="shared" si="16"/>
        <v>2227.4599191284174</v>
      </c>
      <c r="O65" s="132">
        <f t="shared" si="25"/>
        <v>33148.908368225093</v>
      </c>
    </row>
    <row r="66" spans="1:15" ht="15.6" x14ac:dyDescent="0.3">
      <c r="A66" s="142">
        <f t="shared" si="17"/>
        <v>51</v>
      </c>
      <c r="B66" s="137">
        <f t="shared" si="12"/>
        <v>118288.72865771476</v>
      </c>
      <c r="C66" s="137">
        <f t="shared" si="18"/>
        <v>7883.1369348480002</v>
      </c>
      <c r="D66" s="137">
        <f t="shared" si="13"/>
        <v>7500</v>
      </c>
      <c r="E66" s="137">
        <f t="shared" si="19"/>
        <v>4285.7142857142853</v>
      </c>
      <c r="F66" s="143">
        <f t="shared" si="20"/>
        <v>3214.2857142857138</v>
      </c>
      <c r="G66" s="143">
        <f t="shared" si="21"/>
        <v>62590.596093750006</v>
      </c>
      <c r="I66" s="144">
        <f t="shared" si="22"/>
        <v>51</v>
      </c>
      <c r="J66" s="132">
        <f t="shared" si="23"/>
        <v>30441.952228088368</v>
      </c>
      <c r="K66" s="132">
        <f t="shared" si="24"/>
        <v>7883.1369348480002</v>
      </c>
      <c r="L66" s="132">
        <f t="shared" si="14"/>
        <v>7500</v>
      </c>
      <c r="M66" s="132">
        <f t="shared" si="15"/>
        <v>3044.1952228088371</v>
      </c>
      <c r="N66" s="132">
        <f t="shared" si="16"/>
        <v>2283.1464171066277</v>
      </c>
      <c r="O66" s="132">
        <f t="shared" si="25"/>
        <v>40133.695426551807</v>
      </c>
    </row>
    <row r="67" spans="1:15" ht="15.6" x14ac:dyDescent="0.3">
      <c r="A67" s="142">
        <f t="shared" si="17"/>
        <v>52</v>
      </c>
      <c r="B67" s="137">
        <f t="shared" si="12"/>
        <v>121245.94687415761</v>
      </c>
      <c r="C67" s="137">
        <f t="shared" si="18"/>
        <v>8040.7996735449606</v>
      </c>
      <c r="D67" s="137">
        <f t="shared" si="13"/>
        <v>8000</v>
      </c>
      <c r="E67" s="137">
        <f t="shared" si="19"/>
        <v>4571.4285714285716</v>
      </c>
      <c r="F67" s="143">
        <f t="shared" si="20"/>
        <v>3428.5714285714284</v>
      </c>
      <c r="G67" s="143">
        <f t="shared" si="21"/>
        <v>73720.125898437502</v>
      </c>
      <c r="I67" s="144">
        <f t="shared" si="22"/>
        <v>52</v>
      </c>
      <c r="J67" s="132">
        <f t="shared" si="23"/>
        <v>31203.001033790577</v>
      </c>
      <c r="K67" s="132">
        <f t="shared" si="24"/>
        <v>8040.7996735449606</v>
      </c>
      <c r="L67" s="132">
        <f t="shared" si="14"/>
        <v>8000</v>
      </c>
      <c r="M67" s="132">
        <f t="shared" si="15"/>
        <v>3120.3001033790579</v>
      </c>
      <c r="N67" s="132">
        <f t="shared" si="16"/>
        <v>2340.2250775342936</v>
      </c>
      <c r="O67" s="132">
        <f t="shared" si="25"/>
        <v>47600.905378792748</v>
      </c>
    </row>
    <row r="68" spans="1:15" ht="15.6" x14ac:dyDescent="0.3">
      <c r="A68" s="142">
        <f t="shared" si="17"/>
        <v>53</v>
      </c>
      <c r="B68" s="137">
        <f t="shared" si="12"/>
        <v>124277.09554601154</v>
      </c>
      <c r="C68" s="137">
        <f t="shared" si="18"/>
        <v>8201.6156670158598</v>
      </c>
      <c r="D68" s="137">
        <f t="shared" si="13"/>
        <v>8000</v>
      </c>
      <c r="E68" s="137">
        <f t="shared" si="19"/>
        <v>4571.4285714285716</v>
      </c>
      <c r="F68" s="143">
        <f t="shared" si="20"/>
        <v>3428.5714285714284</v>
      </c>
      <c r="G68" s="143">
        <f t="shared" si="21"/>
        <v>85406.132193359386</v>
      </c>
      <c r="I68" s="144">
        <f t="shared" si="22"/>
        <v>53</v>
      </c>
      <c r="J68" s="132">
        <f t="shared" si="23"/>
        <v>31983.076059635343</v>
      </c>
      <c r="K68" s="132">
        <f t="shared" si="24"/>
        <v>8201.6156670158598</v>
      </c>
      <c r="L68" s="132">
        <f t="shared" si="14"/>
        <v>8000</v>
      </c>
      <c r="M68" s="132">
        <f t="shared" si="15"/>
        <v>3198.3076059635346</v>
      </c>
      <c r="N68" s="132">
        <f t="shared" si="16"/>
        <v>2398.7307044726508</v>
      </c>
      <c r="O68" s="132">
        <f t="shared" si="25"/>
        <v>55577.988958168571</v>
      </c>
    </row>
    <row r="69" spans="1:15" ht="15.6" x14ac:dyDescent="0.3">
      <c r="A69" s="142">
        <f t="shared" si="17"/>
        <v>54</v>
      </c>
      <c r="B69" s="137">
        <f t="shared" si="12"/>
        <v>127384.02293466181</v>
      </c>
      <c r="C69" s="137">
        <f t="shared" si="18"/>
        <v>8365.6479803561779</v>
      </c>
      <c r="D69" s="137">
        <f t="shared" si="13"/>
        <v>8000</v>
      </c>
      <c r="E69" s="137">
        <f t="shared" si="19"/>
        <v>4571.4285714285716</v>
      </c>
      <c r="F69" s="143">
        <f t="shared" si="20"/>
        <v>3428.5714285714284</v>
      </c>
      <c r="G69" s="143">
        <f t="shared" si="21"/>
        <v>97676.438803027355</v>
      </c>
      <c r="I69" s="144">
        <f t="shared" si="22"/>
        <v>54</v>
      </c>
      <c r="J69" s="132">
        <f t="shared" si="23"/>
        <v>32782.652961126216</v>
      </c>
      <c r="K69" s="132">
        <f t="shared" si="24"/>
        <v>8365.6479803561779</v>
      </c>
      <c r="L69" s="132">
        <f t="shared" si="14"/>
        <v>8000</v>
      </c>
      <c r="M69" s="132">
        <f t="shared" si="15"/>
        <v>3278.2652961126219</v>
      </c>
      <c r="N69" s="132">
        <f t="shared" si="16"/>
        <v>2458.6989720844663</v>
      </c>
      <c r="O69" s="132">
        <f t="shared" si="25"/>
        <v>64093.852674274087</v>
      </c>
    </row>
    <row r="70" spans="1:15" ht="15.6" x14ac:dyDescent="0.3">
      <c r="A70" s="142">
        <f t="shared" si="17"/>
        <v>55</v>
      </c>
      <c r="B70" s="137">
        <f t="shared" si="12"/>
        <v>130568.62350802835</v>
      </c>
      <c r="C70" s="137">
        <f t="shared" si="18"/>
        <v>8532.9609399633009</v>
      </c>
      <c r="D70" s="137">
        <f t="shared" si="13"/>
        <v>8500</v>
      </c>
      <c r="E70" s="137">
        <f t="shared" si="19"/>
        <v>4857.1428571428569</v>
      </c>
      <c r="F70" s="143">
        <f t="shared" si="20"/>
        <v>3642.8571428571427</v>
      </c>
      <c r="G70" s="143">
        <f t="shared" si="21"/>
        <v>111060.26074317873</v>
      </c>
      <c r="I70" s="144">
        <f t="shared" si="22"/>
        <v>55</v>
      </c>
      <c r="J70" s="132">
        <f t="shared" si="23"/>
        <v>33602.219285154373</v>
      </c>
      <c r="K70" s="132">
        <f t="shared" si="24"/>
        <v>8532.9609399633009</v>
      </c>
      <c r="L70" s="132">
        <f t="shared" si="14"/>
        <v>8500</v>
      </c>
      <c r="M70" s="132">
        <f t="shared" si="15"/>
        <v>3360.2219285154374</v>
      </c>
      <c r="N70" s="132">
        <f t="shared" si="16"/>
        <v>2520.1664463865782</v>
      </c>
      <c r="O70" s="132">
        <f t="shared" si="25"/>
        <v>73178.933682889809</v>
      </c>
    </row>
    <row r="71" spans="1:15" ht="15.6" x14ac:dyDescent="0.3">
      <c r="A71" s="142">
        <f t="shared" si="17"/>
        <v>56</v>
      </c>
      <c r="B71" s="137">
        <f t="shared" si="12"/>
        <v>133832.83909572905</v>
      </c>
      <c r="C71" s="137">
        <f t="shared" si="18"/>
        <v>8703.6201587625674</v>
      </c>
      <c r="D71" s="137">
        <f t="shared" si="13"/>
        <v>8500</v>
      </c>
      <c r="E71" s="137">
        <f t="shared" si="19"/>
        <v>4857.1428571428569</v>
      </c>
      <c r="F71" s="143">
        <f t="shared" si="20"/>
        <v>3642.8571428571427</v>
      </c>
      <c r="G71" s="143">
        <f t="shared" si="21"/>
        <v>125113.27378033768</v>
      </c>
      <c r="I71" s="144">
        <f t="shared" si="22"/>
        <v>56</v>
      </c>
      <c r="J71" s="132">
        <f t="shared" si="23"/>
        <v>34442.274767283234</v>
      </c>
      <c r="K71" s="132">
        <f t="shared" si="24"/>
        <v>8703.6201587625674</v>
      </c>
      <c r="L71" s="132">
        <f t="shared" si="14"/>
        <v>8500</v>
      </c>
      <c r="M71" s="132">
        <f t="shared" si="15"/>
        <v>3444.2274767283234</v>
      </c>
      <c r="N71" s="132">
        <f t="shared" si="16"/>
        <v>2583.1706075462425</v>
      </c>
      <c r="O71" s="132">
        <f t="shared" si="25"/>
        <v>82865.27845130887</v>
      </c>
    </row>
    <row r="72" spans="1:15" ht="15.6" x14ac:dyDescent="0.3">
      <c r="A72" s="142">
        <f t="shared" si="17"/>
        <v>57</v>
      </c>
      <c r="B72" s="137">
        <f t="shared" si="12"/>
        <v>137178.66007312227</v>
      </c>
      <c r="C72" s="137">
        <f t="shared" si="18"/>
        <v>8877.692561937818</v>
      </c>
      <c r="D72" s="137">
        <f t="shared" si="13"/>
        <v>8500</v>
      </c>
      <c r="E72" s="137">
        <f t="shared" si="19"/>
        <v>4857.1428571428569</v>
      </c>
      <c r="F72" s="143">
        <f t="shared" si="20"/>
        <v>3642.8571428571427</v>
      </c>
      <c r="G72" s="143">
        <f t="shared" si="21"/>
        <v>139868.93746935457</v>
      </c>
      <c r="I72" s="144">
        <f t="shared" si="22"/>
        <v>57</v>
      </c>
      <c r="J72" s="132">
        <f t="shared" si="23"/>
        <v>35303.331636465307</v>
      </c>
      <c r="K72" s="132">
        <f t="shared" si="24"/>
        <v>8877.692561937818</v>
      </c>
      <c r="L72" s="132">
        <f t="shared" si="14"/>
        <v>8500</v>
      </c>
      <c r="M72" s="132">
        <f t="shared" si="15"/>
        <v>3530.3331636465309</v>
      </c>
      <c r="N72" s="132">
        <f t="shared" si="16"/>
        <v>2647.7498727348984</v>
      </c>
      <c r="O72" s="132">
        <f t="shared" si="25"/>
        <v>93186.625410255743</v>
      </c>
    </row>
    <row r="73" spans="1:15" ht="15.6" x14ac:dyDescent="0.3">
      <c r="A73" s="142">
        <f t="shared" si="17"/>
        <v>58</v>
      </c>
      <c r="B73" s="137">
        <f t="shared" si="12"/>
        <v>140608.12657495032</v>
      </c>
      <c r="C73" s="137">
        <f t="shared" si="18"/>
        <v>9055.2464131765737</v>
      </c>
      <c r="D73" s="137">
        <f t="shared" si="13"/>
        <v>9000</v>
      </c>
      <c r="E73" s="137">
        <f t="shared" si="19"/>
        <v>5142.8571428571431</v>
      </c>
      <c r="F73" s="143">
        <f t="shared" si="20"/>
        <v>3857.1428571428573</v>
      </c>
      <c r="G73" s="143">
        <f t="shared" si="21"/>
        <v>155862.3843428223</v>
      </c>
      <c r="I73" s="144">
        <f t="shared" si="22"/>
        <v>58</v>
      </c>
      <c r="J73" s="132">
        <f t="shared" si="23"/>
        <v>36185.914927376944</v>
      </c>
      <c r="K73" s="132">
        <f t="shared" si="24"/>
        <v>9055.2464131765737</v>
      </c>
      <c r="L73" s="132">
        <f t="shared" si="14"/>
        <v>9000</v>
      </c>
      <c r="M73" s="132">
        <f t="shared" si="15"/>
        <v>3618.5914927376944</v>
      </c>
      <c r="N73" s="132">
        <f t="shared" si="16"/>
        <v>2713.9436195532708</v>
      </c>
      <c r="O73" s="132">
        <f t="shared" si="25"/>
        <v>104178.4917930595</v>
      </c>
    </row>
    <row r="74" spans="1:15" ht="15.6" x14ac:dyDescent="0.3">
      <c r="A74" s="141">
        <f t="shared" si="17"/>
        <v>59</v>
      </c>
      <c r="B74" s="145">
        <f t="shared" si="12"/>
        <v>144123.32973932405</v>
      </c>
      <c r="C74" s="145">
        <f t="shared" si="18"/>
        <v>9236.3513414401059</v>
      </c>
      <c r="D74" s="145">
        <f t="shared" si="13"/>
        <v>9000</v>
      </c>
      <c r="E74" s="145">
        <f t="shared" si="19"/>
        <v>5142.8571428571431</v>
      </c>
      <c r="F74" s="146">
        <f t="shared" si="20"/>
        <v>3857.1428571428573</v>
      </c>
      <c r="G74" s="146">
        <f t="shared" si="21"/>
        <v>172655.50355996343</v>
      </c>
      <c r="I74" s="147">
        <f t="shared" si="22"/>
        <v>59</v>
      </c>
      <c r="J74" s="148">
        <f t="shared" si="23"/>
        <v>37090.562800561354</v>
      </c>
      <c r="K74" s="148">
        <f t="shared" si="24"/>
        <v>9236.3513414401059</v>
      </c>
      <c r="L74" s="148">
        <f t="shared" si="14"/>
        <v>9000</v>
      </c>
      <c r="M74" s="148">
        <f t="shared" si="15"/>
        <v>3709.0562800561356</v>
      </c>
      <c r="N74" s="148">
        <f t="shared" si="16"/>
        <v>2781.7922100421019</v>
      </c>
      <c r="O74" s="148">
        <f t="shared" si="25"/>
        <v>115878.2648728107</v>
      </c>
    </row>
    <row r="75" spans="1:15" ht="16.2" thickBot="1" x14ac:dyDescent="0.35">
      <c r="F75" t="s">
        <v>190</v>
      </c>
      <c r="G75" s="149">
        <f>G74</f>
        <v>172655.50355996343</v>
      </c>
      <c r="I75" s="144"/>
      <c r="J75" s="132"/>
      <c r="K75" s="132"/>
      <c r="L75" s="132"/>
      <c r="M75" s="132"/>
      <c r="N75" s="132" t="s">
        <v>190</v>
      </c>
      <c r="O75" s="150">
        <f>O74</f>
        <v>115878.2648728107</v>
      </c>
    </row>
    <row r="76" spans="1:15" ht="15" thickTop="1" x14ac:dyDescent="0.3">
      <c r="A76" s="151" t="s">
        <v>191</v>
      </c>
    </row>
    <row r="77" spans="1:15" ht="15.6" x14ac:dyDescent="0.3">
      <c r="A77" t="s">
        <v>192</v>
      </c>
      <c r="I77" s="144"/>
      <c r="J77" s="132"/>
      <c r="K77" s="132"/>
      <c r="L77" s="132"/>
      <c r="M77" s="132"/>
      <c r="N77" s="132"/>
      <c r="O77" s="132"/>
    </row>
    <row r="78" spans="1:15" ht="15.6" x14ac:dyDescent="0.3">
      <c r="A78" t="s">
        <v>193</v>
      </c>
      <c r="I78" s="144"/>
      <c r="J78" s="132"/>
      <c r="K78" s="132"/>
      <c r="L78" s="132"/>
      <c r="M78" s="132"/>
      <c r="N78" s="132"/>
      <c r="O78" s="132"/>
    </row>
    <row r="79" spans="1:15" ht="15.6" x14ac:dyDescent="0.3">
      <c r="A79" t="s">
        <v>194</v>
      </c>
      <c r="I79" s="144"/>
      <c r="J79" s="132"/>
      <c r="K79" s="132"/>
      <c r="L79" s="132"/>
      <c r="M79" s="132"/>
      <c r="N79" s="132"/>
      <c r="O79" s="132"/>
    </row>
    <row r="80" spans="1:15" ht="15.6" x14ac:dyDescent="0.3">
      <c r="I80" s="144"/>
      <c r="J80" s="132"/>
      <c r="K80" s="132"/>
      <c r="L80" s="132"/>
      <c r="M80" s="132"/>
      <c r="N80" s="132"/>
      <c r="O80" s="132"/>
    </row>
    <row r="81" spans="9:15" ht="15.6" x14ac:dyDescent="0.3">
      <c r="I81" s="144"/>
      <c r="J81" s="132"/>
      <c r="K81" s="132"/>
      <c r="L81" s="132"/>
      <c r="M81" s="132"/>
      <c r="N81" s="132"/>
      <c r="O81" s="132"/>
    </row>
    <row r="82" spans="9:15" ht="15.6" x14ac:dyDescent="0.3">
      <c r="I82" s="144"/>
      <c r="J82" s="132"/>
      <c r="K82" s="132"/>
      <c r="L82" s="132"/>
      <c r="M82" s="132"/>
      <c r="N82" s="132"/>
      <c r="O82" s="132"/>
    </row>
    <row r="83" spans="9:15" ht="15.6" x14ac:dyDescent="0.3">
      <c r="I83" s="144"/>
      <c r="J83" s="132"/>
      <c r="K83" s="132"/>
      <c r="L83" s="132"/>
      <c r="M83" s="132"/>
      <c r="N83" s="132"/>
      <c r="O83" s="132"/>
    </row>
    <row r="84" spans="9:15" ht="15.6" x14ac:dyDescent="0.3">
      <c r="I84" s="144"/>
      <c r="J84" s="132"/>
      <c r="K84" s="132"/>
      <c r="L84" s="132"/>
      <c r="M84" s="132"/>
      <c r="N84" s="132"/>
      <c r="O84" s="132"/>
    </row>
    <row r="85" spans="9:15" ht="15.6" x14ac:dyDescent="0.3">
      <c r="I85" s="144"/>
      <c r="J85" s="132"/>
      <c r="K85" s="132"/>
      <c r="L85" s="132"/>
      <c r="M85" s="132"/>
      <c r="N85" s="132"/>
      <c r="O85" s="132"/>
    </row>
    <row r="86" spans="9:15" ht="15.6" x14ac:dyDescent="0.3">
      <c r="I86" s="144"/>
      <c r="J86" s="132"/>
      <c r="K86" s="132"/>
      <c r="L86" s="132"/>
      <c r="M86" s="132"/>
      <c r="N86" s="132"/>
      <c r="O86" s="132"/>
    </row>
    <row r="87" spans="9:15" ht="15.6" x14ac:dyDescent="0.3">
      <c r="I87" s="144"/>
      <c r="J87" s="132"/>
      <c r="K87" s="132"/>
      <c r="L87" s="132"/>
      <c r="M87" s="132"/>
      <c r="N87" s="132"/>
      <c r="O87" s="132"/>
    </row>
    <row r="88" spans="9:15" ht="15.6" x14ac:dyDescent="0.3">
      <c r="I88" s="144"/>
      <c r="J88" s="132"/>
      <c r="K88" s="132"/>
      <c r="L88" s="132"/>
      <c r="M88" s="132"/>
      <c r="N88" s="132"/>
      <c r="O88" s="132"/>
    </row>
    <row r="89" spans="9:15" ht="15.6" x14ac:dyDescent="0.3">
      <c r="I89" s="144"/>
      <c r="J89" s="132"/>
      <c r="K89" s="132"/>
      <c r="L89" s="132"/>
      <c r="M89" s="132"/>
      <c r="N89" s="132"/>
      <c r="O89" s="132"/>
    </row>
    <row r="90" spans="9:15" ht="16.2" thickBot="1" x14ac:dyDescent="0.35">
      <c r="I90" s="144"/>
      <c r="J90" s="132"/>
      <c r="K90" s="132"/>
      <c r="L90" s="132"/>
      <c r="M90" s="132"/>
      <c r="N90" s="140"/>
      <c r="O90" s="149"/>
    </row>
    <row r="91" spans="9:15" ht="16.2" thickTop="1" x14ac:dyDescent="0.3">
      <c r="I91" s="144"/>
      <c r="J91" s="132"/>
      <c r="K91" s="132"/>
      <c r="L91" s="132"/>
      <c r="M91" s="132"/>
      <c r="N91" s="140"/>
      <c r="O91" s="140"/>
    </row>
    <row r="92" spans="9:15" ht="15.6" x14ac:dyDescent="0.3">
      <c r="I92" s="144"/>
      <c r="J92" s="132"/>
      <c r="K92" s="132"/>
      <c r="L92" s="132"/>
      <c r="M92" s="132"/>
      <c r="N92" s="140"/>
      <c r="O92" s="140"/>
    </row>
  </sheetData>
  <mergeCells count="4">
    <mergeCell ref="A36:F36"/>
    <mergeCell ref="I36:N36"/>
    <mergeCell ref="A57:G57"/>
    <mergeCell ref="I57:O5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CA1C-77C4-4B87-AD74-3E1AA0A69ACD}">
  <sheetPr>
    <tabColor theme="5" tint="0.39997558519241921"/>
  </sheetPr>
  <dimension ref="A1:O46"/>
  <sheetViews>
    <sheetView zoomScale="115" zoomScaleNormal="115" workbookViewId="0"/>
  </sheetViews>
  <sheetFormatPr defaultRowHeight="14.4" x14ac:dyDescent="0.3"/>
  <cols>
    <col min="1" max="2" width="3.44140625" customWidth="1"/>
    <col min="10" max="10" width="12.44140625" bestFit="1" customWidth="1"/>
    <col min="11" max="11" width="13.109375" customWidth="1"/>
    <col min="12" max="12" width="4.33203125" customWidth="1"/>
    <col min="13" max="13" width="9.109375" customWidth="1"/>
    <col min="14" max="14" width="13.44140625" bestFit="1" customWidth="1"/>
    <col min="15" max="15" width="17" customWidth="1"/>
  </cols>
  <sheetData>
    <row r="1" spans="1:15" x14ac:dyDescent="0.3">
      <c r="A1" s="177" t="s">
        <v>209</v>
      </c>
    </row>
    <row r="3" spans="1:15" x14ac:dyDescent="0.3">
      <c r="A3" s="4" t="s">
        <v>1</v>
      </c>
    </row>
    <row r="4" spans="1:15" x14ac:dyDescent="0.3">
      <c r="A4" t="s">
        <v>135</v>
      </c>
    </row>
    <row r="6" spans="1:15" ht="33" customHeight="1" x14ac:dyDescent="0.3">
      <c r="M6" s="111" t="s">
        <v>121</v>
      </c>
      <c r="N6" s="111" t="s">
        <v>120</v>
      </c>
      <c r="O6" s="110" t="s">
        <v>119</v>
      </c>
    </row>
    <row r="7" spans="1:15" x14ac:dyDescent="0.3">
      <c r="C7" s="152" t="s">
        <v>118</v>
      </c>
      <c r="D7" s="152"/>
      <c r="E7" s="152"/>
      <c r="F7" s="152"/>
      <c r="G7" s="152"/>
      <c r="H7" s="152"/>
      <c r="I7" s="152"/>
      <c r="J7" s="152"/>
      <c r="K7" s="152"/>
      <c r="M7" s="109">
        <v>1998</v>
      </c>
      <c r="N7" s="108">
        <v>0.28339999999999999</v>
      </c>
      <c r="O7" s="108">
        <v>7.6300000000000007E-2</v>
      </c>
    </row>
    <row r="8" spans="1:15" x14ac:dyDescent="0.3">
      <c r="C8" s="152"/>
      <c r="D8" s="152"/>
      <c r="E8" s="152"/>
      <c r="F8" s="152"/>
      <c r="G8" s="152"/>
      <c r="H8" s="152"/>
      <c r="I8" s="152"/>
      <c r="J8" s="152"/>
      <c r="K8" s="152"/>
      <c r="M8" s="109">
        <v>1999</v>
      </c>
      <c r="N8" s="108">
        <v>0.2089</v>
      </c>
      <c r="O8" s="108">
        <v>9.1000000000000004E-3</v>
      </c>
    </row>
    <row r="9" spans="1:15" x14ac:dyDescent="0.3">
      <c r="C9" s="152"/>
      <c r="D9" s="152"/>
      <c r="E9" s="152"/>
      <c r="F9" s="152"/>
      <c r="G9" s="152"/>
      <c r="H9" s="152"/>
      <c r="I9" s="152"/>
      <c r="J9" s="152"/>
      <c r="K9" s="152"/>
      <c r="M9" s="109">
        <v>2000</v>
      </c>
      <c r="N9" s="108">
        <v>-9.0300000000000005E-2</v>
      </c>
      <c r="O9" s="108">
        <v>9.3899999999999997E-2</v>
      </c>
    </row>
    <row r="10" spans="1:15" x14ac:dyDescent="0.3">
      <c r="C10" s="152"/>
      <c r="D10" s="152"/>
      <c r="E10" s="152"/>
      <c r="F10" s="152"/>
      <c r="G10" s="152"/>
      <c r="H10" s="152"/>
      <c r="I10" s="152"/>
      <c r="J10" s="152"/>
      <c r="K10" s="152"/>
      <c r="M10" s="109">
        <v>2001</v>
      </c>
      <c r="N10" s="108">
        <v>-0.11849999999999999</v>
      </c>
      <c r="O10" s="108">
        <v>8.5400000000000004E-2</v>
      </c>
    </row>
    <row r="11" spans="1:15" x14ac:dyDescent="0.3">
      <c r="C11" s="152"/>
      <c r="D11" s="152"/>
      <c r="E11" s="152"/>
      <c r="F11" s="152"/>
      <c r="G11" s="152"/>
      <c r="H11" s="152"/>
      <c r="I11" s="152"/>
      <c r="J11" s="152"/>
      <c r="K11" s="152"/>
      <c r="M11" s="109">
        <v>2002</v>
      </c>
      <c r="N11" s="108">
        <v>-0.21970000000000001</v>
      </c>
      <c r="O11" s="108">
        <v>0.12139999999999999</v>
      </c>
    </row>
    <row r="12" spans="1:15" x14ac:dyDescent="0.3">
      <c r="C12" s="152"/>
      <c r="D12" s="152"/>
      <c r="E12" s="152"/>
      <c r="F12" s="152"/>
      <c r="G12" s="152"/>
      <c r="H12" s="152"/>
      <c r="I12" s="152"/>
      <c r="J12" s="152"/>
      <c r="K12" s="152"/>
      <c r="M12" s="109">
        <v>2003</v>
      </c>
      <c r="N12" s="108">
        <v>0.28360000000000002</v>
      </c>
      <c r="O12" s="108">
        <v>0.1232</v>
      </c>
    </row>
    <row r="13" spans="1:15" x14ac:dyDescent="0.3">
      <c r="C13" s="152"/>
      <c r="D13" s="152"/>
      <c r="E13" s="152"/>
      <c r="F13" s="152"/>
      <c r="G13" s="152"/>
      <c r="H13" s="152"/>
      <c r="I13" s="152"/>
      <c r="J13" s="152"/>
      <c r="K13" s="152"/>
      <c r="M13" s="109">
        <v>2004</v>
      </c>
      <c r="N13" s="108">
        <v>0.1074</v>
      </c>
      <c r="O13" s="108">
        <v>0.10349999999999999</v>
      </c>
    </row>
    <row r="14" spans="1:15" x14ac:dyDescent="0.3">
      <c r="C14" s="152"/>
      <c r="D14" s="152"/>
      <c r="E14" s="152"/>
      <c r="F14" s="152"/>
      <c r="G14" s="152"/>
      <c r="H14" s="152"/>
      <c r="I14" s="152"/>
      <c r="J14" s="152"/>
      <c r="K14" s="152"/>
      <c r="M14" s="109">
        <v>2005</v>
      </c>
      <c r="N14" s="108">
        <v>4.8300000000000003E-2</v>
      </c>
      <c r="O14" s="108">
        <v>5.2999999999999999E-2</v>
      </c>
    </row>
    <row r="15" spans="1:15" x14ac:dyDescent="0.3">
      <c r="C15" s="152"/>
      <c r="D15" s="152"/>
      <c r="E15" s="152"/>
      <c r="F15" s="152"/>
      <c r="G15" s="152"/>
      <c r="H15" s="152"/>
      <c r="I15" s="152"/>
      <c r="J15" s="152"/>
      <c r="K15" s="152"/>
      <c r="M15" s="109">
        <v>2006</v>
      </c>
      <c r="N15" s="108">
        <v>0.15609999999999999</v>
      </c>
      <c r="O15" s="108">
        <v>5.1999999999999998E-2</v>
      </c>
    </row>
    <row r="16" spans="1:15" x14ac:dyDescent="0.3">
      <c r="C16" s="152"/>
      <c r="D16" s="152"/>
      <c r="E16" s="152"/>
      <c r="F16" s="152"/>
      <c r="G16" s="152"/>
      <c r="H16" s="152"/>
      <c r="I16" s="152"/>
      <c r="J16" s="152"/>
      <c r="K16" s="152"/>
      <c r="M16" s="109">
        <v>2007</v>
      </c>
      <c r="N16" s="108">
        <v>5.4800000000000001E-2</v>
      </c>
      <c r="O16" s="108">
        <v>4.8399999999999999E-2</v>
      </c>
    </row>
    <row r="17" spans="3:15" x14ac:dyDescent="0.3">
      <c r="C17" s="152"/>
      <c r="D17" s="152"/>
      <c r="E17" s="152"/>
      <c r="F17" s="152"/>
      <c r="G17" s="152"/>
      <c r="H17" s="152"/>
      <c r="I17" s="152"/>
      <c r="J17" s="152"/>
      <c r="K17" s="152"/>
      <c r="M17" s="109">
        <v>2008</v>
      </c>
      <c r="N17" s="108">
        <v>-0.36549999999999999</v>
      </c>
      <c r="O17" s="108">
        <v>-3.5400000000000001E-2</v>
      </c>
    </row>
    <row r="18" spans="3:15" x14ac:dyDescent="0.3">
      <c r="C18" s="152"/>
      <c r="D18" s="152"/>
      <c r="E18" s="152"/>
      <c r="F18" s="152"/>
      <c r="G18" s="152"/>
      <c r="H18" s="152"/>
      <c r="I18" s="152"/>
      <c r="J18" s="152"/>
      <c r="K18" s="152"/>
      <c r="M18" s="109">
        <v>2009</v>
      </c>
      <c r="N18" s="108">
        <v>0.25940000000000002</v>
      </c>
      <c r="O18" s="108">
        <v>0.2021</v>
      </c>
    </row>
    <row r="19" spans="3:15" x14ac:dyDescent="0.3">
      <c r="C19" s="152"/>
      <c r="D19" s="152"/>
      <c r="E19" s="152"/>
      <c r="F19" s="152"/>
      <c r="G19" s="152"/>
      <c r="H19" s="152"/>
      <c r="I19" s="152"/>
      <c r="J19" s="152"/>
      <c r="K19" s="152"/>
      <c r="M19" s="109">
        <v>2010</v>
      </c>
      <c r="N19" s="108">
        <v>0.1482</v>
      </c>
      <c r="O19" s="108">
        <v>9.4100000000000003E-2</v>
      </c>
    </row>
    <row r="20" spans="3:15" x14ac:dyDescent="0.3">
      <c r="C20" s="152"/>
      <c r="D20" s="152"/>
      <c r="E20" s="152"/>
      <c r="F20" s="152"/>
      <c r="G20" s="152"/>
      <c r="H20" s="152"/>
      <c r="I20" s="152"/>
      <c r="J20" s="152"/>
      <c r="K20" s="152"/>
      <c r="M20" s="109">
        <v>2011</v>
      </c>
      <c r="N20" s="108">
        <v>2.1000000000000001E-2</v>
      </c>
      <c r="O20" s="108">
        <v>0.1226</v>
      </c>
    </row>
    <row r="21" spans="3:15" x14ac:dyDescent="0.3">
      <c r="C21" s="152"/>
      <c r="D21" s="152"/>
      <c r="E21" s="152"/>
      <c r="F21" s="152"/>
      <c r="G21" s="152"/>
      <c r="H21" s="152"/>
      <c r="I21" s="152"/>
      <c r="J21" s="152"/>
      <c r="K21" s="152"/>
      <c r="M21" s="109">
        <v>2012</v>
      </c>
      <c r="N21" s="108">
        <v>0.15890000000000001</v>
      </c>
      <c r="O21" s="108">
        <v>9.3299999999999994E-2</v>
      </c>
    </row>
    <row r="22" spans="3:15" x14ac:dyDescent="0.3">
      <c r="C22" s="152"/>
      <c r="D22" s="152"/>
      <c r="E22" s="152"/>
      <c r="F22" s="152"/>
      <c r="G22" s="152"/>
      <c r="H22" s="152"/>
      <c r="I22" s="152"/>
      <c r="J22" s="152"/>
      <c r="K22" s="152"/>
      <c r="M22" s="109">
        <v>2013</v>
      </c>
      <c r="N22" s="108">
        <v>0.32150000000000001</v>
      </c>
      <c r="O22" s="108">
        <v>-9.7999999999999997E-3</v>
      </c>
    </row>
    <row r="23" spans="3:15" x14ac:dyDescent="0.3">
      <c r="C23" s="152"/>
      <c r="D23" s="152"/>
      <c r="E23" s="152"/>
      <c r="F23" s="152"/>
      <c r="G23" s="152"/>
      <c r="H23" s="152"/>
      <c r="I23" s="152"/>
      <c r="J23" s="152"/>
      <c r="K23" s="152"/>
      <c r="M23" s="109">
        <v>2014</v>
      </c>
      <c r="N23" s="108">
        <v>0.13519999999999999</v>
      </c>
      <c r="O23" s="108">
        <v>0.10780000000000001</v>
      </c>
    </row>
    <row r="24" spans="3:15" x14ac:dyDescent="0.3">
      <c r="C24" s="152"/>
      <c r="D24" s="152"/>
      <c r="E24" s="152"/>
      <c r="F24" s="152"/>
      <c r="G24" s="152"/>
      <c r="H24" s="152"/>
      <c r="I24" s="152"/>
      <c r="J24" s="152"/>
      <c r="K24" s="152"/>
      <c r="M24" s="109">
        <v>2015</v>
      </c>
      <c r="N24" s="108">
        <v>1.38E-2</v>
      </c>
      <c r="O24" s="108">
        <v>-1.4999999999999999E-2</v>
      </c>
    </row>
    <row r="25" spans="3:15" x14ac:dyDescent="0.3">
      <c r="C25" s="152"/>
      <c r="D25" s="152"/>
      <c r="E25" s="152"/>
      <c r="F25" s="152"/>
      <c r="G25" s="152"/>
      <c r="H25" s="152"/>
      <c r="I25" s="152"/>
      <c r="J25" s="152"/>
      <c r="K25" s="152"/>
      <c r="M25" s="109">
        <v>2016</v>
      </c>
      <c r="N25" s="108">
        <v>0.1177</v>
      </c>
      <c r="O25" s="108">
        <v>0.1152</v>
      </c>
    </row>
    <row r="26" spans="3:15" x14ac:dyDescent="0.3">
      <c r="C26" s="152"/>
      <c r="D26" s="152"/>
      <c r="E26" s="152"/>
      <c r="F26" s="152"/>
      <c r="G26" s="152"/>
      <c r="H26" s="152"/>
      <c r="I26" s="152"/>
      <c r="J26" s="152"/>
      <c r="K26" s="152"/>
      <c r="M26" s="109">
        <v>2017</v>
      </c>
      <c r="N26" s="108">
        <v>0.21609999999999999</v>
      </c>
      <c r="O26" s="108">
        <v>9.2299999999999993E-2</v>
      </c>
    </row>
    <row r="27" spans="3:15" x14ac:dyDescent="0.3">
      <c r="C27" s="152"/>
      <c r="D27" s="152"/>
      <c r="E27" s="152"/>
      <c r="F27" s="152"/>
      <c r="G27" s="152"/>
      <c r="H27" s="152"/>
      <c r="I27" s="152"/>
      <c r="J27" s="152"/>
      <c r="K27" s="152"/>
      <c r="M27" s="109">
        <v>2018</v>
      </c>
      <c r="N27" s="108">
        <v>-4.2299999999999997E-2</v>
      </c>
      <c r="O27" s="108">
        <v>-3.27E-2</v>
      </c>
    </row>
    <row r="28" spans="3:15" x14ac:dyDescent="0.3">
      <c r="C28" s="152"/>
      <c r="D28" s="152"/>
      <c r="E28" s="152"/>
      <c r="F28" s="152"/>
      <c r="G28" s="152"/>
      <c r="H28" s="152"/>
      <c r="I28" s="152"/>
      <c r="J28" s="152"/>
      <c r="K28" s="152"/>
      <c r="M28" s="109">
        <v>2019</v>
      </c>
      <c r="N28" s="108">
        <v>0.31209999999999999</v>
      </c>
      <c r="O28" s="108">
        <v>0.1525</v>
      </c>
    </row>
    <row r="29" spans="3:15" x14ac:dyDescent="0.3">
      <c r="C29" s="152"/>
      <c r="D29" s="152"/>
      <c r="E29" s="152"/>
      <c r="F29" s="152"/>
      <c r="G29" s="152"/>
      <c r="H29" s="152"/>
      <c r="I29" s="152"/>
      <c r="J29" s="152"/>
      <c r="K29" s="152"/>
      <c r="M29" s="109">
        <v>2020</v>
      </c>
      <c r="N29" s="108">
        <v>0.1802</v>
      </c>
      <c r="O29" s="108">
        <v>0.106</v>
      </c>
    </row>
    <row r="30" spans="3:15" x14ac:dyDescent="0.3">
      <c r="C30" s="152"/>
      <c r="D30" s="152"/>
      <c r="E30" s="152"/>
      <c r="F30" s="152"/>
      <c r="G30" s="152"/>
      <c r="H30" s="152"/>
      <c r="I30" s="152"/>
      <c r="J30" s="152"/>
      <c r="K30" s="152"/>
      <c r="M30" s="109">
        <v>2021</v>
      </c>
      <c r="N30" s="108">
        <v>0.28470000000000001</v>
      </c>
      <c r="O30" s="108">
        <v>9.2999999999999992E-3</v>
      </c>
    </row>
    <row r="31" spans="3:15" x14ac:dyDescent="0.3">
      <c r="C31" s="152"/>
      <c r="D31" s="152"/>
      <c r="E31" s="152"/>
      <c r="F31" s="152"/>
      <c r="G31" s="152"/>
      <c r="H31" s="152"/>
      <c r="I31" s="152"/>
      <c r="J31" s="152"/>
      <c r="K31" s="152"/>
      <c r="M31" s="109">
        <v>2022</v>
      </c>
      <c r="N31" s="108">
        <v>-0.1804</v>
      </c>
      <c r="O31" s="108">
        <v>-0.15140000000000001</v>
      </c>
    </row>
    <row r="32" spans="3:15" x14ac:dyDescent="0.3">
      <c r="C32" s="152"/>
      <c r="D32" s="152"/>
      <c r="E32" s="152"/>
      <c r="F32" s="152"/>
      <c r="G32" s="152"/>
      <c r="H32" s="152"/>
      <c r="I32" s="152"/>
      <c r="J32" s="152"/>
      <c r="K32" s="152"/>
      <c r="N32" s="27"/>
    </row>
    <row r="33" spans="3:11" x14ac:dyDescent="0.3">
      <c r="C33" s="152"/>
      <c r="D33" s="152"/>
      <c r="E33" s="152"/>
      <c r="F33" s="152"/>
      <c r="G33" s="152"/>
      <c r="H33" s="152"/>
      <c r="I33" s="152"/>
      <c r="J33" s="152"/>
      <c r="K33" s="152"/>
    </row>
    <row r="34" spans="3:11" x14ac:dyDescent="0.3">
      <c r="C34" s="152"/>
      <c r="D34" s="152"/>
      <c r="E34" s="152"/>
      <c r="F34" s="152"/>
      <c r="G34" s="152"/>
      <c r="H34" s="152"/>
      <c r="I34" s="152"/>
      <c r="J34" s="152"/>
      <c r="K34" s="152"/>
    </row>
    <row r="35" spans="3:11" x14ac:dyDescent="0.3">
      <c r="C35" s="152"/>
      <c r="D35" s="152"/>
      <c r="E35" s="152"/>
      <c r="F35" s="152"/>
      <c r="G35" s="152"/>
      <c r="H35" s="152"/>
      <c r="I35" s="152"/>
      <c r="J35" s="152"/>
      <c r="K35" s="152"/>
    </row>
    <row r="36" spans="3:11" x14ac:dyDescent="0.3">
      <c r="F36" s="12"/>
    </row>
    <row r="37" spans="3:11" x14ac:dyDescent="0.3">
      <c r="F37" s="12"/>
    </row>
    <row r="38" spans="3:11" x14ac:dyDescent="0.3">
      <c r="F38" s="12"/>
    </row>
    <row r="39" spans="3:11" x14ac:dyDescent="0.3">
      <c r="F39" s="12"/>
    </row>
    <row r="40" spans="3:11" x14ac:dyDescent="0.3">
      <c r="F40" s="12"/>
    </row>
    <row r="41" spans="3:11" x14ac:dyDescent="0.3">
      <c r="F41" s="12"/>
    </row>
    <row r="42" spans="3:11" x14ac:dyDescent="0.3">
      <c r="F42" s="12"/>
    </row>
    <row r="43" spans="3:11" x14ac:dyDescent="0.3">
      <c r="F43" s="12"/>
    </row>
    <row r="44" spans="3:11" x14ac:dyDescent="0.3">
      <c r="F44" s="12"/>
    </row>
    <row r="45" spans="3:11" x14ac:dyDescent="0.3">
      <c r="F45" s="12"/>
    </row>
    <row r="46" spans="3:11" x14ac:dyDescent="0.3">
      <c r="F46" s="12"/>
    </row>
  </sheetData>
  <mergeCells count="1">
    <mergeCell ref="C7:K3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3E30-20A9-4235-B731-E82CB01187BB}">
  <sheetPr>
    <tabColor theme="9" tint="0.59999389629810485"/>
  </sheetPr>
  <dimension ref="A1:U80"/>
  <sheetViews>
    <sheetView zoomScale="115" zoomScaleNormal="115" workbookViewId="0"/>
  </sheetViews>
  <sheetFormatPr defaultRowHeight="14.4" x14ac:dyDescent="0.3"/>
  <cols>
    <col min="4" max="4" width="16.6640625" customWidth="1"/>
    <col min="5" max="5" width="23.77734375" customWidth="1"/>
    <col min="6" max="6" width="30.77734375" customWidth="1"/>
    <col min="7" max="7" width="14.44140625" customWidth="1"/>
    <col min="8" max="9" width="13.88671875" bestFit="1" customWidth="1"/>
    <col min="10" max="10" width="8.88671875" customWidth="1"/>
    <col min="11" max="21" width="13.88671875" customWidth="1"/>
  </cols>
  <sheetData>
    <row r="1" spans="1:21" x14ac:dyDescent="0.3">
      <c r="A1" s="177" t="s">
        <v>209</v>
      </c>
    </row>
    <row r="3" spans="1:21" x14ac:dyDescent="0.3">
      <c r="A3" s="4" t="s">
        <v>1</v>
      </c>
    </row>
    <row r="4" spans="1:21" x14ac:dyDescent="0.3">
      <c r="A4" t="s">
        <v>135</v>
      </c>
    </row>
    <row r="6" spans="1:21" x14ac:dyDescent="0.3">
      <c r="H6" s="58"/>
      <c r="I6" s="22"/>
      <c r="J6" s="22"/>
      <c r="K6" s="162" t="s">
        <v>131</v>
      </c>
      <c r="L6" s="163"/>
      <c r="M6" s="163"/>
      <c r="N6" s="61"/>
      <c r="O6" s="162" t="s">
        <v>130</v>
      </c>
      <c r="P6" s="163"/>
      <c r="Q6" s="163"/>
      <c r="R6" s="61"/>
      <c r="S6" s="162" t="s">
        <v>129</v>
      </c>
      <c r="T6" s="163"/>
      <c r="U6" s="164"/>
    </row>
    <row r="7" spans="1:21" ht="43.2" x14ac:dyDescent="0.3">
      <c r="D7" s="14" t="s">
        <v>121</v>
      </c>
      <c r="E7" s="14" t="s">
        <v>120</v>
      </c>
      <c r="F7" s="122" t="s">
        <v>134</v>
      </c>
      <c r="H7" s="64" t="s">
        <v>121</v>
      </c>
      <c r="I7" s="123" t="s">
        <v>133</v>
      </c>
      <c r="K7" s="122" t="s">
        <v>127</v>
      </c>
      <c r="L7" s="7"/>
      <c r="M7" s="122" t="s">
        <v>126</v>
      </c>
      <c r="N7" s="122"/>
      <c r="O7" s="122" t="s">
        <v>127</v>
      </c>
      <c r="P7" s="7"/>
      <c r="Q7" s="122" t="s">
        <v>126</v>
      </c>
      <c r="R7" s="122"/>
      <c r="S7" s="122" t="s">
        <v>127</v>
      </c>
      <c r="T7" s="7"/>
      <c r="U7" s="65" t="s">
        <v>126</v>
      </c>
    </row>
    <row r="8" spans="1:21" x14ac:dyDescent="0.3">
      <c r="D8">
        <v>1998</v>
      </c>
      <c r="E8" s="27">
        <v>0.28339999999999999</v>
      </c>
      <c r="F8" s="27">
        <v>7.6300000000000007E-2</v>
      </c>
      <c r="H8" s="24">
        <v>1998</v>
      </c>
      <c r="I8" s="60">
        <f t="shared" ref="I8:I32" si="0">0.6*E8+0.4*F8</f>
        <v>0.20056000000000002</v>
      </c>
      <c r="K8" s="60">
        <f t="shared" ref="K8:K32" si="1">I8-0.05</f>
        <v>0.15056000000000003</v>
      </c>
      <c r="L8" s="9">
        <f t="shared" ref="L8:L32" si="2">1+K8</f>
        <v>1.15056</v>
      </c>
      <c r="M8" s="9">
        <f>K8</f>
        <v>0.15056000000000003</v>
      </c>
      <c r="N8" s="9"/>
      <c r="O8" s="60">
        <f>K8/3</f>
        <v>5.0186666666666678E-2</v>
      </c>
      <c r="P8" s="9">
        <f t="shared" ref="P8:P32" si="3">1+O8</f>
        <v>1.0501866666666666</v>
      </c>
      <c r="Q8" s="9">
        <f>O8</f>
        <v>5.0186666666666678E-2</v>
      </c>
      <c r="R8" s="9"/>
      <c r="S8" s="60">
        <f>K8/5</f>
        <v>3.0112000000000007E-2</v>
      </c>
      <c r="T8" s="9">
        <f t="shared" ref="T8:T32" si="4">1+S8</f>
        <v>1.0301119999999999</v>
      </c>
      <c r="U8" s="114">
        <f>S8</f>
        <v>3.0112000000000007E-2</v>
      </c>
    </row>
    <row r="9" spans="1:21" x14ac:dyDescent="0.3">
      <c r="D9">
        <v>1999</v>
      </c>
      <c r="E9" s="27">
        <v>0.2089</v>
      </c>
      <c r="F9" s="27">
        <v>9.1000000000000004E-3</v>
      </c>
      <c r="H9" s="24">
        <v>1999</v>
      </c>
      <c r="I9" s="60">
        <f t="shared" si="0"/>
        <v>0.12898000000000001</v>
      </c>
      <c r="K9" s="60">
        <f t="shared" si="1"/>
        <v>7.8980000000000009E-2</v>
      </c>
      <c r="L9" s="9">
        <f t="shared" si="2"/>
        <v>1.0789800000000001</v>
      </c>
      <c r="M9" s="60">
        <f>PRODUCT(L$8:L9)^(1/($H9+1-1998))-1</f>
        <v>0.11419532793850817</v>
      </c>
      <c r="N9" s="60"/>
      <c r="O9" s="60">
        <f>(K8+K9)/3</f>
        <v>7.6513333333333336E-2</v>
      </c>
      <c r="P9" s="9">
        <f t="shared" si="3"/>
        <v>1.0765133333333334</v>
      </c>
      <c r="Q9" s="60">
        <f>PRODUCT(P$8:P9)^(1/($H9+1-1998))-1</f>
        <v>6.3268521661182131E-2</v>
      </c>
      <c r="R9" s="60"/>
      <c r="S9" s="60">
        <f>(K8+K9)/5</f>
        <v>4.5908000000000004E-2</v>
      </c>
      <c r="T9" s="9">
        <f t="shared" si="4"/>
        <v>1.0459080000000001</v>
      </c>
      <c r="U9" s="63">
        <f>PRODUCT(T$8:T9)^(1/($H9+1-1998))-1</f>
        <v>3.7979952453803367E-2</v>
      </c>
    </row>
    <row r="10" spans="1:21" x14ac:dyDescent="0.3">
      <c r="D10">
        <v>2000</v>
      </c>
      <c r="E10" s="27">
        <v>-9.0300000000000005E-2</v>
      </c>
      <c r="F10" s="27">
        <v>9.3899999999999997E-2</v>
      </c>
      <c r="H10" s="24">
        <v>2000</v>
      </c>
      <c r="I10" s="60">
        <f t="shared" si="0"/>
        <v>-1.6619999999999996E-2</v>
      </c>
      <c r="K10" s="60">
        <f t="shared" si="1"/>
        <v>-6.6619999999999999E-2</v>
      </c>
      <c r="L10" s="9">
        <f t="shared" si="2"/>
        <v>0.93337999999999999</v>
      </c>
      <c r="M10" s="60">
        <f>PRODUCT(L$8:L10)^(1/($H10+1-1998))-1</f>
        <v>5.0333100767528949E-2</v>
      </c>
      <c r="N10" s="60"/>
      <c r="O10" s="60">
        <f t="shared" ref="O10:O32" si="5">SUM(K8:K10)/3</f>
        <v>5.430666666666667E-2</v>
      </c>
      <c r="P10" s="9">
        <f t="shared" si="3"/>
        <v>1.0543066666666667</v>
      </c>
      <c r="Q10" s="60">
        <f>PRODUCT(P$8:P10)^(1/($H10+1-1998))-1</f>
        <v>6.0272804273433067E-2</v>
      </c>
      <c r="R10" s="60"/>
      <c r="S10" s="60">
        <f>SUM(K8:K10)/5</f>
        <v>3.2584000000000002E-2</v>
      </c>
      <c r="T10" s="9">
        <f t="shared" si="4"/>
        <v>1.0325839999999999</v>
      </c>
      <c r="U10" s="63">
        <f>PRODUCT(T$8:T10)^(1/($H10+1-1998))-1</f>
        <v>3.6178175833136983E-2</v>
      </c>
    </row>
    <row r="11" spans="1:21" x14ac:dyDescent="0.3">
      <c r="D11">
        <v>2001</v>
      </c>
      <c r="E11" s="27">
        <v>-0.11849999999999999</v>
      </c>
      <c r="F11" s="27">
        <v>8.5400000000000004E-2</v>
      </c>
      <c r="H11" s="24">
        <v>2001</v>
      </c>
      <c r="I11" s="60">
        <f t="shared" si="0"/>
        <v>-3.6939999999999994E-2</v>
      </c>
      <c r="K11" s="60">
        <f t="shared" si="1"/>
        <v>-8.693999999999999E-2</v>
      </c>
      <c r="L11" s="9">
        <f t="shared" si="2"/>
        <v>0.91305999999999998</v>
      </c>
      <c r="M11" s="60">
        <f>PRODUCT(L$8:L11)^(1/($H11+1-1998))-1</f>
        <v>1.4191855350436322E-2</v>
      </c>
      <c r="N11" s="60"/>
      <c r="O11" s="60">
        <f t="shared" si="5"/>
        <v>-2.4859999999999993E-2</v>
      </c>
      <c r="P11" s="9">
        <f t="shared" si="3"/>
        <v>0.97514000000000001</v>
      </c>
      <c r="Q11" s="60">
        <f>PRODUCT(P$8:P11)^(1/($H11+1-1998))-1</f>
        <v>3.8316987439310113E-2</v>
      </c>
      <c r="R11" s="60"/>
      <c r="S11" s="60">
        <f>SUM(K8:K11)/5</f>
        <v>1.5196000000000005E-2</v>
      </c>
      <c r="T11" s="9">
        <f t="shared" si="4"/>
        <v>1.015196</v>
      </c>
      <c r="U11" s="63">
        <f>PRODUCT(T$8:T11)^(1/($H11+1-1998))-1</f>
        <v>3.0892322182527243E-2</v>
      </c>
    </row>
    <row r="12" spans="1:21" x14ac:dyDescent="0.3">
      <c r="D12">
        <v>2002</v>
      </c>
      <c r="E12" s="27">
        <v>-0.21970000000000001</v>
      </c>
      <c r="F12" s="27">
        <v>0.12139999999999999</v>
      </c>
      <c r="H12" s="24">
        <v>2002</v>
      </c>
      <c r="I12" s="60">
        <f t="shared" si="0"/>
        <v>-8.3260000000000001E-2</v>
      </c>
      <c r="K12" s="121">
        <f t="shared" si="1"/>
        <v>-0.13325999999999999</v>
      </c>
      <c r="L12" s="9">
        <f t="shared" si="2"/>
        <v>0.86674000000000007</v>
      </c>
      <c r="M12" s="60">
        <f>PRODUCT(L$8:L12)^(1/($H12+1-1998))-1</f>
        <v>-1.7180278000389793E-2</v>
      </c>
      <c r="N12" s="60"/>
      <c r="O12" s="121">
        <f t="shared" si="5"/>
        <v>-9.5606666666666659E-2</v>
      </c>
      <c r="P12" s="9">
        <f t="shared" si="3"/>
        <v>0.90439333333333338</v>
      </c>
      <c r="Q12" s="60">
        <f>PRODUCT(P$8:P12)^(1/($H12+1-1998))-1</f>
        <v>1.0032708331721985E-2</v>
      </c>
      <c r="R12" s="60"/>
      <c r="S12" s="121">
        <f t="shared" ref="S12:S32" si="6">SUM(K8:K12)/5</f>
        <v>-1.1455999999999994E-2</v>
      </c>
      <c r="T12" s="9">
        <f t="shared" si="4"/>
        <v>0.98854399999999998</v>
      </c>
      <c r="U12" s="63">
        <f>PRODUCT(T$8:T12)^(1/($H12+1-1998))-1</f>
        <v>2.2279954581178485E-2</v>
      </c>
    </row>
    <row r="13" spans="1:21" x14ac:dyDescent="0.3">
      <c r="D13">
        <v>2003</v>
      </c>
      <c r="E13" s="27">
        <v>0.28360000000000002</v>
      </c>
      <c r="F13" s="27">
        <v>0.1232</v>
      </c>
      <c r="H13" s="24">
        <v>2003</v>
      </c>
      <c r="I13" s="60">
        <f t="shared" si="0"/>
        <v>0.21944000000000002</v>
      </c>
      <c r="K13" s="60">
        <f t="shared" si="1"/>
        <v>0.16944000000000004</v>
      </c>
      <c r="L13" s="9">
        <f t="shared" si="2"/>
        <v>1.16944</v>
      </c>
      <c r="M13" s="60">
        <f>PRODUCT(L$8:L13)^(1/($H13+1-1998))-1</f>
        <v>1.1714271724743597E-2</v>
      </c>
      <c r="N13" s="60"/>
      <c r="O13" s="60">
        <f t="shared" si="5"/>
        <v>-1.691999999999998E-2</v>
      </c>
      <c r="P13" s="9">
        <f t="shared" si="3"/>
        <v>0.98308000000000006</v>
      </c>
      <c r="Q13" s="60">
        <f>PRODUCT(P$8:P13)^(1/($H13+1-1998))-1</f>
        <v>5.4898133425409501E-3</v>
      </c>
      <c r="R13" s="60"/>
      <c r="S13" s="60">
        <f t="shared" si="6"/>
        <v>-7.6799999999999872E-3</v>
      </c>
      <c r="T13" s="9">
        <f t="shared" si="4"/>
        <v>0.99231999999999998</v>
      </c>
      <c r="U13" s="63">
        <f>PRODUCT(T$8:T13)^(1/($H13+1-1998))-1</f>
        <v>1.7224538837721681E-2</v>
      </c>
    </row>
    <row r="14" spans="1:21" x14ac:dyDescent="0.3">
      <c r="D14">
        <v>2004</v>
      </c>
      <c r="E14" s="27">
        <v>0.1074</v>
      </c>
      <c r="F14" s="27">
        <v>0.10349999999999999</v>
      </c>
      <c r="H14" s="24">
        <v>2004</v>
      </c>
      <c r="I14" s="60">
        <f t="shared" si="0"/>
        <v>0.10583999999999999</v>
      </c>
      <c r="K14" s="60">
        <f t="shared" si="1"/>
        <v>5.5839999999999987E-2</v>
      </c>
      <c r="L14" s="9">
        <f t="shared" si="2"/>
        <v>1.0558399999999999</v>
      </c>
      <c r="M14" s="60">
        <f>PRODUCT(L$8:L14)^(1/($H14+1-1998))-1</f>
        <v>1.7903203941395773E-2</v>
      </c>
      <c r="N14" s="60"/>
      <c r="O14" s="60">
        <f t="shared" si="5"/>
        <v>3.0673333333333344E-2</v>
      </c>
      <c r="P14" s="9">
        <f t="shared" si="3"/>
        <v>1.0306733333333333</v>
      </c>
      <c r="Q14" s="60">
        <f>PRODUCT(P$8:P14)^(1/($H14+1-1998))-1</f>
        <v>9.0494301305277247E-3</v>
      </c>
      <c r="R14" s="60"/>
      <c r="S14" s="60">
        <f t="shared" si="6"/>
        <v>-1.2307999999999989E-2</v>
      </c>
      <c r="T14" s="9">
        <f t="shared" si="4"/>
        <v>0.98769200000000001</v>
      </c>
      <c r="U14" s="63">
        <f>PRODUCT(T$8:T14)^(1/($H14+1-1998))-1</f>
        <v>1.2952147226808819E-2</v>
      </c>
    </row>
    <row r="15" spans="1:21" x14ac:dyDescent="0.3">
      <c r="D15">
        <v>2005</v>
      </c>
      <c r="E15" s="27">
        <v>4.8300000000000003E-2</v>
      </c>
      <c r="F15" s="27">
        <v>5.2999999999999999E-2</v>
      </c>
      <c r="H15" s="24">
        <v>2005</v>
      </c>
      <c r="I15" s="60">
        <f t="shared" si="0"/>
        <v>5.0180000000000002E-2</v>
      </c>
      <c r="K15" s="60">
        <f t="shared" si="1"/>
        <v>1.799999999999996E-4</v>
      </c>
      <c r="L15" s="9">
        <f t="shared" si="2"/>
        <v>1.0001800000000001</v>
      </c>
      <c r="M15" s="60">
        <f>PRODUCT(L$8:L15)^(1/($H15+1-1998))-1</f>
        <v>1.5670741607236582E-2</v>
      </c>
      <c r="N15" s="60"/>
      <c r="O15" s="60">
        <f t="shared" si="5"/>
        <v>7.515333333333335E-2</v>
      </c>
      <c r="P15" s="9">
        <f t="shared" si="3"/>
        <v>1.0751533333333334</v>
      </c>
      <c r="Q15" s="60">
        <f>PRODUCT(P$8:P15)^(1/($H15+1-1998))-1</f>
        <v>1.7084853925516841E-2</v>
      </c>
      <c r="R15" s="60"/>
      <c r="S15" s="60">
        <f t="shared" si="6"/>
        <v>1.0520000000000084E-3</v>
      </c>
      <c r="T15" s="9">
        <f t="shared" si="4"/>
        <v>1.0010520000000001</v>
      </c>
      <c r="U15" s="63">
        <f>PRODUCT(T$8:T15)^(1/($H15+1-1998))-1</f>
        <v>1.145692674500931E-2</v>
      </c>
    </row>
    <row r="16" spans="1:21" x14ac:dyDescent="0.3">
      <c r="D16">
        <v>2006</v>
      </c>
      <c r="E16" s="27">
        <v>0.15609999999999999</v>
      </c>
      <c r="F16" s="27">
        <v>5.1999999999999998E-2</v>
      </c>
      <c r="H16" s="24">
        <v>2006</v>
      </c>
      <c r="I16" s="60">
        <f t="shared" si="0"/>
        <v>0.11445999999999999</v>
      </c>
      <c r="K16" s="60">
        <f t="shared" si="1"/>
        <v>6.445999999999999E-2</v>
      </c>
      <c r="L16" s="9">
        <f t="shared" si="2"/>
        <v>1.06446</v>
      </c>
      <c r="M16" s="60">
        <f>PRODUCT(L$8:L16)^(1/($H16+1-1998))-1</f>
        <v>2.0979417184589844E-2</v>
      </c>
      <c r="N16" s="60"/>
      <c r="O16" s="60">
        <f t="shared" si="5"/>
        <v>4.0159999999999994E-2</v>
      </c>
      <c r="P16" s="9">
        <f t="shared" si="3"/>
        <v>1.04016</v>
      </c>
      <c r="Q16" s="60">
        <f>PRODUCT(P$8:P16)^(1/($H16+1-1998))-1</f>
        <v>1.9623269651023456E-2</v>
      </c>
      <c r="R16" s="60"/>
      <c r="S16" s="60">
        <f t="shared" si="6"/>
        <v>3.1332000000000006E-2</v>
      </c>
      <c r="T16" s="9">
        <f t="shared" si="4"/>
        <v>1.0313319999999999</v>
      </c>
      <c r="U16" s="63">
        <f>PRODUCT(T$8:T16)^(1/($H16+1-1998))-1</f>
        <v>1.3646217365560043E-2</v>
      </c>
    </row>
    <row r="17" spans="4:21" x14ac:dyDescent="0.3">
      <c r="D17">
        <v>2007</v>
      </c>
      <c r="E17" s="27">
        <v>5.4800000000000001E-2</v>
      </c>
      <c r="F17" s="27">
        <v>4.8399999999999999E-2</v>
      </c>
      <c r="H17" s="24">
        <v>2007</v>
      </c>
      <c r="I17" s="60">
        <f t="shared" si="0"/>
        <v>5.2240000000000002E-2</v>
      </c>
      <c r="K17" s="60">
        <f t="shared" si="1"/>
        <v>2.2399999999999989E-3</v>
      </c>
      <c r="L17" s="9">
        <f t="shared" si="2"/>
        <v>1.00224</v>
      </c>
      <c r="M17" s="60">
        <f>PRODUCT(L$8:L17)^(1/($H17+1-1998))-1</f>
        <v>1.9089815372317576E-2</v>
      </c>
      <c r="N17" s="60"/>
      <c r="O17" s="60">
        <f t="shared" si="5"/>
        <v>2.2293333333333332E-2</v>
      </c>
      <c r="P17" s="9">
        <f t="shared" si="3"/>
        <v>1.0222933333333333</v>
      </c>
      <c r="Q17" s="60">
        <f>PRODUCT(P$8:P17)^(1/($H17+1-1998))-1</f>
        <v>1.988996189858927E-2</v>
      </c>
      <c r="R17" s="60"/>
      <c r="S17" s="60">
        <f t="shared" si="6"/>
        <v>5.8432000000000019E-2</v>
      </c>
      <c r="T17" s="9">
        <f t="shared" si="4"/>
        <v>1.058432</v>
      </c>
      <c r="U17" s="63">
        <f>PRODUCT(T$8:T17)^(1/($H17+1-1998))-1</f>
        <v>1.8038165784737936E-2</v>
      </c>
    </row>
    <row r="18" spans="4:21" x14ac:dyDescent="0.3">
      <c r="D18">
        <v>2008</v>
      </c>
      <c r="E18" s="27">
        <v>-0.36549999999999999</v>
      </c>
      <c r="F18" s="27">
        <v>-3.5400000000000001E-2</v>
      </c>
      <c r="H18" s="24">
        <v>2008</v>
      </c>
      <c r="I18" s="60">
        <f t="shared" si="0"/>
        <v>-0.23346</v>
      </c>
      <c r="K18" s="121">
        <f t="shared" si="1"/>
        <v>-0.28345999999999999</v>
      </c>
      <c r="L18" s="9">
        <f t="shared" si="2"/>
        <v>0.71653999999999995</v>
      </c>
      <c r="M18" s="60">
        <f>PRODUCT(L$8:L18)^(1/($H18+1-1998))-1</f>
        <v>-1.3025541501892834E-2</v>
      </c>
      <c r="N18" s="60"/>
      <c r="O18" s="121">
        <f t="shared" si="5"/>
        <v>-7.2253333333333336E-2</v>
      </c>
      <c r="P18" s="9">
        <f t="shared" si="3"/>
        <v>0.92774666666666672</v>
      </c>
      <c r="Q18" s="60">
        <f>PRODUCT(P$8:P18)^(1/($H18+1-1998))-1</f>
        <v>1.1148122116150683E-2</v>
      </c>
      <c r="R18" s="60"/>
      <c r="S18" s="121">
        <f t="shared" si="6"/>
        <v>-3.2148000000000003E-2</v>
      </c>
      <c r="T18" s="9">
        <f t="shared" si="4"/>
        <v>0.96785200000000005</v>
      </c>
      <c r="U18" s="63">
        <f>PRODUCT(T$8:T18)^(1/($H18+1-1998))-1</f>
        <v>1.3370227953974467E-2</v>
      </c>
    </row>
    <row r="19" spans="4:21" x14ac:dyDescent="0.3">
      <c r="D19">
        <v>2009</v>
      </c>
      <c r="E19" s="27">
        <v>0.25940000000000002</v>
      </c>
      <c r="F19" s="27">
        <v>0.2021</v>
      </c>
      <c r="H19" s="24">
        <v>2009</v>
      </c>
      <c r="I19" s="60">
        <f t="shared" si="0"/>
        <v>0.23648000000000002</v>
      </c>
      <c r="K19" s="60">
        <f t="shared" si="1"/>
        <v>0.18648000000000003</v>
      </c>
      <c r="L19" s="9">
        <f t="shared" si="2"/>
        <v>1.18648</v>
      </c>
      <c r="M19" s="60">
        <f>PRODUCT(L$8:L19)^(1/($H19+1-1998))-1</f>
        <v>2.2332102970203938E-3</v>
      </c>
      <c r="N19" s="60"/>
      <c r="O19" s="60">
        <f t="shared" si="5"/>
        <v>-3.1579999999999976E-2</v>
      </c>
      <c r="P19" s="9">
        <f t="shared" si="3"/>
        <v>0.96842000000000006</v>
      </c>
      <c r="Q19" s="60">
        <f>PRODUCT(P$8:P19)^(1/($H19+1-1998))-1</f>
        <v>7.5165616148940018E-3</v>
      </c>
      <c r="R19" s="60"/>
      <c r="S19" s="60">
        <f t="shared" si="6"/>
        <v>-6.0199999999999924E-3</v>
      </c>
      <c r="T19" s="9">
        <f t="shared" si="4"/>
        <v>0.99397999999999997</v>
      </c>
      <c r="U19" s="63">
        <f>PRODUCT(T$8:T19)^(1/($H19+1-1998))-1</f>
        <v>1.174002901994764E-2</v>
      </c>
    </row>
    <row r="20" spans="4:21" x14ac:dyDescent="0.3">
      <c r="D20">
        <v>2010</v>
      </c>
      <c r="E20" s="27">
        <v>0.1482</v>
      </c>
      <c r="F20" s="27">
        <v>9.4100000000000003E-2</v>
      </c>
      <c r="H20" s="24">
        <v>2010</v>
      </c>
      <c r="I20" s="60">
        <f t="shared" si="0"/>
        <v>0.12656000000000001</v>
      </c>
      <c r="K20" s="60">
        <f t="shared" si="1"/>
        <v>7.6560000000000003E-2</v>
      </c>
      <c r="L20" s="9">
        <f t="shared" si="2"/>
        <v>1.07656</v>
      </c>
      <c r="M20" s="60">
        <f>PRODUCT(L$8:L20)^(1/($H20+1-1998))-1</f>
        <v>7.7637844030247205E-3</v>
      </c>
      <c r="N20" s="60"/>
      <c r="O20" s="60">
        <f t="shared" si="5"/>
        <v>-6.806666666666651E-3</v>
      </c>
      <c r="P20" s="9">
        <f t="shared" si="3"/>
        <v>0.99319333333333337</v>
      </c>
      <c r="Q20" s="60">
        <f>PRODUCT(P$8:P20)^(1/($H20+1-1998))-1</f>
        <v>6.4074789855630421E-3</v>
      </c>
      <c r="R20" s="60"/>
      <c r="S20" s="60">
        <f t="shared" si="6"/>
        <v>9.2560000000000055E-3</v>
      </c>
      <c r="T20" s="9">
        <f t="shared" si="4"/>
        <v>1.0092559999999999</v>
      </c>
      <c r="U20" s="63">
        <f>PRODUCT(T$8:T20)^(1/($H20+1-1998))-1</f>
        <v>1.1548732997729294E-2</v>
      </c>
    </row>
    <row r="21" spans="4:21" x14ac:dyDescent="0.3">
      <c r="D21">
        <v>2011</v>
      </c>
      <c r="E21" s="27">
        <v>2.1000000000000001E-2</v>
      </c>
      <c r="F21" s="27">
        <v>0.1226</v>
      </c>
      <c r="H21" s="24">
        <v>2011</v>
      </c>
      <c r="I21" s="60">
        <f t="shared" si="0"/>
        <v>6.164E-2</v>
      </c>
      <c r="K21" s="60">
        <f t="shared" si="1"/>
        <v>1.1639999999999998E-2</v>
      </c>
      <c r="L21" s="9">
        <f t="shared" si="2"/>
        <v>1.0116400000000001</v>
      </c>
      <c r="M21" s="60">
        <f>PRODUCT(L$8:L21)^(1/($H21+1-1998))-1</f>
        <v>8.0401637239162493E-3</v>
      </c>
      <c r="N21" s="60"/>
      <c r="O21" s="60">
        <f t="shared" si="5"/>
        <v>9.1560000000000016E-2</v>
      </c>
      <c r="P21" s="9">
        <f t="shared" si="3"/>
        <v>1.0915600000000001</v>
      </c>
      <c r="Q21" s="60">
        <f>PRODUCT(P$8:P21)^(1/($H21+1-1998))-1</f>
        <v>1.2263108822953894E-2</v>
      </c>
      <c r="R21" s="60"/>
      <c r="S21" s="60">
        <f t="shared" si="6"/>
        <v>-1.3079999999999869E-3</v>
      </c>
      <c r="T21" s="9">
        <f t="shared" si="4"/>
        <v>0.99869200000000002</v>
      </c>
      <c r="U21" s="63">
        <f>PRODUCT(T$8:T21)^(1/($H21+1-1998))-1</f>
        <v>1.0624931075179145E-2</v>
      </c>
    </row>
    <row r="22" spans="4:21" x14ac:dyDescent="0.3">
      <c r="D22">
        <v>2012</v>
      </c>
      <c r="E22" s="27">
        <v>0.15890000000000001</v>
      </c>
      <c r="F22" s="27">
        <v>9.3299999999999994E-2</v>
      </c>
      <c r="H22" s="24">
        <v>2012</v>
      </c>
      <c r="I22" s="60">
        <f t="shared" si="0"/>
        <v>0.13266</v>
      </c>
      <c r="K22" s="60">
        <f t="shared" si="1"/>
        <v>8.2659999999999997E-2</v>
      </c>
      <c r="L22" s="9">
        <f t="shared" si="2"/>
        <v>1.08266</v>
      </c>
      <c r="M22" s="60">
        <f>PRODUCT(L$8:L22)^(1/($H22+1-1998))-1</f>
        <v>1.2850748178119931E-2</v>
      </c>
      <c r="N22" s="60"/>
      <c r="O22" s="60">
        <f t="shared" si="5"/>
        <v>5.6953333333333335E-2</v>
      </c>
      <c r="P22" s="9">
        <f t="shared" si="3"/>
        <v>1.0569533333333334</v>
      </c>
      <c r="Q22" s="60">
        <f>PRODUCT(P$8:P22)^(1/($H22+1-1998))-1</f>
        <v>1.5182766039702811E-2</v>
      </c>
      <c r="R22" s="60"/>
      <c r="S22" s="60">
        <f t="shared" si="6"/>
        <v>1.4776000000000008E-2</v>
      </c>
      <c r="T22" s="9">
        <f t="shared" si="4"/>
        <v>1.0147759999999999</v>
      </c>
      <c r="U22" s="63">
        <f>PRODUCT(T$8:T22)^(1/($H22+1-1998))-1</f>
        <v>1.0901139952233851E-2</v>
      </c>
    </row>
    <row r="23" spans="4:21" x14ac:dyDescent="0.3">
      <c r="D23">
        <v>2013</v>
      </c>
      <c r="E23" s="27">
        <v>0.32150000000000001</v>
      </c>
      <c r="F23" s="27">
        <v>-9.7999999999999997E-3</v>
      </c>
      <c r="H23" s="24">
        <v>2013</v>
      </c>
      <c r="I23" s="60">
        <f t="shared" si="0"/>
        <v>0.18897999999999998</v>
      </c>
      <c r="K23" s="60">
        <f t="shared" si="1"/>
        <v>0.13897999999999999</v>
      </c>
      <c r="L23" s="9">
        <f t="shared" si="2"/>
        <v>1.1389800000000001</v>
      </c>
      <c r="M23" s="60">
        <f>PRODUCT(L$8:L23)^(1/($H23+1-1998))-1</f>
        <v>2.030759280200356E-2</v>
      </c>
      <c r="N23" s="60"/>
      <c r="O23" s="60">
        <f t="shared" si="5"/>
        <v>7.7759999999999996E-2</v>
      </c>
      <c r="P23" s="9">
        <f t="shared" si="3"/>
        <v>1.0777600000000001</v>
      </c>
      <c r="Q23" s="121">
        <f>PRODUCT(P$8:P23)^(1/($H23+1-1998))-1</f>
        <v>1.8985139621098934E-2</v>
      </c>
      <c r="R23" s="60"/>
      <c r="S23" s="60">
        <f t="shared" si="6"/>
        <v>9.9264000000000005E-2</v>
      </c>
      <c r="T23" s="9">
        <f t="shared" si="4"/>
        <v>1.099264</v>
      </c>
      <c r="U23" s="63">
        <f>PRODUCT(T$8:T23)^(1/($H23+1-1998))-1</f>
        <v>1.6209542460274617E-2</v>
      </c>
    </row>
    <row r="24" spans="4:21" x14ac:dyDescent="0.3">
      <c r="D24">
        <v>2014</v>
      </c>
      <c r="E24" s="27">
        <v>0.13519999999999999</v>
      </c>
      <c r="F24" s="27">
        <v>0.10780000000000001</v>
      </c>
      <c r="H24" s="24">
        <v>2014</v>
      </c>
      <c r="I24" s="60">
        <f t="shared" si="0"/>
        <v>0.12423999999999999</v>
      </c>
      <c r="K24" s="60">
        <f t="shared" si="1"/>
        <v>7.4239999999999987E-2</v>
      </c>
      <c r="L24" s="9">
        <f t="shared" si="2"/>
        <v>1.0742400000000001</v>
      </c>
      <c r="M24" s="60">
        <f>PRODUCT(L$8:L24)^(1/($H24+1-1998))-1</f>
        <v>2.3403770555597614E-2</v>
      </c>
      <c r="N24" s="60"/>
      <c r="O24" s="60">
        <f t="shared" si="5"/>
        <v>9.8626666666666654E-2</v>
      </c>
      <c r="P24" s="9">
        <f t="shared" si="3"/>
        <v>1.0986266666666666</v>
      </c>
      <c r="Q24" s="60">
        <f>PRODUCT(P$8:P24)^(1/($H24+1-1998))-1</f>
        <v>2.3505870351084868E-2</v>
      </c>
      <c r="R24" s="60"/>
      <c r="S24" s="60">
        <f t="shared" si="6"/>
        <v>7.6815999999999995E-2</v>
      </c>
      <c r="T24" s="9">
        <f t="shared" si="4"/>
        <v>1.076816</v>
      </c>
      <c r="U24" s="120">
        <f>PRODUCT(T$8:T24)^(1/($H24+1-1998))-1</f>
        <v>1.9678270878333848E-2</v>
      </c>
    </row>
    <row r="25" spans="4:21" x14ac:dyDescent="0.3">
      <c r="D25">
        <v>2015</v>
      </c>
      <c r="E25" s="27">
        <v>1.38E-2</v>
      </c>
      <c r="F25" s="27">
        <v>-1.4999999999999999E-2</v>
      </c>
      <c r="H25" s="24">
        <v>2015</v>
      </c>
      <c r="I25" s="60">
        <f t="shared" si="0"/>
        <v>2.279999999999999E-3</v>
      </c>
      <c r="K25" s="60">
        <f t="shared" si="1"/>
        <v>-4.7720000000000005E-2</v>
      </c>
      <c r="L25" s="9">
        <f t="shared" si="2"/>
        <v>0.95228000000000002</v>
      </c>
      <c r="M25" s="121">
        <f>PRODUCT(L$8:L25)^(1/($H25+1-1998))-1</f>
        <v>1.9316617560303895E-2</v>
      </c>
      <c r="N25" s="60"/>
      <c r="O25" s="60">
        <f t="shared" si="5"/>
        <v>5.5166666666666649E-2</v>
      </c>
      <c r="P25" s="9">
        <f t="shared" si="3"/>
        <v>1.0551666666666666</v>
      </c>
      <c r="Q25" s="60">
        <f>PRODUCT(P$8:P25)^(1/($H25+1-1998))-1</f>
        <v>2.5239613442528785E-2</v>
      </c>
      <c r="R25" s="60"/>
      <c r="S25" s="60">
        <f t="shared" si="6"/>
        <v>5.1959999999999992E-2</v>
      </c>
      <c r="T25" s="9">
        <f t="shared" si="4"/>
        <v>1.05196</v>
      </c>
      <c r="U25" s="63">
        <f>PRODUCT(T$8:T25)^(1/($H25+1-1998))-1</f>
        <v>2.1445426230321862E-2</v>
      </c>
    </row>
    <row r="26" spans="4:21" x14ac:dyDescent="0.3">
      <c r="D26">
        <v>2016</v>
      </c>
      <c r="E26" s="27">
        <v>0.1177</v>
      </c>
      <c r="F26" s="27">
        <v>0.1152</v>
      </c>
      <c r="H26" s="24">
        <v>2016</v>
      </c>
      <c r="I26" s="60">
        <f t="shared" si="0"/>
        <v>0.1167</v>
      </c>
      <c r="K26" s="60">
        <f t="shared" si="1"/>
        <v>6.6699999999999995E-2</v>
      </c>
      <c r="L26" s="9">
        <f t="shared" si="2"/>
        <v>1.0667</v>
      </c>
      <c r="M26" s="60">
        <f>PRODUCT(L$8:L26)^(1/($H26+1-1998))-1</f>
        <v>2.1757168644001235E-2</v>
      </c>
      <c r="N26" s="60"/>
      <c r="O26" s="60">
        <f t="shared" si="5"/>
        <v>3.1073333333333324E-2</v>
      </c>
      <c r="P26" s="9">
        <f t="shared" si="3"/>
        <v>1.0310733333333333</v>
      </c>
      <c r="Q26" s="60">
        <f>PRODUCT(P$8:P26)^(1/($H26+1-1998))-1</f>
        <v>2.5545826812410244E-2</v>
      </c>
      <c r="R26" s="60"/>
      <c r="S26" s="60">
        <f t="shared" si="6"/>
        <v>6.2972E-2</v>
      </c>
      <c r="T26" s="9">
        <f t="shared" si="4"/>
        <v>1.062972</v>
      </c>
      <c r="U26" s="63">
        <f>PRODUCT(T$8:T26)^(1/($H26+1-1998))-1</f>
        <v>2.3590024508600926E-2</v>
      </c>
    </row>
    <row r="27" spans="4:21" x14ac:dyDescent="0.3">
      <c r="D27">
        <v>2017</v>
      </c>
      <c r="E27" s="27">
        <v>0.21609999999999999</v>
      </c>
      <c r="F27" s="27">
        <v>9.2299999999999993E-2</v>
      </c>
      <c r="H27" s="24">
        <v>2017</v>
      </c>
      <c r="I27" s="60">
        <f t="shared" si="0"/>
        <v>0.16658000000000001</v>
      </c>
      <c r="K27" s="60">
        <f t="shared" si="1"/>
        <v>0.11658</v>
      </c>
      <c r="L27" s="9">
        <f t="shared" si="2"/>
        <v>1.1165799999999999</v>
      </c>
      <c r="M27" s="60">
        <f>PRODUCT(L$8:L27)^(1/($H27+1-1998))-1</f>
        <v>2.6301115537211706E-2</v>
      </c>
      <c r="N27" s="60"/>
      <c r="O27" s="60">
        <f t="shared" si="5"/>
        <v>4.518666666666666E-2</v>
      </c>
      <c r="P27" s="9">
        <f t="shared" si="3"/>
        <v>1.0451866666666667</v>
      </c>
      <c r="Q27" s="60">
        <f>PRODUCT(P$8:P27)^(1/($H27+1-1998))-1</f>
        <v>2.6519044824361071E-2</v>
      </c>
      <c r="R27" s="60"/>
      <c r="S27" s="60">
        <f t="shared" si="6"/>
        <v>6.9755999999999999E-2</v>
      </c>
      <c r="T27" s="9">
        <f t="shared" si="4"/>
        <v>1.0697559999999999</v>
      </c>
      <c r="U27" s="63">
        <f>PRODUCT(T$8:T27)^(1/($H27+1-1998))-1</f>
        <v>2.5850274717196031E-2</v>
      </c>
    </row>
    <row r="28" spans="4:21" x14ac:dyDescent="0.3">
      <c r="D28">
        <v>2018</v>
      </c>
      <c r="E28" s="27">
        <v>-4.2299999999999997E-2</v>
      </c>
      <c r="F28" s="27">
        <v>-3.27E-2</v>
      </c>
      <c r="H28" s="24">
        <v>2018</v>
      </c>
      <c r="I28" s="60">
        <f t="shared" si="0"/>
        <v>-3.8459999999999994E-2</v>
      </c>
      <c r="K28" s="60">
        <f t="shared" si="1"/>
        <v>-8.8459999999999997E-2</v>
      </c>
      <c r="L28" s="9">
        <f t="shared" si="2"/>
        <v>0.91154000000000002</v>
      </c>
      <c r="M28" s="60">
        <f>PRODUCT(L$8:L28)^(1/($H28+1-1998))-1</f>
        <v>2.0522218064705111E-2</v>
      </c>
      <c r="N28" s="60"/>
      <c r="O28" s="60">
        <f t="shared" si="5"/>
        <v>3.1606666666666665E-2</v>
      </c>
      <c r="P28" s="9">
        <f t="shared" si="3"/>
        <v>1.0316066666666666</v>
      </c>
      <c r="Q28" s="60">
        <f>PRODUCT(P$8:P28)^(1/($H28+1-1998))-1</f>
        <v>2.6760742595118181E-2</v>
      </c>
      <c r="R28" s="60"/>
      <c r="S28" s="60">
        <f t="shared" si="6"/>
        <v>2.4267999999999998E-2</v>
      </c>
      <c r="T28" s="9">
        <f t="shared" si="4"/>
        <v>1.024268</v>
      </c>
      <c r="U28" s="63">
        <f>PRODUCT(T$8:T28)^(1/($H28+1-1998))-1</f>
        <v>2.5774872906216606E-2</v>
      </c>
    </row>
    <row r="29" spans="4:21" x14ac:dyDescent="0.3">
      <c r="D29">
        <v>2019</v>
      </c>
      <c r="E29" s="27">
        <v>0.31209999999999999</v>
      </c>
      <c r="F29" s="27">
        <v>0.1525</v>
      </c>
      <c r="H29" s="24">
        <v>2019</v>
      </c>
      <c r="I29" s="60">
        <f t="shared" si="0"/>
        <v>0.24825999999999998</v>
      </c>
      <c r="K29" s="60">
        <f t="shared" si="1"/>
        <v>0.19825999999999999</v>
      </c>
      <c r="L29" s="9">
        <f t="shared" si="2"/>
        <v>1.1982599999999999</v>
      </c>
      <c r="M29" s="60">
        <f>PRODUCT(L$8:L29)^(1/($H29+1-1998))-1</f>
        <v>2.7997233752458994E-2</v>
      </c>
      <c r="N29" s="60"/>
      <c r="O29" s="60">
        <f t="shared" si="5"/>
        <v>7.5459999999999999E-2</v>
      </c>
      <c r="P29" s="9">
        <f t="shared" si="3"/>
        <v>1.0754600000000001</v>
      </c>
      <c r="Q29" s="60">
        <f>PRODUCT(P$8:P29)^(1/($H29+1-1998))-1</f>
        <v>2.892573194624326E-2</v>
      </c>
      <c r="R29" s="60"/>
      <c r="S29" s="60">
        <f t="shared" si="6"/>
        <v>4.9071999999999991E-2</v>
      </c>
      <c r="T29" s="9">
        <f t="shared" si="4"/>
        <v>1.049072</v>
      </c>
      <c r="U29" s="63">
        <f>PRODUCT(T$8:T29)^(1/($H29+1-1998))-1</f>
        <v>2.6822521478389039E-2</v>
      </c>
    </row>
    <row r="30" spans="4:21" x14ac:dyDescent="0.3">
      <c r="D30">
        <v>2020</v>
      </c>
      <c r="E30" s="27">
        <v>0.1802</v>
      </c>
      <c r="F30" s="27">
        <v>0.106</v>
      </c>
      <c r="H30" s="24">
        <v>2020</v>
      </c>
      <c r="I30" s="60">
        <f t="shared" si="0"/>
        <v>0.15051999999999999</v>
      </c>
      <c r="K30" s="60">
        <f t="shared" si="1"/>
        <v>0.10051999999999998</v>
      </c>
      <c r="L30" s="9">
        <f t="shared" si="2"/>
        <v>1.1005199999999999</v>
      </c>
      <c r="M30" s="60">
        <f>PRODUCT(L$8:L30)^(1/($H30+1-1998))-1</f>
        <v>3.1048662303023944E-2</v>
      </c>
      <c r="N30" s="60"/>
      <c r="O30" s="60">
        <f t="shared" si="5"/>
        <v>7.0106666666666664E-2</v>
      </c>
      <c r="P30" s="9">
        <f t="shared" si="3"/>
        <v>1.0701066666666668</v>
      </c>
      <c r="Q30" s="60">
        <f>PRODUCT(P$8:P30)^(1/($H30+1-1998))-1</f>
        <v>3.0682803831576511E-2</v>
      </c>
      <c r="R30" s="60"/>
      <c r="S30" s="60">
        <f t="shared" si="6"/>
        <v>7.8719999999999998E-2</v>
      </c>
      <c r="T30" s="9">
        <f t="shared" si="4"/>
        <v>1.0787199999999999</v>
      </c>
      <c r="U30" s="63">
        <f>PRODUCT(T$8:T30)^(1/($H30+1-1998))-1</f>
        <v>2.9026124446947854E-2</v>
      </c>
    </row>
    <row r="31" spans="4:21" x14ac:dyDescent="0.3">
      <c r="D31">
        <v>2021</v>
      </c>
      <c r="E31" s="27">
        <v>0.28470000000000001</v>
      </c>
      <c r="F31" s="27">
        <v>9.2999999999999992E-3</v>
      </c>
      <c r="H31" s="24">
        <v>2021</v>
      </c>
      <c r="I31" s="60">
        <f t="shared" si="0"/>
        <v>0.17454</v>
      </c>
      <c r="K31" s="60">
        <f t="shared" si="1"/>
        <v>0.12454</v>
      </c>
      <c r="L31" s="9">
        <f t="shared" si="2"/>
        <v>1.1245400000000001</v>
      </c>
      <c r="M31" s="60">
        <f>PRODUCT(L$8:L31)^(1/($H31+1-1998))-1</f>
        <v>3.478427208258128E-2</v>
      </c>
      <c r="N31" s="60"/>
      <c r="O31" s="60">
        <f t="shared" si="5"/>
        <v>0.14110666666666666</v>
      </c>
      <c r="P31" s="9">
        <f t="shared" si="3"/>
        <v>1.1411066666666667</v>
      </c>
      <c r="Q31" s="60">
        <f>PRODUCT(P$8:P31)^(1/($H31+1-1998))-1</f>
        <v>3.5062912075987995E-2</v>
      </c>
      <c r="R31" s="60"/>
      <c r="S31" s="60">
        <f t="shared" si="6"/>
        <v>9.0287999999999993E-2</v>
      </c>
      <c r="T31" s="9">
        <f t="shared" si="4"/>
        <v>1.0902879999999999</v>
      </c>
      <c r="U31" s="63">
        <f>PRODUCT(T$8:T31)^(1/($H31+1-1998))-1</f>
        <v>3.1508596959263668E-2</v>
      </c>
    </row>
    <row r="32" spans="4:21" x14ac:dyDescent="0.3">
      <c r="D32">
        <v>2022</v>
      </c>
      <c r="E32" s="27">
        <v>-0.1804</v>
      </c>
      <c r="F32" s="27">
        <v>-0.15140000000000001</v>
      </c>
      <c r="H32" s="47">
        <v>2022</v>
      </c>
      <c r="I32" s="113">
        <f t="shared" si="0"/>
        <v>-0.16880000000000001</v>
      </c>
      <c r="J32" s="48"/>
      <c r="K32" s="119">
        <f t="shared" si="1"/>
        <v>-0.21879999999999999</v>
      </c>
      <c r="L32" s="118">
        <f t="shared" si="2"/>
        <v>0.78120000000000001</v>
      </c>
      <c r="M32" s="113">
        <f>PRODUCT(L$8:L32)^(1/($H32+1-1998))-1</f>
        <v>2.3213627939302262E-2</v>
      </c>
      <c r="N32" s="113"/>
      <c r="O32" s="119">
        <f t="shared" si="5"/>
        <v>2.0866666666666625E-3</v>
      </c>
      <c r="P32" s="118">
        <f t="shared" si="3"/>
        <v>1.0020866666666666</v>
      </c>
      <c r="Q32" s="113">
        <f>PRODUCT(P$8:P32)^(1/($H32+1-1998))-1</f>
        <v>3.3723260803304234E-2</v>
      </c>
      <c r="R32" s="113"/>
      <c r="S32" s="119">
        <f t="shared" si="6"/>
        <v>2.3212E-2</v>
      </c>
      <c r="T32" s="118">
        <f t="shared" si="4"/>
        <v>1.023212</v>
      </c>
      <c r="U32" s="112">
        <f>PRODUCT(T$8:T32)^(1/($H32+1-1998))-1</f>
        <v>3.1175445074118846E-2</v>
      </c>
    </row>
    <row r="33" spans="1:21" x14ac:dyDescent="0.3">
      <c r="J33" s="117" t="s">
        <v>125</v>
      </c>
      <c r="K33" s="116">
        <f>COUNTIF(K8:K32,"&lt;0")</f>
        <v>7</v>
      </c>
      <c r="L33" s="59"/>
      <c r="M33" s="116">
        <f>COUNTIF(M8:M32,"&lt;0")</f>
        <v>2</v>
      </c>
      <c r="N33" s="117" t="s">
        <v>125</v>
      </c>
      <c r="O33" s="116">
        <f>COUNTIF(O8:O32,"&lt;0")</f>
        <v>6</v>
      </c>
      <c r="P33" s="59"/>
      <c r="Q33" s="116">
        <f>COUNTIF(Q8:Q32,"&lt;0")</f>
        <v>0</v>
      </c>
      <c r="R33" s="117" t="s">
        <v>125</v>
      </c>
      <c r="S33" s="116">
        <f>COUNTIF(S8:S32,"&lt;0")</f>
        <v>6</v>
      </c>
      <c r="T33" s="59"/>
      <c r="U33" s="115">
        <f>COUNTIF(U8:U32,"&lt;0")</f>
        <v>0</v>
      </c>
    </row>
    <row r="34" spans="1:21" ht="15" customHeight="1" x14ac:dyDescent="0.3">
      <c r="A34" s="152" t="s">
        <v>132</v>
      </c>
      <c r="B34" s="152"/>
      <c r="C34" s="152"/>
      <c r="D34" s="152"/>
      <c r="E34" s="152"/>
      <c r="F34" s="152"/>
      <c r="J34" s="24" t="s">
        <v>124</v>
      </c>
      <c r="K34" s="9">
        <f>MIN(K8:K32)</f>
        <v>-0.28345999999999999</v>
      </c>
      <c r="M34" s="114">
        <f>MIN(M8:M32)</f>
        <v>-1.7180278000389793E-2</v>
      </c>
      <c r="N34" s="24" t="s">
        <v>124</v>
      </c>
      <c r="O34" s="9">
        <f>MIN(O8:O32)</f>
        <v>-9.5606666666666659E-2</v>
      </c>
      <c r="Q34" s="114">
        <f>MIN(Q8:Q32)</f>
        <v>5.4898133425409501E-3</v>
      </c>
      <c r="R34" s="24" t="s">
        <v>124</v>
      </c>
      <c r="S34" s="9">
        <f>MIN(S8:S32)</f>
        <v>-3.2148000000000003E-2</v>
      </c>
      <c r="U34" s="114">
        <f>MIN(U8:U32)</f>
        <v>1.0624931075179145E-2</v>
      </c>
    </row>
    <row r="35" spans="1:21" x14ac:dyDescent="0.3">
      <c r="A35" s="152"/>
      <c r="B35" s="152"/>
      <c r="C35" s="152"/>
      <c r="D35" s="152"/>
      <c r="E35" s="152"/>
      <c r="F35" s="152"/>
      <c r="J35" s="24" t="s">
        <v>123</v>
      </c>
      <c r="K35" s="9">
        <f>AVERAGE(K8:K32)</f>
        <v>3.0944000000000003E-2</v>
      </c>
      <c r="M35" s="114">
        <f>AVERAGE(M8:M32)</f>
        <v>2.6558884009109805E-2</v>
      </c>
      <c r="N35" s="24" t="s">
        <v>123</v>
      </c>
      <c r="O35" s="9">
        <f>AVERAGE(O8:O32)</f>
        <v>3.5118133333333336E-2</v>
      </c>
      <c r="Q35" s="114">
        <f>AVERAGE(Q8:Q32)</f>
        <v>2.4827360048139631E-2</v>
      </c>
      <c r="R35" s="24" t="s">
        <v>123</v>
      </c>
      <c r="S35" s="9">
        <f>AVERAGE(S8:S32)</f>
        <v>3.1762240000000011E-2</v>
      </c>
      <c r="U35" s="114">
        <f>AVERAGE(U8:U32)</f>
        <v>2.1601062466768465E-2</v>
      </c>
    </row>
    <row r="36" spans="1:21" x14ac:dyDescent="0.3">
      <c r="A36" s="152"/>
      <c r="B36" s="152"/>
      <c r="C36" s="152"/>
      <c r="D36" s="152"/>
      <c r="E36" s="152"/>
      <c r="F36" s="152"/>
      <c r="J36" s="47" t="s">
        <v>122</v>
      </c>
      <c r="K36" s="113">
        <f>STDEV(K8:K32)</f>
        <v>0.12322559542021563</v>
      </c>
      <c r="L36" s="48"/>
      <c r="M36" s="112">
        <f>STDEV(M8:M32)</f>
        <v>3.5055519182395113E-2</v>
      </c>
      <c r="N36" s="47" t="s">
        <v>122</v>
      </c>
      <c r="O36" s="113">
        <f>STDEV(O8:O32)</f>
        <v>5.4188334658273413E-2</v>
      </c>
      <c r="P36" s="48"/>
      <c r="Q36" s="112">
        <f>STDEV(Q8:Q32)</f>
        <v>1.5635756851047896E-2</v>
      </c>
      <c r="R36" s="47" t="s">
        <v>122</v>
      </c>
      <c r="S36" s="113">
        <f>STDEV(S8:S32)</f>
        <v>3.5572684765701898E-2</v>
      </c>
      <c r="T36" s="48"/>
      <c r="U36" s="112">
        <f>STDEV(U8:U32)</f>
        <v>8.5592663792320618E-3</v>
      </c>
    </row>
    <row r="37" spans="1:21" x14ac:dyDescent="0.3">
      <c r="A37" s="152"/>
      <c r="B37" s="152"/>
      <c r="C37" s="152"/>
      <c r="D37" s="152"/>
      <c r="E37" s="152"/>
      <c r="F37" s="152"/>
    </row>
    <row r="38" spans="1:21" x14ac:dyDescent="0.3">
      <c r="A38" s="152"/>
      <c r="B38" s="152"/>
      <c r="C38" s="152"/>
      <c r="D38" s="152"/>
      <c r="E38" s="152"/>
      <c r="F38" s="152"/>
      <c r="H38" s="58"/>
      <c r="I38" s="22"/>
      <c r="J38" s="22"/>
      <c r="K38" s="162" t="s">
        <v>131</v>
      </c>
      <c r="L38" s="163"/>
      <c r="M38" s="163"/>
      <c r="N38" s="61"/>
      <c r="O38" s="162" t="s">
        <v>130</v>
      </c>
      <c r="P38" s="163"/>
      <c r="Q38" s="163"/>
      <c r="R38" s="61"/>
      <c r="S38" s="162" t="s">
        <v>129</v>
      </c>
      <c r="T38" s="163"/>
      <c r="U38" s="164"/>
    </row>
    <row r="39" spans="1:21" ht="45" customHeight="1" x14ac:dyDescent="0.3">
      <c r="A39" s="152"/>
      <c r="B39" s="152"/>
      <c r="C39" s="152"/>
      <c r="D39" s="152"/>
      <c r="E39" s="152"/>
      <c r="F39" s="152"/>
      <c r="H39" s="64" t="s">
        <v>121</v>
      </c>
      <c r="I39" s="123" t="s">
        <v>128</v>
      </c>
      <c r="K39" s="122" t="s">
        <v>127</v>
      </c>
      <c r="L39" s="7"/>
      <c r="M39" s="122" t="s">
        <v>126</v>
      </c>
      <c r="N39" s="122"/>
      <c r="O39" s="122" t="s">
        <v>127</v>
      </c>
      <c r="P39" s="7"/>
      <c r="Q39" s="122" t="s">
        <v>126</v>
      </c>
      <c r="R39" s="122"/>
      <c r="S39" s="122" t="s">
        <v>127</v>
      </c>
      <c r="T39" s="7"/>
      <c r="U39" s="65" t="s">
        <v>126</v>
      </c>
    </row>
    <row r="40" spans="1:21" x14ac:dyDescent="0.3">
      <c r="A40" s="152"/>
      <c r="B40" s="152"/>
      <c r="C40" s="152"/>
      <c r="D40" s="152"/>
      <c r="E40" s="152"/>
      <c r="F40" s="152"/>
      <c r="H40" s="24">
        <v>1998</v>
      </c>
      <c r="I40" s="60">
        <f t="shared" ref="I40:I64" si="7">0.4*E8+0.6*F8</f>
        <v>0.15914</v>
      </c>
      <c r="K40" s="60">
        <f t="shared" ref="K40:K64" si="8">I40-0.05</f>
        <v>0.10914</v>
      </c>
      <c r="L40" s="9">
        <f t="shared" ref="L40:L64" si="9">1+K40</f>
        <v>1.10914</v>
      </c>
      <c r="M40" s="9">
        <f>K40</f>
        <v>0.10914</v>
      </c>
      <c r="N40" s="9"/>
      <c r="O40" s="60">
        <f>K40/3</f>
        <v>3.6380000000000003E-2</v>
      </c>
      <c r="P40" s="9">
        <f t="shared" ref="P40:P64" si="10">1+O40</f>
        <v>1.0363800000000001</v>
      </c>
      <c r="Q40" s="9">
        <f>O40</f>
        <v>3.6380000000000003E-2</v>
      </c>
      <c r="R40" s="9"/>
      <c r="S40" s="60">
        <f>K40/5</f>
        <v>2.1828E-2</v>
      </c>
      <c r="T40" s="9">
        <f t="shared" ref="T40:T64" si="11">1+S40</f>
        <v>1.021828</v>
      </c>
      <c r="U40" s="114">
        <f>S40</f>
        <v>2.1828E-2</v>
      </c>
    </row>
    <row r="41" spans="1:21" x14ac:dyDescent="0.3">
      <c r="A41" s="152"/>
      <c r="B41" s="152"/>
      <c r="C41" s="152"/>
      <c r="D41" s="152"/>
      <c r="E41" s="152"/>
      <c r="F41" s="152"/>
      <c r="H41" s="24">
        <v>1999</v>
      </c>
      <c r="I41" s="60">
        <f t="shared" si="7"/>
        <v>8.9020000000000016E-2</v>
      </c>
      <c r="K41" s="60">
        <f t="shared" si="8"/>
        <v>3.9020000000000013E-2</v>
      </c>
      <c r="L41" s="9">
        <f t="shared" si="9"/>
        <v>1.0390200000000001</v>
      </c>
      <c r="M41" s="60">
        <f>PRODUCT(L$40:L41)^(1/($H41+1-1998))-1</f>
        <v>7.3507635184771214E-2</v>
      </c>
      <c r="N41" s="60"/>
      <c r="O41" s="60">
        <f>(K40+K41)/3</f>
        <v>4.9386666666666669E-2</v>
      </c>
      <c r="P41" s="9">
        <f t="shared" si="10"/>
        <v>1.0493866666666667</v>
      </c>
      <c r="Q41" s="60">
        <f>PRODUCT(P$40:P41)^(1/($H41+1-1998))-1</f>
        <v>4.2863056014546874E-2</v>
      </c>
      <c r="R41" s="60"/>
      <c r="S41" s="60">
        <f>(K40+K41)/5</f>
        <v>2.9632000000000002E-2</v>
      </c>
      <c r="T41" s="9">
        <f t="shared" si="11"/>
        <v>1.0296320000000001</v>
      </c>
      <c r="U41" s="63">
        <f>PRODUCT(T$40:T41)^(1/($H41+1-1998))-1</f>
        <v>2.5722578135043417E-2</v>
      </c>
    </row>
    <row r="42" spans="1:21" x14ac:dyDescent="0.3">
      <c r="A42" s="152"/>
      <c r="B42" s="152"/>
      <c r="C42" s="152"/>
      <c r="D42" s="152"/>
      <c r="E42" s="152"/>
      <c r="F42" s="152"/>
      <c r="H42" s="24">
        <v>2000</v>
      </c>
      <c r="I42" s="60">
        <f t="shared" si="7"/>
        <v>2.0219999999999988E-2</v>
      </c>
      <c r="K42" s="60">
        <f t="shared" si="8"/>
        <v>-2.9780000000000015E-2</v>
      </c>
      <c r="L42" s="9">
        <f t="shared" si="9"/>
        <v>0.97021999999999997</v>
      </c>
      <c r="M42" s="60">
        <f>PRODUCT(L$40:L42)^(1/($H42+1-1998))-1</f>
        <v>3.7911122687917631E-2</v>
      </c>
      <c r="N42" s="60"/>
      <c r="O42" s="60">
        <f t="shared" ref="O42:O64" si="12">SUM(K40:K42)/3</f>
        <v>3.9460000000000002E-2</v>
      </c>
      <c r="P42" s="9">
        <f t="shared" si="10"/>
        <v>1.0394600000000001</v>
      </c>
      <c r="Q42" s="60">
        <f>PRODUCT(P$40:P42)^(1/($H42+1-1998))-1</f>
        <v>4.1727467900811721E-2</v>
      </c>
      <c r="R42" s="60"/>
      <c r="S42" s="60">
        <f>SUM(K40:K42)/5</f>
        <v>2.3675999999999999E-2</v>
      </c>
      <c r="T42" s="9">
        <f t="shared" si="11"/>
        <v>1.023676</v>
      </c>
      <c r="U42" s="63">
        <f>PRODUCT(T$40:T42)^(1/($H42+1-1998))-1</f>
        <v>2.5039931203612475E-2</v>
      </c>
    </row>
    <row r="43" spans="1:21" x14ac:dyDescent="0.3">
      <c r="A43" s="152"/>
      <c r="B43" s="152"/>
      <c r="C43" s="152"/>
      <c r="D43" s="152"/>
      <c r="E43" s="152"/>
      <c r="F43" s="152"/>
      <c r="H43" s="24">
        <v>2001</v>
      </c>
      <c r="I43" s="60">
        <f t="shared" si="7"/>
        <v>3.8400000000000031E-3</v>
      </c>
      <c r="K43" s="60">
        <f t="shared" si="8"/>
        <v>-4.616E-2</v>
      </c>
      <c r="L43" s="9">
        <f t="shared" si="9"/>
        <v>0.95384000000000002</v>
      </c>
      <c r="M43" s="60">
        <f>PRODUCT(L$40:L43)^(1/($H43+1-1998))-1</f>
        <v>1.6222970239883505E-2</v>
      </c>
      <c r="N43" s="60"/>
      <c r="O43" s="60">
        <f t="shared" si="12"/>
        <v>-1.2306666666666667E-2</v>
      </c>
      <c r="P43" s="9">
        <f t="shared" si="10"/>
        <v>0.98769333333333331</v>
      </c>
      <c r="Q43" s="60">
        <f>PRODUCT(P$40:P43)^(1/($H43+1-1998))-1</f>
        <v>2.7947932371878981E-2</v>
      </c>
      <c r="R43" s="60"/>
      <c r="S43" s="60">
        <f>SUM(K40:K43)/5</f>
        <v>1.4444000000000002E-2</v>
      </c>
      <c r="T43" s="9">
        <f t="shared" si="11"/>
        <v>1.0144439999999999</v>
      </c>
      <c r="U43" s="63">
        <f>PRODUCT(T$40:T43)^(1/($H43+1-1998))-1</f>
        <v>2.2380617498980016E-2</v>
      </c>
    </row>
    <row r="44" spans="1:21" x14ac:dyDescent="0.3">
      <c r="A44" s="152"/>
      <c r="B44" s="152"/>
      <c r="C44" s="152"/>
      <c r="D44" s="152"/>
      <c r="E44" s="152"/>
      <c r="F44" s="152"/>
      <c r="H44" s="24">
        <v>2002</v>
      </c>
      <c r="I44" s="60">
        <f t="shared" si="7"/>
        <v>-1.5040000000000026E-2</v>
      </c>
      <c r="K44" s="121">
        <f t="shared" si="8"/>
        <v>-6.5040000000000028E-2</v>
      </c>
      <c r="L44" s="9">
        <f t="shared" si="9"/>
        <v>0.93496000000000001</v>
      </c>
      <c r="M44" s="60">
        <f>PRODUCT(L$40:L44)^(1/($H44+1-1998))-1</f>
        <v>-5.7591318876115682E-4</v>
      </c>
      <c r="N44" s="60"/>
      <c r="O44" s="121">
        <f t="shared" si="12"/>
        <v>-4.6993333333333352E-2</v>
      </c>
      <c r="P44" s="9">
        <f t="shared" si="10"/>
        <v>0.95300666666666667</v>
      </c>
      <c r="Q44" s="60">
        <f>PRODUCT(P$40:P44)^(1/($H44+1-1998))-1</f>
        <v>1.2502447283085472E-2</v>
      </c>
      <c r="R44" s="60"/>
      <c r="S44" s="121">
        <f t="shared" ref="S44:S64" si="13">SUM(K40:K44)/5</f>
        <v>1.4359999999999957E-3</v>
      </c>
      <c r="T44" s="9">
        <f t="shared" si="11"/>
        <v>1.001436</v>
      </c>
      <c r="U44" s="63">
        <f>PRODUCT(T$40:T44)^(1/($H44+1-1998))-1</f>
        <v>1.8156940005011002E-2</v>
      </c>
    </row>
    <row r="45" spans="1:21" x14ac:dyDescent="0.3">
      <c r="A45" s="152"/>
      <c r="B45" s="152"/>
      <c r="C45" s="152"/>
      <c r="D45" s="152"/>
      <c r="E45" s="152"/>
      <c r="F45" s="152"/>
      <c r="H45" s="24">
        <v>2003</v>
      </c>
      <c r="I45" s="60">
        <f t="shared" si="7"/>
        <v>0.18736000000000003</v>
      </c>
      <c r="K45" s="60">
        <f t="shared" si="8"/>
        <v>0.13736000000000004</v>
      </c>
      <c r="L45" s="9">
        <f t="shared" si="9"/>
        <v>1.1373600000000001</v>
      </c>
      <c r="M45" s="60">
        <f>PRODUCT(L$40:L45)^(1/($H45+1-1998))-1</f>
        <v>2.1193013923526793E-2</v>
      </c>
      <c r="N45" s="60"/>
      <c r="O45" s="60">
        <f t="shared" si="12"/>
        <v>8.7200000000000055E-3</v>
      </c>
      <c r="P45" s="9">
        <f t="shared" si="10"/>
        <v>1.0087200000000001</v>
      </c>
      <c r="Q45" s="60">
        <f>PRODUCT(P$40:P45)^(1/($H45+1-1998))-1</f>
        <v>1.1871055889439264E-2</v>
      </c>
      <c r="R45" s="60"/>
      <c r="S45" s="60">
        <f t="shared" si="13"/>
        <v>7.080000000000003E-3</v>
      </c>
      <c r="T45" s="9">
        <f t="shared" si="11"/>
        <v>1.00708</v>
      </c>
      <c r="U45" s="63">
        <f>PRODUCT(T$40:T45)^(1/($H45+1-1998))-1</f>
        <v>1.6302358480475121E-2</v>
      </c>
    </row>
    <row r="46" spans="1:21" x14ac:dyDescent="0.3">
      <c r="A46" s="152"/>
      <c r="B46" s="152"/>
      <c r="C46" s="152"/>
      <c r="D46" s="152"/>
      <c r="E46" s="152"/>
      <c r="F46" s="152"/>
      <c r="H46" s="24">
        <v>2004</v>
      </c>
      <c r="I46" s="60">
        <f t="shared" si="7"/>
        <v>0.10505999999999999</v>
      </c>
      <c r="K46" s="60">
        <f t="shared" si="8"/>
        <v>5.5059999999999984E-2</v>
      </c>
      <c r="L46" s="9">
        <f t="shared" si="9"/>
        <v>1.0550599999999999</v>
      </c>
      <c r="M46" s="60">
        <f>PRODUCT(L$40:L46)^(1/($H46+1-1998))-1</f>
        <v>2.5963768475999682E-2</v>
      </c>
      <c r="N46" s="60"/>
      <c r="O46" s="60">
        <f t="shared" si="12"/>
        <v>4.2459999999999998E-2</v>
      </c>
      <c r="P46" s="9">
        <f t="shared" si="10"/>
        <v>1.0424599999999999</v>
      </c>
      <c r="Q46" s="60">
        <f>PRODUCT(P$40:P46)^(1/($H46+1-1998))-1</f>
        <v>1.6185327501492708E-2</v>
      </c>
      <c r="R46" s="60"/>
      <c r="S46" s="60">
        <f t="shared" si="13"/>
        <v>1.0287999999999995E-2</v>
      </c>
      <c r="T46" s="9">
        <f t="shared" si="11"/>
        <v>1.0102880000000001</v>
      </c>
      <c r="U46" s="63">
        <f>PRODUCT(T$40:T46)^(1/($H46+1-1998))-1</f>
        <v>1.5440977276270473E-2</v>
      </c>
    </row>
    <row r="47" spans="1:21" x14ac:dyDescent="0.3">
      <c r="A47" s="152"/>
      <c r="B47" s="152"/>
      <c r="C47" s="152"/>
      <c r="D47" s="152"/>
      <c r="E47" s="152"/>
      <c r="F47" s="152"/>
      <c r="H47" s="24">
        <v>2005</v>
      </c>
      <c r="I47" s="60">
        <f t="shared" si="7"/>
        <v>5.1119999999999999E-2</v>
      </c>
      <c r="K47" s="60">
        <f t="shared" si="8"/>
        <v>1.119999999999996E-3</v>
      </c>
      <c r="L47" s="9">
        <f t="shared" si="9"/>
        <v>1.00112</v>
      </c>
      <c r="M47" s="60">
        <f>PRODUCT(L$40:L47)^(1/($H47+1-1998))-1</f>
        <v>2.2824891039727291E-2</v>
      </c>
      <c r="N47" s="60"/>
      <c r="O47" s="60">
        <f t="shared" si="12"/>
        <v>6.4513333333333353E-2</v>
      </c>
      <c r="P47" s="9">
        <f t="shared" si="10"/>
        <v>1.0645133333333334</v>
      </c>
      <c r="Q47" s="60">
        <f>PRODUCT(P$40:P47)^(1/($H47+1-1998))-1</f>
        <v>2.2104247633076612E-2</v>
      </c>
      <c r="R47" s="60"/>
      <c r="S47" s="60">
        <f t="shared" si="13"/>
        <v>1.6468E-2</v>
      </c>
      <c r="T47" s="9">
        <f t="shared" si="11"/>
        <v>1.0164679999999999</v>
      </c>
      <c r="U47" s="63">
        <f>PRODUCT(T$40:T47)^(1/($H47+1-1998))-1</f>
        <v>1.5569298346713278E-2</v>
      </c>
    </row>
    <row r="48" spans="1:21" x14ac:dyDescent="0.3">
      <c r="A48" s="152"/>
      <c r="B48" s="152"/>
      <c r="C48" s="152"/>
      <c r="D48" s="152"/>
      <c r="E48" s="152"/>
      <c r="F48" s="152"/>
      <c r="H48" s="24">
        <v>2006</v>
      </c>
      <c r="I48" s="60">
        <f t="shared" si="7"/>
        <v>9.3640000000000001E-2</v>
      </c>
      <c r="K48" s="60">
        <f t="shared" si="8"/>
        <v>4.3639999999999998E-2</v>
      </c>
      <c r="L48" s="9">
        <f t="shared" si="9"/>
        <v>1.0436399999999999</v>
      </c>
      <c r="M48" s="60">
        <f>PRODUCT(L$40:L48)^(1/($H48+1-1998))-1</f>
        <v>2.5117026557195166E-2</v>
      </c>
      <c r="N48" s="60"/>
      <c r="O48" s="60">
        <f t="shared" si="12"/>
        <v>3.3273333333333328E-2</v>
      </c>
      <c r="P48" s="9">
        <f t="shared" si="10"/>
        <v>1.0332733333333333</v>
      </c>
      <c r="Q48" s="60">
        <f>PRODUCT(P$40:P48)^(1/($H48+1-1998))-1</f>
        <v>2.3339271107723381E-2</v>
      </c>
      <c r="R48" s="60"/>
      <c r="S48" s="60">
        <f t="shared" si="13"/>
        <v>3.4428E-2</v>
      </c>
      <c r="T48" s="9">
        <f t="shared" si="11"/>
        <v>1.0344279999999999</v>
      </c>
      <c r="U48" s="63">
        <f>PRODUCT(T$40:T48)^(1/($H48+1-1998))-1</f>
        <v>1.764761542359139E-2</v>
      </c>
    </row>
    <row r="49" spans="1:21" x14ac:dyDescent="0.3">
      <c r="A49" s="152"/>
      <c r="B49" s="152"/>
      <c r="C49" s="152"/>
      <c r="D49" s="152"/>
      <c r="E49" s="152"/>
      <c r="F49" s="152"/>
      <c r="H49" s="24">
        <v>2007</v>
      </c>
      <c r="I49" s="60">
        <f t="shared" si="7"/>
        <v>5.0959999999999998E-2</v>
      </c>
      <c r="K49" s="60">
        <f t="shared" si="8"/>
        <v>9.5999999999999558E-4</v>
      </c>
      <c r="L49" s="9">
        <f t="shared" si="9"/>
        <v>1.0009600000000001</v>
      </c>
      <c r="M49" s="60">
        <f>PRODUCT(L$40:L49)^(1/($H49+1-1998))-1</f>
        <v>2.2675318058585248E-2</v>
      </c>
      <c r="N49" s="60"/>
      <c r="O49" s="60">
        <f t="shared" si="12"/>
        <v>1.5239999999999997E-2</v>
      </c>
      <c r="P49" s="9">
        <f t="shared" si="10"/>
        <v>1.0152399999999999</v>
      </c>
      <c r="Q49" s="60">
        <f>PRODUCT(P$40:P49)^(1/($H49+1-1998))-1</f>
        <v>2.2526444859965133E-2</v>
      </c>
      <c r="R49" s="60"/>
      <c r="S49" s="60">
        <f t="shared" si="13"/>
        <v>4.7628000000000011E-2</v>
      </c>
      <c r="T49" s="9">
        <f t="shared" si="11"/>
        <v>1.047628</v>
      </c>
      <c r="U49" s="63">
        <f>PRODUCT(T$40:T49)^(1/($H49+1-1998))-1</f>
        <v>2.0606634343502739E-2</v>
      </c>
    </row>
    <row r="50" spans="1:21" x14ac:dyDescent="0.3">
      <c r="A50" s="152"/>
      <c r="B50" s="152"/>
      <c r="C50" s="152"/>
      <c r="D50" s="152"/>
      <c r="E50" s="152"/>
      <c r="F50" s="152"/>
      <c r="H50" s="24">
        <v>2008</v>
      </c>
      <c r="I50" s="60">
        <f t="shared" si="7"/>
        <v>-0.16744000000000001</v>
      </c>
      <c r="K50" s="121">
        <f t="shared" si="8"/>
        <v>-0.21744000000000002</v>
      </c>
      <c r="L50" s="9">
        <f t="shared" si="9"/>
        <v>0.78255999999999992</v>
      </c>
      <c r="M50" s="60">
        <f>PRODUCT(L$40:L50)^(1/($H50+1-1998))-1</f>
        <v>-1.9040157650268563E-3</v>
      </c>
      <c r="N50" s="60"/>
      <c r="O50" s="121">
        <f t="shared" si="12"/>
        <v>-5.7613333333333343E-2</v>
      </c>
      <c r="P50" s="9">
        <f t="shared" si="10"/>
        <v>0.94238666666666671</v>
      </c>
      <c r="Q50" s="60">
        <f>PRODUCT(P$40:P50)^(1/($H50+1-1998))-1</f>
        <v>1.4967738604019232E-2</v>
      </c>
      <c r="R50" s="60"/>
      <c r="S50" s="121">
        <f t="shared" si="13"/>
        <v>-2.3332000000000009E-2</v>
      </c>
      <c r="T50" s="9">
        <f t="shared" si="11"/>
        <v>0.97666799999999998</v>
      </c>
      <c r="U50" s="63">
        <f>PRODUCT(T$40:T50)^(1/($H50+1-1998))-1</f>
        <v>1.6531835911824944E-2</v>
      </c>
    </row>
    <row r="51" spans="1:21" x14ac:dyDescent="0.3">
      <c r="A51" s="152"/>
      <c r="B51" s="152"/>
      <c r="C51" s="152"/>
      <c r="D51" s="152"/>
      <c r="E51" s="152"/>
      <c r="F51" s="152"/>
      <c r="H51" s="24">
        <v>2009</v>
      </c>
      <c r="I51" s="60">
        <f t="shared" si="7"/>
        <v>0.22502</v>
      </c>
      <c r="K51" s="60">
        <f t="shared" si="8"/>
        <v>0.17502000000000001</v>
      </c>
      <c r="L51" s="9">
        <f t="shared" si="9"/>
        <v>1.17502</v>
      </c>
      <c r="M51" s="60">
        <f>PRODUCT(L$40:L51)^(1/($H51+1-1998))-1</f>
        <v>1.1762054538744238E-2</v>
      </c>
      <c r="N51" s="60"/>
      <c r="O51" s="60">
        <f t="shared" si="12"/>
        <v>-1.3820000000000008E-2</v>
      </c>
      <c r="P51" s="9">
        <f t="shared" si="10"/>
        <v>0.98617999999999995</v>
      </c>
      <c r="Q51" s="60">
        <f>PRODUCT(P$40:P51)^(1/($H51+1-1998))-1</f>
        <v>1.2536997066468158E-2</v>
      </c>
      <c r="R51" s="60"/>
      <c r="S51" s="60">
        <f t="shared" si="13"/>
        <v>6.5999999999999392E-4</v>
      </c>
      <c r="T51" s="9">
        <f t="shared" si="11"/>
        <v>1.0006599999999999</v>
      </c>
      <c r="U51" s="63">
        <f>PRODUCT(T$40:T51)^(1/($H51+1-1998))-1</f>
        <v>1.5199622128968748E-2</v>
      </c>
    </row>
    <row r="52" spans="1:21" x14ac:dyDescent="0.3">
      <c r="A52" s="152"/>
      <c r="B52" s="152"/>
      <c r="C52" s="152"/>
      <c r="D52" s="152"/>
      <c r="E52" s="152"/>
      <c r="F52" s="152"/>
      <c r="H52" s="24">
        <v>2010</v>
      </c>
      <c r="I52" s="60">
        <f t="shared" si="7"/>
        <v>0.11574</v>
      </c>
      <c r="K52" s="60">
        <f t="shared" si="8"/>
        <v>6.5739999999999993E-2</v>
      </c>
      <c r="L52" s="9">
        <f t="shared" si="9"/>
        <v>1.0657399999999999</v>
      </c>
      <c r="M52" s="60">
        <f>PRODUCT(L$40:L52)^(1/($H52+1-1998))-1</f>
        <v>1.5815330295733121E-2</v>
      </c>
      <c r="N52" s="60"/>
      <c r="O52" s="60">
        <f t="shared" si="12"/>
        <v>7.7733333333333265E-3</v>
      </c>
      <c r="P52" s="9">
        <f t="shared" si="10"/>
        <v>1.0077733333333334</v>
      </c>
      <c r="Q52" s="60">
        <f>PRODUCT(P$40:P52)^(1/($H52+1-1998))-1</f>
        <v>1.2169763311562276E-2</v>
      </c>
      <c r="R52" s="60"/>
      <c r="S52" s="60">
        <f t="shared" si="13"/>
        <v>1.3583999999999995E-2</v>
      </c>
      <c r="T52" s="9">
        <f t="shared" si="11"/>
        <v>1.013584</v>
      </c>
      <c r="U52" s="63">
        <f>PRODUCT(T$40:T52)^(1/($H52+1-1998))-1</f>
        <v>1.5075252126847793E-2</v>
      </c>
    </row>
    <row r="53" spans="1:21" x14ac:dyDescent="0.3">
      <c r="A53" s="152"/>
      <c r="B53" s="152"/>
      <c r="C53" s="152"/>
      <c r="D53" s="152"/>
      <c r="E53" s="152"/>
      <c r="F53" s="152"/>
      <c r="H53" s="24">
        <v>2011</v>
      </c>
      <c r="I53" s="60">
        <f t="shared" si="7"/>
        <v>8.1960000000000005E-2</v>
      </c>
      <c r="K53" s="60">
        <f t="shared" si="8"/>
        <v>3.1960000000000002E-2</v>
      </c>
      <c r="L53" s="9">
        <f t="shared" si="9"/>
        <v>1.03196</v>
      </c>
      <c r="M53" s="60">
        <f>PRODUCT(L$40:L53)^(1/($H53+1-1998))-1</f>
        <v>1.6960097494241433E-2</v>
      </c>
      <c r="N53" s="60"/>
      <c r="O53" s="60">
        <f t="shared" si="12"/>
        <v>9.0906666666666677E-2</v>
      </c>
      <c r="P53" s="9">
        <f t="shared" si="10"/>
        <v>1.0909066666666667</v>
      </c>
      <c r="Q53" s="60">
        <f>PRODUCT(P$40:P53)^(1/($H53+1-1998))-1</f>
        <v>1.7600316667943039E-2</v>
      </c>
      <c r="R53" s="60"/>
      <c r="S53" s="60">
        <f t="shared" si="13"/>
        <v>1.1247999999999994E-2</v>
      </c>
      <c r="T53" s="9">
        <f t="shared" si="11"/>
        <v>1.0112479999999999</v>
      </c>
      <c r="U53" s="63">
        <f>PRODUCT(T$40:T53)^(1/($H53+1-1998))-1</f>
        <v>1.4801397255306492E-2</v>
      </c>
    </row>
    <row r="54" spans="1:21" x14ac:dyDescent="0.3">
      <c r="A54" s="152"/>
      <c r="B54" s="152"/>
      <c r="C54" s="152"/>
      <c r="D54" s="152"/>
      <c r="E54" s="152"/>
      <c r="F54" s="152"/>
      <c r="H54" s="24">
        <v>2012</v>
      </c>
      <c r="I54" s="60">
        <f t="shared" si="7"/>
        <v>0.11954000000000001</v>
      </c>
      <c r="K54" s="60">
        <f t="shared" si="8"/>
        <v>6.9540000000000005E-2</v>
      </c>
      <c r="L54" s="9">
        <f t="shared" si="9"/>
        <v>1.0695399999999999</v>
      </c>
      <c r="M54" s="121">
        <f>PRODUCT(L$40:L54)^(1/($H54+1-1998))-1</f>
        <v>2.0383562939753963E-2</v>
      </c>
      <c r="N54" s="60"/>
      <c r="O54" s="60">
        <f t="shared" si="12"/>
        <v>5.5746666666666667E-2</v>
      </c>
      <c r="P54" s="9">
        <f t="shared" si="10"/>
        <v>1.0557466666666666</v>
      </c>
      <c r="Q54" s="121">
        <f>PRODUCT(P$40:P54)^(1/($H54+1-1998))-1</f>
        <v>2.0099964571514084E-2</v>
      </c>
      <c r="R54" s="60"/>
      <c r="S54" s="60">
        <f t="shared" si="13"/>
        <v>2.4963999999999997E-2</v>
      </c>
      <c r="T54" s="9">
        <f t="shared" si="11"/>
        <v>1.024964</v>
      </c>
      <c r="U54" s="63">
        <f>PRODUCT(T$40:T54)^(1/($H54+1-1998))-1</f>
        <v>1.5475758146191287E-2</v>
      </c>
    </row>
    <row r="55" spans="1:21" x14ac:dyDescent="0.3">
      <c r="A55" s="152"/>
      <c r="B55" s="152"/>
      <c r="C55" s="152"/>
      <c r="D55" s="152"/>
      <c r="E55" s="152"/>
      <c r="F55" s="152"/>
      <c r="H55" s="24">
        <v>2013</v>
      </c>
      <c r="I55" s="60">
        <f t="shared" si="7"/>
        <v>0.12272000000000002</v>
      </c>
      <c r="K55" s="60">
        <f t="shared" si="8"/>
        <v>7.2720000000000021E-2</v>
      </c>
      <c r="L55" s="9">
        <f t="shared" si="9"/>
        <v>1.0727200000000001</v>
      </c>
      <c r="M55" s="60">
        <f>PRODUCT(L$40:L55)^(1/($H55+1-1998))-1</f>
        <v>2.3578456949420623E-2</v>
      </c>
      <c r="N55" s="60"/>
      <c r="O55" s="60">
        <f t="shared" si="12"/>
        <v>5.8073333333333345E-2</v>
      </c>
      <c r="P55" s="9">
        <f t="shared" si="10"/>
        <v>1.0580733333333334</v>
      </c>
      <c r="Q55" s="60">
        <f>PRODUCT(P$40:P55)^(1/($H55+1-1998))-1</f>
        <v>2.2432856283873148E-2</v>
      </c>
      <c r="R55" s="60"/>
      <c r="S55" s="60">
        <f t="shared" si="13"/>
        <v>8.2996E-2</v>
      </c>
      <c r="T55" s="9">
        <f t="shared" si="11"/>
        <v>1.0829960000000001</v>
      </c>
      <c r="U55" s="120">
        <f>PRODUCT(T$40:T55)^(1/($H55+1-1998))-1</f>
        <v>1.9569630834481266E-2</v>
      </c>
    </row>
    <row r="56" spans="1:21" x14ac:dyDescent="0.3">
      <c r="A56" s="152"/>
      <c r="B56" s="152"/>
      <c r="C56" s="152"/>
      <c r="D56" s="152"/>
      <c r="E56" s="152"/>
      <c r="F56" s="152"/>
      <c r="H56" s="24">
        <v>2014</v>
      </c>
      <c r="I56" s="60">
        <f t="shared" si="7"/>
        <v>0.11876</v>
      </c>
      <c r="K56" s="60">
        <f t="shared" si="8"/>
        <v>6.8760000000000002E-2</v>
      </c>
      <c r="L56" s="9">
        <f t="shared" si="9"/>
        <v>1.0687599999999999</v>
      </c>
      <c r="M56" s="60">
        <f>PRODUCT(L$40:L56)^(1/($H56+1-1998))-1</f>
        <v>2.618251524750792E-2</v>
      </c>
      <c r="N56" s="60"/>
      <c r="O56" s="60">
        <f t="shared" si="12"/>
        <v>7.0340000000000014E-2</v>
      </c>
      <c r="P56" s="9">
        <f t="shared" si="10"/>
        <v>1.0703400000000001</v>
      </c>
      <c r="Q56" s="60">
        <f>PRODUCT(P$40:P56)^(1/($H56+1-1998))-1</f>
        <v>2.5190606812026228E-2</v>
      </c>
      <c r="R56" s="60"/>
      <c r="S56" s="60">
        <f t="shared" si="13"/>
        <v>6.1744E-2</v>
      </c>
      <c r="T56" s="9">
        <f t="shared" si="11"/>
        <v>1.061744</v>
      </c>
      <c r="U56" s="63">
        <f>PRODUCT(T$40:T56)^(1/($H56+1-1998))-1</f>
        <v>2.2003438862999936E-2</v>
      </c>
    </row>
    <row r="57" spans="1:21" x14ac:dyDescent="0.3">
      <c r="A57" s="152"/>
      <c r="B57" s="152"/>
      <c r="C57" s="152"/>
      <c r="D57" s="152"/>
      <c r="E57" s="152"/>
      <c r="F57" s="152"/>
      <c r="H57" s="24">
        <v>2015</v>
      </c>
      <c r="I57" s="60">
        <f t="shared" si="7"/>
        <v>-3.4799999999999987E-3</v>
      </c>
      <c r="K57" s="60">
        <f t="shared" si="8"/>
        <v>-5.348E-2</v>
      </c>
      <c r="L57" s="9">
        <f t="shared" si="9"/>
        <v>0.94652000000000003</v>
      </c>
      <c r="M57" s="60">
        <f>PRODUCT(L$40:L57)^(1/($H57+1-1998))-1</f>
        <v>2.1585919964879352E-2</v>
      </c>
      <c r="N57" s="60"/>
      <c r="O57" s="60">
        <f t="shared" si="12"/>
        <v>2.933333333333334E-2</v>
      </c>
      <c r="P57" s="9">
        <f t="shared" si="10"/>
        <v>1.0293333333333334</v>
      </c>
      <c r="Q57" s="60">
        <f>PRODUCT(P$40:P57)^(1/($H57+1-1998))-1</f>
        <v>2.5420320253022322E-2</v>
      </c>
      <c r="R57" s="60"/>
      <c r="S57" s="60">
        <f t="shared" si="13"/>
        <v>3.7900000000000003E-2</v>
      </c>
      <c r="T57" s="9">
        <f t="shared" si="11"/>
        <v>1.0379</v>
      </c>
      <c r="U57" s="63">
        <f>PRODUCT(T$40:T57)^(1/($H57+1-1998))-1</f>
        <v>2.2880159043513038E-2</v>
      </c>
    </row>
    <row r="58" spans="1:21" x14ac:dyDescent="0.3">
      <c r="A58" s="152"/>
      <c r="B58" s="152"/>
      <c r="C58" s="152"/>
      <c r="D58" s="152"/>
      <c r="E58" s="152"/>
      <c r="F58" s="152"/>
      <c r="H58" s="24">
        <v>2016</v>
      </c>
      <c r="I58" s="60">
        <f t="shared" si="7"/>
        <v>0.1162</v>
      </c>
      <c r="K58" s="60">
        <f t="shared" si="8"/>
        <v>6.6199999999999995E-2</v>
      </c>
      <c r="L58" s="9">
        <f t="shared" si="9"/>
        <v>1.0662</v>
      </c>
      <c r="M58" s="60">
        <f>PRODUCT(L$40:L58)^(1/($H58+1-1998))-1</f>
        <v>2.3886789539599329E-2</v>
      </c>
      <c r="N58" s="60"/>
      <c r="O58" s="60">
        <f t="shared" si="12"/>
        <v>2.716E-2</v>
      </c>
      <c r="P58" s="9">
        <f t="shared" si="10"/>
        <v>1.0271600000000001</v>
      </c>
      <c r="Q58" s="60">
        <f>PRODUCT(P$40:P58)^(1/($H58+1-1998))-1</f>
        <v>2.5511808843830641E-2</v>
      </c>
      <c r="R58" s="60"/>
      <c r="S58" s="60">
        <f t="shared" si="13"/>
        <v>4.474800000000001E-2</v>
      </c>
      <c r="T58" s="9">
        <f t="shared" si="11"/>
        <v>1.044748</v>
      </c>
      <c r="U58" s="63">
        <f>PRODUCT(T$40:T58)^(1/($H58+1-1998))-1</f>
        <v>2.4019602009643037E-2</v>
      </c>
    </row>
    <row r="59" spans="1:21" x14ac:dyDescent="0.3">
      <c r="A59" s="152"/>
      <c r="B59" s="152"/>
      <c r="C59" s="152"/>
      <c r="D59" s="152"/>
      <c r="E59" s="152"/>
      <c r="F59" s="152"/>
      <c r="H59" s="24">
        <v>2017</v>
      </c>
      <c r="I59" s="60">
        <f t="shared" si="7"/>
        <v>0.14182</v>
      </c>
      <c r="K59" s="60">
        <f t="shared" si="8"/>
        <v>9.1819999999999999E-2</v>
      </c>
      <c r="L59" s="9">
        <f t="shared" si="9"/>
        <v>1.09182</v>
      </c>
      <c r="M59" s="60">
        <f>PRODUCT(L$40:L59)^(1/($H59+1-1998))-1</f>
        <v>2.7180804604753472E-2</v>
      </c>
      <c r="N59" s="60"/>
      <c r="O59" s="60">
        <f t="shared" si="12"/>
        <v>3.4846666666666665E-2</v>
      </c>
      <c r="P59" s="9">
        <f t="shared" si="10"/>
        <v>1.0348466666666667</v>
      </c>
      <c r="Q59" s="60">
        <f>PRODUCT(P$40:P59)^(1/($H59+1-1998))-1</f>
        <v>2.5976545515851823E-2</v>
      </c>
      <c r="R59" s="60"/>
      <c r="S59" s="60">
        <f t="shared" si="13"/>
        <v>4.9204000000000005E-2</v>
      </c>
      <c r="T59" s="9">
        <f t="shared" si="11"/>
        <v>1.049204</v>
      </c>
      <c r="U59" s="63">
        <f>PRODUCT(T$40:T59)^(1/($H59+1-1998))-1</f>
        <v>2.5264342683582131E-2</v>
      </c>
    </row>
    <row r="60" spans="1:21" x14ac:dyDescent="0.3">
      <c r="A60" s="152"/>
      <c r="B60" s="152"/>
      <c r="C60" s="152"/>
      <c r="D60" s="152"/>
      <c r="E60" s="152"/>
      <c r="F60" s="152"/>
      <c r="H60" s="24">
        <v>2018</v>
      </c>
      <c r="I60" s="60">
        <f t="shared" si="7"/>
        <v>-3.6540000000000003E-2</v>
      </c>
      <c r="K60" s="60">
        <f t="shared" si="8"/>
        <v>-8.6540000000000006E-2</v>
      </c>
      <c r="L60" s="9">
        <f t="shared" si="9"/>
        <v>0.91345999999999994</v>
      </c>
      <c r="M60" s="60">
        <f>PRODUCT(L$40:L60)^(1/($H60+1-1998))-1</f>
        <v>2.1457623266661008E-2</v>
      </c>
      <c r="N60" s="60"/>
      <c r="O60" s="60">
        <f t="shared" si="12"/>
        <v>2.3826666666666663E-2</v>
      </c>
      <c r="P60" s="9">
        <f t="shared" si="10"/>
        <v>1.0238266666666667</v>
      </c>
      <c r="Q60" s="60">
        <f>PRODUCT(P$40:P60)^(1/($H60+1-1998))-1</f>
        <v>2.5874068039840381E-2</v>
      </c>
      <c r="R60" s="60"/>
      <c r="S60" s="60">
        <f t="shared" si="13"/>
        <v>1.7351999999999999E-2</v>
      </c>
      <c r="T60" s="9">
        <f t="shared" si="11"/>
        <v>1.017352</v>
      </c>
      <c r="U60" s="63">
        <f>PRODUCT(T$40:T60)^(1/($H60+1-1998))-1</f>
        <v>2.4886172830115516E-2</v>
      </c>
    </row>
    <row r="61" spans="1:21" x14ac:dyDescent="0.3">
      <c r="A61" s="152"/>
      <c r="B61" s="152"/>
      <c r="C61" s="152"/>
      <c r="D61" s="152"/>
      <c r="E61" s="152"/>
      <c r="F61" s="152"/>
      <c r="H61" s="24">
        <v>2019</v>
      </c>
      <c r="I61" s="60">
        <f t="shared" si="7"/>
        <v>0.21634</v>
      </c>
      <c r="K61" s="60">
        <f t="shared" si="8"/>
        <v>0.16633999999999999</v>
      </c>
      <c r="L61" s="9">
        <f t="shared" si="9"/>
        <v>1.1663399999999999</v>
      </c>
      <c r="M61" s="60">
        <f>PRODUCT(L$40:L61)^(1/($H61+1-1998))-1</f>
        <v>2.7634686043889412E-2</v>
      </c>
      <c r="N61" s="60"/>
      <c r="O61" s="60">
        <f t="shared" si="12"/>
        <v>5.7206666666666663E-2</v>
      </c>
      <c r="P61" s="9">
        <f t="shared" si="10"/>
        <v>1.0572066666666666</v>
      </c>
      <c r="Q61" s="60">
        <f>PRODUCT(P$40:P61)^(1/($H61+1-1998))-1</f>
        <v>2.7277920347326567E-2</v>
      </c>
      <c r="R61" s="60"/>
      <c r="S61" s="60">
        <f t="shared" si="13"/>
        <v>3.6867999999999998E-2</v>
      </c>
      <c r="T61" s="9">
        <f t="shared" si="11"/>
        <v>1.0368679999999999</v>
      </c>
      <c r="U61" s="63">
        <f>PRODUCT(T$40:T61)^(1/($H61+1-1998))-1</f>
        <v>2.5427785400365943E-2</v>
      </c>
    </row>
    <row r="62" spans="1:21" x14ac:dyDescent="0.3">
      <c r="A62" s="152"/>
      <c r="B62" s="152"/>
      <c r="C62" s="152"/>
      <c r="D62" s="152"/>
      <c r="E62" s="152"/>
      <c r="F62" s="152"/>
      <c r="H62" s="24">
        <v>2020</v>
      </c>
      <c r="I62" s="60">
        <f t="shared" si="7"/>
        <v>0.13568</v>
      </c>
      <c r="K62" s="60">
        <f t="shared" si="8"/>
        <v>8.5679999999999992E-2</v>
      </c>
      <c r="L62" s="9">
        <f t="shared" si="9"/>
        <v>1.08568</v>
      </c>
      <c r="M62" s="60">
        <f>PRODUCT(L$40:L62)^(1/($H62+1-1998))-1</f>
        <v>3.0092630254074493E-2</v>
      </c>
      <c r="N62" s="60"/>
      <c r="O62" s="60">
        <f t="shared" si="12"/>
        <v>5.5159999999999987E-2</v>
      </c>
      <c r="P62" s="9">
        <f t="shared" si="10"/>
        <v>1.0551599999999999</v>
      </c>
      <c r="Q62" s="60">
        <f>PRODUCT(P$40:P62)^(1/($H62+1-1998))-1</f>
        <v>2.8474721574795581E-2</v>
      </c>
      <c r="R62" s="60"/>
      <c r="S62" s="60">
        <f t="shared" si="13"/>
        <v>6.4699999999999994E-2</v>
      </c>
      <c r="T62" s="9">
        <f t="shared" si="11"/>
        <v>1.0647</v>
      </c>
      <c r="U62" s="63">
        <f>PRODUCT(T$40:T62)^(1/($H62+1-1998))-1</f>
        <v>2.7104757311125161E-2</v>
      </c>
    </row>
    <row r="63" spans="1:21" x14ac:dyDescent="0.3">
      <c r="A63" s="152"/>
      <c r="B63" s="152"/>
      <c r="C63" s="152"/>
      <c r="D63" s="152"/>
      <c r="E63" s="152"/>
      <c r="F63" s="152"/>
      <c r="H63" s="24">
        <v>2021</v>
      </c>
      <c r="I63" s="60">
        <f t="shared" si="7"/>
        <v>0.11946000000000001</v>
      </c>
      <c r="K63" s="60">
        <f t="shared" si="8"/>
        <v>6.9460000000000008E-2</v>
      </c>
      <c r="L63" s="9">
        <f t="shared" si="9"/>
        <v>1.0694600000000001</v>
      </c>
      <c r="M63" s="60">
        <f>PRODUCT(L$40:L63)^(1/($H63+1-1998))-1</f>
        <v>3.1703628079318369E-2</v>
      </c>
      <c r="N63" s="60"/>
      <c r="O63" s="60">
        <f t="shared" si="12"/>
        <v>0.10715999999999999</v>
      </c>
      <c r="P63" s="9">
        <f t="shared" si="10"/>
        <v>1.1071599999999999</v>
      </c>
      <c r="Q63" s="60">
        <f>PRODUCT(P$40:P63)^(1/($H63+1-1998))-1</f>
        <v>3.1638766972565513E-2</v>
      </c>
      <c r="R63" s="60"/>
      <c r="S63" s="60">
        <f t="shared" si="13"/>
        <v>6.5351999999999993E-2</v>
      </c>
      <c r="T63" s="9">
        <f t="shared" si="11"/>
        <v>1.0653520000000001</v>
      </c>
      <c r="U63" s="63">
        <f>PRODUCT(T$40:T63)^(1/($H63+1-1998))-1</f>
        <v>2.8670629643157364E-2</v>
      </c>
    </row>
    <row r="64" spans="1:21" x14ac:dyDescent="0.3">
      <c r="A64" s="152"/>
      <c r="B64" s="152"/>
      <c r="C64" s="152"/>
      <c r="D64" s="152"/>
      <c r="E64" s="152"/>
      <c r="F64" s="152"/>
      <c r="H64" s="47">
        <v>2022</v>
      </c>
      <c r="I64" s="113">
        <f t="shared" si="7"/>
        <v>-0.16300000000000001</v>
      </c>
      <c r="J64" s="48"/>
      <c r="K64" s="119">
        <f t="shared" si="8"/>
        <v>-0.21300000000000002</v>
      </c>
      <c r="L64" s="118">
        <f t="shared" si="9"/>
        <v>0.78699999999999992</v>
      </c>
      <c r="M64" s="113">
        <f>PRODUCT(L$40:L64)^(1/($H64+1-1998))-1</f>
        <v>2.0591034172329215E-2</v>
      </c>
      <c r="N64" s="113"/>
      <c r="O64" s="119">
        <f t="shared" si="12"/>
        <v>-1.9286666666666674E-2</v>
      </c>
      <c r="P64" s="118">
        <f t="shared" si="10"/>
        <v>0.98071333333333333</v>
      </c>
      <c r="Q64" s="113">
        <f>PRODUCT(P$40:P64)^(1/($H64+1-1998))-1</f>
        <v>2.9551867625457806E-2</v>
      </c>
      <c r="R64" s="113"/>
      <c r="S64" s="119">
        <f t="shared" si="13"/>
        <v>4.3879999999999917E-3</v>
      </c>
      <c r="T64" s="118">
        <f t="shared" si="11"/>
        <v>1.0043880000000001</v>
      </c>
      <c r="U64" s="112">
        <f>PRODUCT(T$40:T64)^(1/($H64+1-1998))-1</f>
        <v>2.7688146035466099E-2</v>
      </c>
    </row>
    <row r="65" spans="1:21" x14ac:dyDescent="0.3">
      <c r="A65" s="152"/>
      <c r="B65" s="152"/>
      <c r="C65" s="152"/>
      <c r="D65" s="152"/>
      <c r="E65" s="152"/>
      <c r="F65" s="152"/>
      <c r="J65" s="117" t="s">
        <v>125</v>
      </c>
      <c r="K65" s="116">
        <f>COUNTIF(K39:K63,"&lt;0")</f>
        <v>6</v>
      </c>
      <c r="L65" s="59"/>
      <c r="M65" s="116">
        <f>COUNTIF(M40:M64,"&lt;0")</f>
        <v>2</v>
      </c>
      <c r="N65" s="117" t="s">
        <v>125</v>
      </c>
      <c r="O65" s="116">
        <f>COUNTIF(O39:O63,"&lt;0")</f>
        <v>4</v>
      </c>
      <c r="P65" s="59"/>
      <c r="Q65" s="116">
        <f>COUNTIF(Q40:Q64,"&lt;0")</f>
        <v>0</v>
      </c>
      <c r="R65" s="117" t="s">
        <v>125</v>
      </c>
      <c r="S65" s="116">
        <f>COUNTIF(S39:S63,"&lt;0")</f>
        <v>1</v>
      </c>
      <c r="T65" s="59"/>
      <c r="U65" s="115">
        <f>COUNTIF(U40:U64,"&lt;0")</f>
        <v>0</v>
      </c>
    </row>
    <row r="66" spans="1:21" x14ac:dyDescent="0.3">
      <c r="A66" s="152"/>
      <c r="B66" s="152"/>
      <c r="C66" s="152"/>
      <c r="D66" s="152"/>
      <c r="E66" s="152"/>
      <c r="F66" s="152"/>
      <c r="J66" s="24" t="s">
        <v>124</v>
      </c>
      <c r="K66" s="9">
        <f>MIN(K40:K64)</f>
        <v>-0.21744000000000002</v>
      </c>
      <c r="M66" s="114">
        <f>MIN(M40:M64)</f>
        <v>-1.9040157650268563E-3</v>
      </c>
      <c r="N66" s="24" t="s">
        <v>124</v>
      </c>
      <c r="O66" s="9">
        <f>MIN(O40:O64)</f>
        <v>-5.7613333333333343E-2</v>
      </c>
      <c r="Q66" s="114">
        <f>MIN(Q40:Q64)</f>
        <v>1.1871055889439264E-2</v>
      </c>
      <c r="R66" s="24" t="s">
        <v>124</v>
      </c>
      <c r="S66" s="9">
        <f>MIN(S40:S64)</f>
        <v>-2.3332000000000009E-2</v>
      </c>
      <c r="U66" s="114">
        <f>MIN(U40:U64)</f>
        <v>1.4801397255306492E-2</v>
      </c>
    </row>
    <row r="67" spans="1:21" x14ac:dyDescent="0.3">
      <c r="A67" s="152"/>
      <c r="B67" s="152"/>
      <c r="C67" s="152"/>
      <c r="D67" s="152"/>
      <c r="E67" s="152"/>
      <c r="F67" s="152"/>
      <c r="J67" s="24" t="s">
        <v>123</v>
      </c>
      <c r="K67" s="9">
        <f>AVERAGE(K40:K64)</f>
        <v>2.5523999999999995E-2</v>
      </c>
      <c r="M67" s="114">
        <f>AVERAGE(M40:M64)</f>
        <v>2.6835638024188979E-2</v>
      </c>
      <c r="N67" s="24" t="s">
        <v>123</v>
      </c>
      <c r="O67" s="9">
        <f>AVERAGE(O40:O64)</f>
        <v>3.0277866666666667E-2</v>
      </c>
      <c r="Q67" s="114">
        <f>AVERAGE(Q40:Q64)</f>
        <v>2.4086860522084676E-2</v>
      </c>
      <c r="R67" s="24" t="s">
        <v>123</v>
      </c>
      <c r="S67" s="9">
        <f>AVERAGE(S40:S64)</f>
        <v>2.7971359999999997E-2</v>
      </c>
      <c r="U67" s="114">
        <f>AVERAGE(U40:U64)</f>
        <v>2.0931739237471544E-2</v>
      </c>
    </row>
    <row r="68" spans="1:21" x14ac:dyDescent="0.3">
      <c r="A68" s="152"/>
      <c r="B68" s="152"/>
      <c r="C68" s="152"/>
      <c r="D68" s="152"/>
      <c r="E68" s="152"/>
      <c r="F68" s="152"/>
      <c r="J68" s="47" t="s">
        <v>122</v>
      </c>
      <c r="K68" s="113">
        <f>STDEV(K40:K64)</f>
        <v>9.8884340013977945E-2</v>
      </c>
      <c r="L68" s="48"/>
      <c r="M68" s="112">
        <f>STDEV(M40:M64)</f>
        <v>2.1863186679442998E-2</v>
      </c>
      <c r="N68" s="47" t="s">
        <v>122</v>
      </c>
      <c r="O68" s="113">
        <f>STDEV(O40:O64)</f>
        <v>3.9239755573671473E-2</v>
      </c>
      <c r="P68" s="48"/>
      <c r="Q68" s="112">
        <f>STDEV(Q40:Q64)</f>
        <v>8.4900821654276346E-3</v>
      </c>
      <c r="R68" s="47" t="s">
        <v>122</v>
      </c>
      <c r="S68" s="113">
        <f>STDEV(S40:S64)</f>
        <v>2.4683691287433772E-2</v>
      </c>
      <c r="T68" s="48"/>
      <c r="U68" s="112">
        <f>STDEV(U40:U64)</f>
        <v>4.6103403814932208E-3</v>
      </c>
    </row>
    <row r="69" spans="1:21" x14ac:dyDescent="0.3">
      <c r="A69" s="152"/>
      <c r="B69" s="152"/>
      <c r="C69" s="152"/>
      <c r="D69" s="152"/>
      <c r="E69" s="152"/>
      <c r="F69" s="152"/>
    </row>
    <row r="70" spans="1:21" x14ac:dyDescent="0.3">
      <c r="A70" s="152"/>
      <c r="B70" s="152"/>
      <c r="C70" s="152"/>
      <c r="D70" s="152"/>
      <c r="E70" s="152"/>
      <c r="F70" s="152"/>
    </row>
    <row r="71" spans="1:21" x14ac:dyDescent="0.3">
      <c r="A71" s="152"/>
      <c r="B71" s="152"/>
      <c r="C71" s="152"/>
      <c r="D71" s="152"/>
      <c r="E71" s="152"/>
      <c r="F71" s="152"/>
    </row>
    <row r="72" spans="1:21" x14ac:dyDescent="0.3">
      <c r="A72" s="152"/>
      <c r="B72" s="152"/>
      <c r="C72" s="152"/>
      <c r="D72" s="152"/>
      <c r="E72" s="152"/>
      <c r="F72" s="152"/>
    </row>
    <row r="73" spans="1:21" x14ac:dyDescent="0.3">
      <c r="A73" s="152"/>
      <c r="B73" s="152"/>
      <c r="C73" s="152"/>
      <c r="D73" s="152"/>
      <c r="E73" s="152"/>
      <c r="F73" s="152"/>
    </row>
    <row r="74" spans="1:21" x14ac:dyDescent="0.3">
      <c r="A74" s="152"/>
      <c r="B74" s="152"/>
      <c r="C74" s="152"/>
      <c r="D74" s="152"/>
      <c r="E74" s="152"/>
      <c r="F74" s="152"/>
    </row>
    <row r="75" spans="1:21" x14ac:dyDescent="0.3">
      <c r="A75" s="152"/>
      <c r="B75" s="152"/>
      <c r="C75" s="152"/>
      <c r="D75" s="152"/>
      <c r="E75" s="152"/>
      <c r="F75" s="152"/>
    </row>
    <row r="76" spans="1:21" x14ac:dyDescent="0.3">
      <c r="A76" s="152"/>
      <c r="B76" s="152"/>
      <c r="C76" s="152"/>
      <c r="D76" s="152"/>
      <c r="E76" s="152"/>
      <c r="F76" s="152"/>
    </row>
    <row r="77" spans="1:21" x14ac:dyDescent="0.3">
      <c r="A77" s="152"/>
      <c r="B77" s="152"/>
      <c r="C77" s="152"/>
      <c r="D77" s="152"/>
      <c r="E77" s="152"/>
      <c r="F77" s="152"/>
    </row>
    <row r="78" spans="1:21" x14ac:dyDescent="0.3">
      <c r="A78" s="152"/>
      <c r="B78" s="152"/>
      <c r="C78" s="152"/>
      <c r="D78" s="152"/>
      <c r="E78" s="152"/>
      <c r="F78" s="152"/>
    </row>
    <row r="79" spans="1:21" x14ac:dyDescent="0.3">
      <c r="A79" s="152"/>
      <c r="B79" s="152"/>
      <c r="C79" s="152"/>
      <c r="D79" s="152"/>
      <c r="E79" s="152"/>
      <c r="F79" s="152"/>
    </row>
    <row r="80" spans="1:21" x14ac:dyDescent="0.3">
      <c r="A80" s="152"/>
      <c r="B80" s="152"/>
      <c r="C80" s="152"/>
      <c r="D80" s="152"/>
      <c r="E80" s="152"/>
      <c r="F80" s="152"/>
    </row>
  </sheetData>
  <mergeCells count="7">
    <mergeCell ref="A34:F80"/>
    <mergeCell ref="K6:M6"/>
    <mergeCell ref="O6:Q6"/>
    <mergeCell ref="S6:U6"/>
    <mergeCell ref="K38:M38"/>
    <mergeCell ref="O38:Q38"/>
    <mergeCell ref="S38:U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D3A9-5A2C-43FC-817F-B4B4956B512A}">
  <sheetPr>
    <tabColor theme="5" tint="0.39997558519241921"/>
  </sheetPr>
  <dimension ref="A1:X69"/>
  <sheetViews>
    <sheetView zoomScale="115" zoomScaleNormal="115" workbookViewId="0"/>
  </sheetViews>
  <sheetFormatPr defaultRowHeight="14.4" x14ac:dyDescent="0.3"/>
  <cols>
    <col min="1" max="8" width="12.77734375" customWidth="1"/>
    <col min="9" max="9" width="19.77734375" bestFit="1" customWidth="1"/>
    <col min="10" max="15" width="12.77734375" customWidth="1"/>
  </cols>
  <sheetData>
    <row r="1" spans="1:24" x14ac:dyDescent="0.3">
      <c r="A1" s="177" t="s">
        <v>209</v>
      </c>
    </row>
    <row r="3" spans="1:24" x14ac:dyDescent="0.3">
      <c r="A3" s="4" t="s">
        <v>1</v>
      </c>
    </row>
    <row r="4" spans="1:24" x14ac:dyDescent="0.3">
      <c r="A4" t="s">
        <v>4</v>
      </c>
    </row>
    <row r="6" spans="1:24" x14ac:dyDescent="0.3">
      <c r="A6" s="152" t="s">
        <v>195</v>
      </c>
      <c r="B6" s="152"/>
      <c r="C6" s="152"/>
      <c r="D6" s="152"/>
      <c r="E6" s="152"/>
      <c r="F6" s="152"/>
      <c r="G6" s="152"/>
      <c r="H6" s="152"/>
      <c r="I6" s="152"/>
      <c r="J6" s="152"/>
      <c r="K6" s="152"/>
      <c r="L6" s="152"/>
      <c r="M6" s="152"/>
      <c r="O6" s="17" t="s">
        <v>5</v>
      </c>
      <c r="P6" s="18">
        <v>0.05</v>
      </c>
      <c r="Q6" s="18">
        <v>7.0000000000000007E-2</v>
      </c>
      <c r="S6" s="17"/>
      <c r="T6" s="19">
        <v>0.05</v>
      </c>
      <c r="U6" s="19">
        <v>7.0000000000000007E-2</v>
      </c>
      <c r="V6" s="19"/>
      <c r="W6" s="19"/>
      <c r="X6" s="19">
        <v>7.0000000000000007E-2</v>
      </c>
    </row>
    <row r="7" spans="1:24" x14ac:dyDescent="0.3">
      <c r="A7" s="152"/>
      <c r="B7" s="152"/>
      <c r="C7" s="152"/>
      <c r="D7" s="152"/>
      <c r="E7" s="152"/>
      <c r="F7" s="152"/>
      <c r="G7" s="152"/>
      <c r="H7" s="152"/>
      <c r="I7" s="152"/>
      <c r="J7" s="152"/>
      <c r="K7" s="152"/>
      <c r="L7" s="152"/>
      <c r="M7" s="152"/>
      <c r="N7" s="15"/>
      <c r="S7" s="17"/>
      <c r="T7" s="17"/>
      <c r="U7" s="17"/>
      <c r="V7" s="17"/>
      <c r="W7" s="17"/>
      <c r="X7" s="17"/>
    </row>
    <row r="8" spans="1:24" x14ac:dyDescent="0.3">
      <c r="A8" s="152"/>
      <c r="B8" s="152"/>
      <c r="C8" s="152"/>
      <c r="D8" s="152"/>
      <c r="E8" s="152"/>
      <c r="F8" s="152"/>
      <c r="G8" s="152"/>
      <c r="H8" s="152"/>
      <c r="I8" s="152"/>
      <c r="J8" s="152"/>
      <c r="K8" s="152"/>
      <c r="L8" s="152"/>
      <c r="M8" s="152"/>
      <c r="N8" s="15"/>
      <c r="O8" t="s">
        <v>3</v>
      </c>
    </row>
    <row r="9" spans="1:24" x14ac:dyDescent="0.3">
      <c r="A9" s="152"/>
      <c r="B9" s="152"/>
      <c r="C9" s="152"/>
      <c r="D9" s="152"/>
      <c r="E9" s="152"/>
      <c r="F9" s="152"/>
      <c r="G9" s="152"/>
      <c r="H9" s="152"/>
      <c r="I9" s="152"/>
      <c r="J9" s="152"/>
      <c r="K9" s="152"/>
      <c r="L9" s="152"/>
      <c r="M9" s="152"/>
      <c r="O9" s="17">
        <v>55</v>
      </c>
      <c r="P9" s="20">
        <v>15.235161</v>
      </c>
      <c r="Q9" s="20">
        <v>12.391836</v>
      </c>
      <c r="S9" s="17">
        <v>55</v>
      </c>
      <c r="T9" s="17">
        <v>7.4063540000000003</v>
      </c>
      <c r="U9" s="17">
        <v>5.1916890000000002</v>
      </c>
      <c r="V9" s="17"/>
      <c r="W9" s="17">
        <v>25</v>
      </c>
      <c r="X9" s="17">
        <v>0.669659</v>
      </c>
    </row>
    <row r="10" spans="1:24" x14ac:dyDescent="0.3">
      <c r="A10" s="152"/>
      <c r="B10" s="152"/>
      <c r="C10" s="152"/>
      <c r="D10" s="152"/>
      <c r="E10" s="152"/>
      <c r="F10" s="152"/>
      <c r="G10" s="152"/>
      <c r="H10" s="152"/>
      <c r="I10" s="152"/>
      <c r="J10" s="152"/>
      <c r="K10" s="152"/>
      <c r="L10" s="152"/>
      <c r="M10" s="152"/>
      <c r="N10" s="5"/>
      <c r="O10" s="17">
        <v>56</v>
      </c>
      <c r="P10" s="20">
        <v>14.996418</v>
      </c>
      <c r="Q10" s="20">
        <v>12.243194000000001</v>
      </c>
      <c r="S10" s="17">
        <v>56</v>
      </c>
      <c r="T10" s="17">
        <v>7.7900710000000002</v>
      </c>
      <c r="U10" s="17">
        <v>5.5646789999999999</v>
      </c>
      <c r="V10" s="17"/>
      <c r="W10" s="17">
        <v>26</v>
      </c>
      <c r="X10" s="17">
        <v>0.71672800000000003</v>
      </c>
    </row>
    <row r="11" spans="1:24" x14ac:dyDescent="0.3">
      <c r="A11" s="152"/>
      <c r="B11" s="152"/>
      <c r="C11" s="152"/>
      <c r="D11" s="152"/>
      <c r="E11" s="152"/>
      <c r="F11" s="152"/>
      <c r="G11" s="152"/>
      <c r="H11" s="152"/>
      <c r="I11" s="152"/>
      <c r="J11" s="152"/>
      <c r="K11" s="152"/>
      <c r="L11" s="152"/>
      <c r="M11" s="152"/>
      <c r="N11" s="5"/>
      <c r="O11" s="17">
        <v>57</v>
      </c>
      <c r="P11" s="20">
        <v>14.7514</v>
      </c>
      <c r="Q11" s="20">
        <v>12.088901</v>
      </c>
      <c r="S11" s="17">
        <v>57</v>
      </c>
      <c r="T11" s="17">
        <v>8.1969519999999996</v>
      </c>
      <c r="U11" s="17">
        <v>5.9668559999999999</v>
      </c>
      <c r="V11" s="17"/>
      <c r="W11" s="17">
        <v>27</v>
      </c>
      <c r="X11" s="17">
        <v>0.76711399999999996</v>
      </c>
    </row>
    <row r="12" spans="1:24" x14ac:dyDescent="0.3">
      <c r="A12" s="152"/>
      <c r="B12" s="152"/>
      <c r="C12" s="152"/>
      <c r="D12" s="152"/>
      <c r="E12" s="152"/>
      <c r="F12" s="152"/>
      <c r="G12" s="152"/>
      <c r="H12" s="152"/>
      <c r="I12" s="152"/>
      <c r="J12" s="152"/>
      <c r="K12" s="152"/>
      <c r="L12" s="152"/>
      <c r="M12" s="152"/>
      <c r="N12" s="16"/>
      <c r="O12" s="17">
        <v>58</v>
      </c>
      <c r="P12" s="20">
        <v>14.498680999999999</v>
      </c>
      <c r="Q12" s="20">
        <v>11.927676999999999</v>
      </c>
      <c r="S12" s="17">
        <v>58</v>
      </c>
      <c r="T12" s="17">
        <v>8.6280249999999992</v>
      </c>
      <c r="U12" s="17">
        <v>6.4002809999999997</v>
      </c>
      <c r="V12" s="17"/>
      <c r="W12" s="17">
        <v>28</v>
      </c>
      <c r="X12" s="17">
        <v>0.82105799999999995</v>
      </c>
    </row>
    <row r="13" spans="1:24" x14ac:dyDescent="0.3">
      <c r="A13" s="152"/>
      <c r="B13" s="152"/>
      <c r="C13" s="152"/>
      <c r="D13" s="152"/>
      <c r="E13" s="152"/>
      <c r="F13" s="152"/>
      <c r="G13" s="152"/>
      <c r="H13" s="152"/>
      <c r="I13" s="152"/>
      <c r="J13" s="152"/>
      <c r="K13" s="152"/>
      <c r="L13" s="152"/>
      <c r="M13" s="152"/>
      <c r="N13" s="16"/>
      <c r="O13" s="17">
        <v>59</v>
      </c>
      <c r="P13" s="20">
        <v>14.238417</v>
      </c>
      <c r="Q13" s="20">
        <v>11.759518999999999</v>
      </c>
      <c r="S13" s="17">
        <v>59</v>
      </c>
      <c r="T13" s="17">
        <v>9.0853190000000001</v>
      </c>
      <c r="U13" s="17">
        <v>6.8678739999999996</v>
      </c>
      <c r="V13" s="17"/>
      <c r="W13" s="17">
        <v>29</v>
      </c>
      <c r="X13" s="17">
        <v>0.87879600000000002</v>
      </c>
    </row>
    <row r="14" spans="1:24" x14ac:dyDescent="0.3">
      <c r="A14" s="152"/>
      <c r="B14" s="152"/>
      <c r="C14" s="152"/>
      <c r="D14" s="152"/>
      <c r="E14" s="152"/>
      <c r="F14" s="152"/>
      <c r="G14" s="152"/>
      <c r="H14" s="152"/>
      <c r="I14" s="152"/>
      <c r="J14" s="152"/>
      <c r="K14" s="152"/>
      <c r="L14" s="152"/>
      <c r="M14" s="152"/>
      <c r="N14" s="16"/>
      <c r="O14" s="17">
        <v>60</v>
      </c>
      <c r="P14" s="20">
        <v>13.970582</v>
      </c>
      <c r="Q14" s="20">
        <v>11.584268</v>
      </c>
      <c r="S14" s="17">
        <v>60</v>
      </c>
      <c r="T14" s="17">
        <v>9.5709780000000002</v>
      </c>
      <c r="U14" s="17">
        <v>7.372808</v>
      </c>
      <c r="V14" s="17"/>
      <c r="W14" s="17">
        <v>30</v>
      </c>
      <c r="X14" s="17">
        <v>0.94061300000000003</v>
      </c>
    </row>
    <row r="15" spans="1:24" x14ac:dyDescent="0.3">
      <c r="A15" s="152"/>
      <c r="B15" s="152"/>
      <c r="C15" s="152"/>
      <c r="D15" s="152"/>
      <c r="E15" s="152"/>
      <c r="F15" s="152"/>
      <c r="G15" s="152"/>
      <c r="H15" s="152"/>
      <c r="I15" s="152"/>
      <c r="J15" s="152"/>
      <c r="K15" s="152"/>
      <c r="L15" s="152"/>
      <c r="M15" s="152"/>
      <c r="N15" s="16"/>
      <c r="O15" s="17">
        <v>61</v>
      </c>
      <c r="P15" s="20">
        <v>13.695671000000001</v>
      </c>
      <c r="Q15" s="20">
        <v>11.402202000000001</v>
      </c>
      <c r="S15" s="17">
        <v>61</v>
      </c>
      <c r="T15" s="17">
        <v>10.087759</v>
      </c>
      <c r="U15" s="17">
        <v>7.9189170000000004</v>
      </c>
      <c r="V15" s="17"/>
      <c r="W15" s="17">
        <v>31</v>
      </c>
      <c r="X15" s="17">
        <v>1.0067980000000001</v>
      </c>
    </row>
    <row r="16" spans="1:24" x14ac:dyDescent="0.3">
      <c r="A16" s="152"/>
      <c r="B16" s="152"/>
      <c r="C16" s="152"/>
      <c r="D16" s="152"/>
      <c r="E16" s="152"/>
      <c r="F16" s="152"/>
      <c r="G16" s="152"/>
      <c r="H16" s="152"/>
      <c r="I16" s="152"/>
      <c r="J16" s="152"/>
      <c r="K16" s="152"/>
      <c r="L16" s="152"/>
      <c r="M16" s="152"/>
      <c r="N16" s="16"/>
      <c r="O16" s="17">
        <v>62</v>
      </c>
      <c r="P16" s="20">
        <v>13.413436000000001</v>
      </c>
      <c r="Q16" s="20">
        <v>11.212975999999999</v>
      </c>
      <c r="S16" s="17">
        <v>62</v>
      </c>
      <c r="T16" s="17">
        <v>10.638211</v>
      </c>
      <c r="U16" s="17">
        <v>8.5100899999999999</v>
      </c>
      <c r="V16" s="17"/>
      <c r="W16" s="17">
        <v>32</v>
      </c>
      <c r="X16" s="17">
        <v>1.0776509999999999</v>
      </c>
    </row>
    <row r="17" spans="1:24" x14ac:dyDescent="0.3">
      <c r="A17" s="152"/>
      <c r="B17" s="152"/>
      <c r="C17" s="152"/>
      <c r="D17" s="152"/>
      <c r="E17" s="152"/>
      <c r="F17" s="152"/>
      <c r="G17" s="152"/>
      <c r="H17" s="152"/>
      <c r="I17" s="152"/>
      <c r="J17" s="152"/>
      <c r="K17" s="152"/>
      <c r="L17" s="152"/>
      <c r="M17" s="152"/>
      <c r="N17" s="16"/>
      <c r="O17" s="17">
        <v>63</v>
      </c>
      <c r="P17" s="20">
        <v>13.126579</v>
      </c>
      <c r="Q17" s="20">
        <v>11.01873</v>
      </c>
      <c r="S17" s="17">
        <v>63</v>
      </c>
      <c r="T17" s="17">
        <v>11.227606</v>
      </c>
      <c r="U17" s="17">
        <v>9.1526580000000006</v>
      </c>
      <c r="V17" s="17"/>
      <c r="W17" s="17">
        <v>33</v>
      </c>
      <c r="X17" s="17">
        <v>1.153513</v>
      </c>
    </row>
    <row r="18" spans="1:24" x14ac:dyDescent="0.3">
      <c r="A18" s="152"/>
      <c r="B18" s="152"/>
      <c r="C18" s="152"/>
      <c r="D18" s="152"/>
      <c r="E18" s="152"/>
      <c r="F18" s="152"/>
      <c r="G18" s="152"/>
      <c r="H18" s="152"/>
      <c r="I18" s="152"/>
      <c r="J18" s="152"/>
      <c r="K18" s="152"/>
      <c r="L18" s="152"/>
      <c r="M18" s="152"/>
      <c r="O18" s="17">
        <v>64</v>
      </c>
      <c r="P18" s="20">
        <v>12.834384999999999</v>
      </c>
      <c r="Q18" s="20">
        <v>10.818771999999999</v>
      </c>
      <c r="S18" s="17">
        <v>64</v>
      </c>
      <c r="T18" s="17">
        <v>11.859074</v>
      </c>
      <c r="U18" s="17">
        <v>9.8515669999999993</v>
      </c>
      <c r="V18" s="17"/>
      <c r="W18" s="17">
        <v>34</v>
      </c>
      <c r="X18" s="17">
        <v>1.234753</v>
      </c>
    </row>
    <row r="19" spans="1:24" x14ac:dyDescent="0.3">
      <c r="A19" s="152"/>
      <c r="B19" s="152"/>
      <c r="C19" s="152"/>
      <c r="D19" s="152"/>
      <c r="E19" s="152"/>
      <c r="F19" s="152"/>
      <c r="G19" s="152"/>
      <c r="H19" s="152"/>
      <c r="I19" s="152"/>
      <c r="J19" s="152"/>
      <c r="K19" s="152"/>
      <c r="L19" s="152"/>
      <c r="M19" s="152"/>
      <c r="O19" s="17">
        <v>65</v>
      </c>
      <c r="P19" s="20">
        <v>12.534252</v>
      </c>
      <c r="Q19" s="20">
        <v>10.610783</v>
      </c>
      <c r="S19" s="17">
        <v>65</v>
      </c>
      <c r="T19" s="17">
        <v>12.534252</v>
      </c>
      <c r="U19" s="17">
        <v>10.610783</v>
      </c>
      <c r="V19" s="17"/>
      <c r="W19" s="17">
        <v>35</v>
      </c>
      <c r="X19" s="17">
        <v>1.3217410000000001</v>
      </c>
    </row>
    <row r="20" spans="1:24" x14ac:dyDescent="0.3">
      <c r="A20" s="152"/>
      <c r="B20" s="152"/>
      <c r="C20" s="152"/>
      <c r="D20" s="152"/>
      <c r="E20" s="152"/>
      <c r="F20" s="152"/>
      <c r="G20" s="152"/>
      <c r="H20" s="152"/>
      <c r="I20" s="152"/>
      <c r="J20" s="152"/>
      <c r="K20" s="152"/>
      <c r="L20" s="152"/>
      <c r="M20" s="152"/>
      <c r="W20" s="17">
        <v>36</v>
      </c>
      <c r="X20" s="17">
        <v>1.4148860000000001</v>
      </c>
    </row>
    <row r="21" spans="1:24" x14ac:dyDescent="0.3">
      <c r="A21" s="152"/>
      <c r="B21" s="152"/>
      <c r="C21" s="152"/>
      <c r="D21" s="152"/>
      <c r="E21" s="152"/>
      <c r="F21" s="152"/>
      <c r="G21" s="152"/>
      <c r="H21" s="152"/>
      <c r="I21" s="152"/>
      <c r="J21" s="152"/>
      <c r="K21" s="152"/>
      <c r="L21" s="152"/>
      <c r="M21" s="152"/>
      <c r="W21" s="17">
        <v>37</v>
      </c>
      <c r="X21" s="17">
        <v>1.5146390000000001</v>
      </c>
    </row>
    <row r="22" spans="1:24" x14ac:dyDescent="0.3">
      <c r="A22" s="152"/>
      <c r="B22" s="152"/>
      <c r="C22" s="152"/>
      <c r="D22" s="152"/>
      <c r="E22" s="152"/>
      <c r="F22" s="152"/>
      <c r="G22" s="152"/>
      <c r="H22" s="152"/>
      <c r="I22" s="152"/>
      <c r="J22" s="152"/>
      <c r="K22" s="152"/>
      <c r="L22" s="152"/>
      <c r="M22" s="152"/>
      <c r="W22" s="17">
        <v>38</v>
      </c>
      <c r="X22" s="17">
        <v>1.621459</v>
      </c>
    </row>
    <row r="23" spans="1:24" x14ac:dyDescent="0.3">
      <c r="A23" s="152"/>
      <c r="B23" s="152"/>
      <c r="C23" s="152"/>
      <c r="D23" s="152"/>
      <c r="E23" s="152"/>
      <c r="F23" s="152"/>
      <c r="G23" s="152"/>
      <c r="H23" s="152"/>
      <c r="I23" s="152"/>
      <c r="J23" s="152"/>
      <c r="K23" s="152"/>
      <c r="L23" s="152"/>
      <c r="M23" s="152"/>
      <c r="W23" s="17">
        <v>39</v>
      </c>
      <c r="X23" s="17">
        <v>1.735846</v>
      </c>
    </row>
    <row r="24" spans="1:24" x14ac:dyDescent="0.3">
      <c r="A24" s="152"/>
      <c r="B24" s="152"/>
      <c r="C24" s="152"/>
      <c r="D24" s="152"/>
      <c r="E24" s="152"/>
      <c r="F24" s="152"/>
      <c r="G24" s="152"/>
      <c r="H24" s="152"/>
      <c r="I24" s="152"/>
      <c r="J24" s="152"/>
      <c r="K24" s="152"/>
      <c r="L24" s="152"/>
      <c r="M24" s="152"/>
      <c r="W24" s="17">
        <v>40</v>
      </c>
      <c r="X24" s="17">
        <v>1.8583590000000001</v>
      </c>
    </row>
    <row r="25" spans="1:24" x14ac:dyDescent="0.3">
      <c r="A25" s="152"/>
      <c r="B25" s="152"/>
      <c r="C25" s="152"/>
      <c r="D25" s="152"/>
      <c r="E25" s="152"/>
      <c r="F25" s="152"/>
      <c r="G25" s="152"/>
      <c r="H25" s="152"/>
      <c r="I25" s="152"/>
      <c r="J25" s="152"/>
      <c r="K25" s="152"/>
      <c r="L25" s="152"/>
      <c r="M25" s="152"/>
      <c r="W25" s="17">
        <v>41</v>
      </c>
      <c r="X25" s="17">
        <v>1.9895579999999999</v>
      </c>
    </row>
    <row r="26" spans="1:24" x14ac:dyDescent="0.3">
      <c r="A26" s="152"/>
      <c r="B26" s="152"/>
      <c r="C26" s="152"/>
      <c r="D26" s="152"/>
      <c r="E26" s="152"/>
      <c r="F26" s="152"/>
      <c r="G26" s="152"/>
      <c r="H26" s="152"/>
      <c r="I26" s="152"/>
      <c r="J26" s="152"/>
      <c r="K26" s="152"/>
      <c r="L26" s="152"/>
      <c r="M26" s="152"/>
      <c r="W26" s="17">
        <v>42</v>
      </c>
      <c r="X26" s="17">
        <v>2.1300409999999999</v>
      </c>
    </row>
    <row r="27" spans="1:24" x14ac:dyDescent="0.3">
      <c r="A27" s="152"/>
      <c r="B27" s="152"/>
      <c r="C27" s="152"/>
      <c r="D27" s="152"/>
      <c r="E27" s="152"/>
      <c r="F27" s="152"/>
      <c r="G27" s="152"/>
      <c r="H27" s="152"/>
      <c r="I27" s="152"/>
      <c r="J27" s="152"/>
      <c r="K27" s="152"/>
      <c r="L27" s="152"/>
      <c r="M27" s="152"/>
      <c r="W27" s="17">
        <v>43</v>
      </c>
      <c r="X27" s="17">
        <v>2.2804899999999999</v>
      </c>
    </row>
    <row r="28" spans="1:24" x14ac:dyDescent="0.3">
      <c r="A28" s="152"/>
      <c r="B28" s="152"/>
      <c r="C28" s="152"/>
      <c r="D28" s="152"/>
      <c r="E28" s="152"/>
      <c r="F28" s="152"/>
      <c r="G28" s="152"/>
      <c r="H28" s="152"/>
      <c r="I28" s="152"/>
      <c r="J28" s="152"/>
      <c r="K28" s="152"/>
      <c r="L28" s="152"/>
      <c r="M28" s="152"/>
      <c r="W28" s="17">
        <v>44</v>
      </c>
      <c r="X28" s="17">
        <v>2.4416129999999998</v>
      </c>
    </row>
    <row r="29" spans="1:24" x14ac:dyDescent="0.3">
      <c r="A29" s="152"/>
      <c r="B29" s="152"/>
      <c r="C29" s="152"/>
      <c r="D29" s="152"/>
      <c r="E29" s="152"/>
      <c r="F29" s="152"/>
      <c r="G29" s="152"/>
      <c r="H29" s="152"/>
      <c r="I29" s="152"/>
      <c r="J29" s="152"/>
      <c r="K29" s="152"/>
      <c r="L29" s="152"/>
      <c r="M29" s="152"/>
      <c r="W29" s="17">
        <v>45</v>
      </c>
      <c r="X29" s="17">
        <v>2.6141730000000001</v>
      </c>
    </row>
    <row r="30" spans="1:24" x14ac:dyDescent="0.3">
      <c r="A30" s="152"/>
      <c r="B30" s="152"/>
      <c r="C30" s="152"/>
      <c r="D30" s="152"/>
      <c r="E30" s="152"/>
      <c r="F30" s="152"/>
      <c r="G30" s="152"/>
      <c r="H30" s="152"/>
      <c r="I30" s="152"/>
      <c r="J30" s="152"/>
      <c r="K30" s="152"/>
      <c r="L30" s="152"/>
      <c r="M30" s="152"/>
      <c r="W30" s="17">
        <v>46</v>
      </c>
      <c r="X30" s="17">
        <v>2.799013</v>
      </c>
    </row>
    <row r="31" spans="1:24" x14ac:dyDescent="0.3">
      <c r="A31" s="152"/>
      <c r="B31" s="152"/>
      <c r="C31" s="152"/>
      <c r="D31" s="152"/>
      <c r="E31" s="152"/>
      <c r="F31" s="152"/>
      <c r="G31" s="152"/>
      <c r="H31" s="152"/>
      <c r="I31" s="152"/>
      <c r="J31" s="152"/>
      <c r="K31" s="152"/>
      <c r="L31" s="152"/>
      <c r="M31" s="152"/>
      <c r="W31" s="17">
        <v>47</v>
      </c>
      <c r="X31" s="17">
        <v>2.9970409999999998</v>
      </c>
    </row>
    <row r="32" spans="1:24" x14ac:dyDescent="0.3">
      <c r="A32" s="152"/>
      <c r="B32" s="152"/>
      <c r="C32" s="152"/>
      <c r="D32" s="152"/>
      <c r="E32" s="152"/>
      <c r="F32" s="152"/>
      <c r="G32" s="152"/>
      <c r="H32" s="152"/>
      <c r="I32" s="152"/>
      <c r="J32" s="152"/>
      <c r="K32" s="152"/>
      <c r="L32" s="152"/>
      <c r="M32" s="152"/>
      <c r="W32" s="17">
        <v>48</v>
      </c>
      <c r="X32" s="17">
        <v>3.209209</v>
      </c>
    </row>
    <row r="33" spans="1:24" x14ac:dyDescent="0.3">
      <c r="A33" s="152"/>
      <c r="B33" s="152"/>
      <c r="C33" s="152"/>
      <c r="D33" s="152"/>
      <c r="E33" s="152"/>
      <c r="F33" s="152"/>
      <c r="G33" s="152"/>
      <c r="H33" s="152"/>
      <c r="I33" s="152"/>
      <c r="J33" s="152"/>
      <c r="K33" s="152"/>
      <c r="L33" s="152"/>
      <c r="M33" s="152"/>
      <c r="W33" s="17">
        <v>49</v>
      </c>
      <c r="X33" s="17">
        <v>3.436569</v>
      </c>
    </row>
    <row r="34" spans="1:24" x14ac:dyDescent="0.3">
      <c r="A34" s="152"/>
      <c r="B34" s="152"/>
      <c r="C34" s="152"/>
      <c r="D34" s="152"/>
      <c r="E34" s="152"/>
      <c r="F34" s="152"/>
      <c r="G34" s="152"/>
      <c r="H34" s="152"/>
      <c r="I34" s="152"/>
      <c r="J34" s="152"/>
      <c r="K34" s="152"/>
      <c r="L34" s="152"/>
      <c r="M34" s="152"/>
      <c r="W34" s="17">
        <v>50</v>
      </c>
      <c r="X34" s="17">
        <v>3.6802199999999998</v>
      </c>
    </row>
    <row r="35" spans="1:24" x14ac:dyDescent="0.3">
      <c r="A35" s="152"/>
      <c r="B35" s="152"/>
      <c r="C35" s="152"/>
      <c r="D35" s="152"/>
      <c r="E35" s="152"/>
      <c r="F35" s="152"/>
      <c r="G35" s="152"/>
      <c r="H35" s="152"/>
      <c r="I35" s="152"/>
      <c r="J35" s="152"/>
      <c r="K35" s="152"/>
      <c r="L35" s="152"/>
      <c r="M35" s="152"/>
      <c r="W35" s="17">
        <v>51</v>
      </c>
      <c r="X35" s="17">
        <v>3.9414609999999999</v>
      </c>
    </row>
    <row r="36" spans="1:24" x14ac:dyDescent="0.3">
      <c r="A36" s="152"/>
      <c r="B36" s="152"/>
      <c r="C36" s="152"/>
      <c r="D36" s="152"/>
      <c r="E36" s="152"/>
      <c r="F36" s="152"/>
      <c r="G36" s="152"/>
      <c r="H36" s="152"/>
      <c r="I36" s="152"/>
      <c r="J36" s="152"/>
      <c r="K36" s="152"/>
      <c r="L36" s="152"/>
      <c r="M36" s="152"/>
      <c r="W36" s="17">
        <v>52</v>
      </c>
      <c r="X36" s="17">
        <v>4.2216699999999996</v>
      </c>
    </row>
    <row r="37" spans="1:24" x14ac:dyDescent="0.3">
      <c r="A37" s="152"/>
      <c r="B37" s="152"/>
      <c r="C37" s="152"/>
      <c r="D37" s="152"/>
      <c r="E37" s="152"/>
      <c r="F37" s="152"/>
      <c r="G37" s="152"/>
      <c r="H37" s="152"/>
      <c r="I37" s="152"/>
      <c r="J37" s="152"/>
      <c r="K37" s="152"/>
      <c r="L37" s="152"/>
      <c r="M37" s="152"/>
      <c r="W37" s="17">
        <v>53</v>
      </c>
      <c r="X37" s="17">
        <v>4.5223420000000001</v>
      </c>
    </row>
    <row r="38" spans="1:24" x14ac:dyDescent="0.3">
      <c r="A38" s="152"/>
      <c r="B38" s="152"/>
      <c r="C38" s="152"/>
      <c r="D38" s="152"/>
      <c r="E38" s="152"/>
      <c r="F38" s="152"/>
      <c r="G38" s="152"/>
      <c r="H38" s="152"/>
      <c r="I38" s="152"/>
      <c r="J38" s="152"/>
      <c r="K38" s="152"/>
      <c r="L38" s="152"/>
      <c r="M38" s="152"/>
      <c r="W38" s="17">
        <v>54</v>
      </c>
      <c r="X38" s="17">
        <v>4.845059</v>
      </c>
    </row>
    <row r="39" spans="1:24" x14ac:dyDescent="0.3">
      <c r="A39" s="152"/>
      <c r="B39" s="152"/>
      <c r="C39" s="152"/>
      <c r="D39" s="152"/>
      <c r="E39" s="152"/>
      <c r="F39" s="152"/>
      <c r="G39" s="152"/>
      <c r="H39" s="152"/>
      <c r="I39" s="152"/>
      <c r="J39" s="152"/>
      <c r="K39" s="152"/>
      <c r="L39" s="152"/>
      <c r="M39" s="152"/>
      <c r="W39" s="17">
        <v>55</v>
      </c>
      <c r="X39" s="17">
        <v>5.1916890000000002</v>
      </c>
    </row>
    <row r="40" spans="1:24" x14ac:dyDescent="0.3">
      <c r="A40" s="152"/>
      <c r="B40" s="152"/>
      <c r="C40" s="152"/>
      <c r="D40" s="152"/>
      <c r="E40" s="152"/>
      <c r="F40" s="152"/>
      <c r="G40" s="152"/>
      <c r="H40" s="152"/>
      <c r="I40" s="152"/>
      <c r="J40" s="152"/>
      <c r="K40" s="152"/>
      <c r="L40" s="152"/>
      <c r="M40" s="152"/>
      <c r="W40" s="17">
        <v>56</v>
      </c>
      <c r="X40" s="17">
        <v>5.5646789999999999</v>
      </c>
    </row>
    <row r="41" spans="1:24" x14ac:dyDescent="0.3">
      <c r="A41" s="152"/>
      <c r="B41" s="152"/>
      <c r="C41" s="152"/>
      <c r="D41" s="152"/>
      <c r="E41" s="152"/>
      <c r="F41" s="152"/>
      <c r="G41" s="152"/>
      <c r="H41" s="152"/>
      <c r="I41" s="152"/>
      <c r="J41" s="152"/>
      <c r="K41" s="152"/>
      <c r="L41" s="152"/>
      <c r="M41" s="152"/>
      <c r="W41" s="17">
        <v>57</v>
      </c>
      <c r="X41" s="17">
        <v>5.9668559999999999</v>
      </c>
    </row>
    <row r="42" spans="1:24" x14ac:dyDescent="0.3">
      <c r="A42" s="152"/>
      <c r="B42" s="152"/>
      <c r="C42" s="152"/>
      <c r="D42" s="152"/>
      <c r="E42" s="152"/>
      <c r="F42" s="152"/>
      <c r="G42" s="152"/>
      <c r="H42" s="152"/>
      <c r="I42" s="152"/>
      <c r="J42" s="152"/>
      <c r="K42" s="152"/>
      <c r="L42" s="152"/>
      <c r="M42" s="152"/>
      <c r="W42" s="17">
        <v>58</v>
      </c>
      <c r="X42" s="17">
        <v>6.4002809999999997</v>
      </c>
    </row>
    <row r="43" spans="1:24" x14ac:dyDescent="0.3">
      <c r="A43" s="152"/>
      <c r="B43" s="152"/>
      <c r="C43" s="152"/>
      <c r="D43" s="152"/>
      <c r="E43" s="152"/>
      <c r="F43" s="152"/>
      <c r="G43" s="152"/>
      <c r="H43" s="152"/>
      <c r="I43" s="152"/>
      <c r="J43" s="152"/>
      <c r="K43" s="152"/>
      <c r="L43" s="152"/>
      <c r="M43" s="152"/>
      <c r="W43" s="17">
        <v>59</v>
      </c>
      <c r="X43" s="17">
        <v>6.8678739999999996</v>
      </c>
    </row>
    <row r="44" spans="1:24" x14ac:dyDescent="0.3">
      <c r="A44" s="152"/>
      <c r="B44" s="152"/>
      <c r="C44" s="152"/>
      <c r="D44" s="152"/>
      <c r="E44" s="152"/>
      <c r="F44" s="152"/>
      <c r="G44" s="152"/>
      <c r="H44" s="152"/>
      <c r="I44" s="152"/>
      <c r="J44" s="152"/>
      <c r="K44" s="152"/>
      <c r="L44" s="152"/>
      <c r="M44" s="152"/>
      <c r="W44" s="17">
        <v>60</v>
      </c>
      <c r="X44" s="17">
        <v>7.372808</v>
      </c>
    </row>
    <row r="45" spans="1:24" x14ac:dyDescent="0.3">
      <c r="A45" s="152"/>
      <c r="B45" s="152"/>
      <c r="C45" s="152"/>
      <c r="D45" s="152"/>
      <c r="E45" s="152"/>
      <c r="F45" s="152"/>
      <c r="G45" s="152"/>
      <c r="H45" s="152"/>
      <c r="I45" s="152"/>
      <c r="J45" s="152"/>
      <c r="K45" s="152"/>
      <c r="L45" s="152"/>
      <c r="M45" s="152"/>
      <c r="W45" s="17">
        <v>61</v>
      </c>
      <c r="X45" s="17">
        <v>7.9189170000000004</v>
      </c>
    </row>
    <row r="46" spans="1:24" x14ac:dyDescent="0.3">
      <c r="A46" s="152"/>
      <c r="B46" s="152"/>
      <c r="C46" s="152"/>
      <c r="D46" s="152"/>
      <c r="E46" s="152"/>
      <c r="F46" s="152"/>
      <c r="G46" s="152"/>
      <c r="H46" s="152"/>
      <c r="I46" s="152"/>
      <c r="J46" s="152"/>
      <c r="K46" s="152"/>
      <c r="L46" s="152"/>
      <c r="M46" s="152"/>
      <c r="W46" s="17">
        <v>62</v>
      </c>
      <c r="X46" s="17">
        <v>8.5100899999999999</v>
      </c>
    </row>
    <row r="47" spans="1:24" x14ac:dyDescent="0.3">
      <c r="A47" s="152"/>
      <c r="B47" s="152"/>
      <c r="C47" s="152"/>
      <c r="D47" s="152"/>
      <c r="E47" s="152"/>
      <c r="F47" s="152"/>
      <c r="G47" s="152"/>
      <c r="H47" s="152"/>
      <c r="I47" s="152"/>
      <c r="J47" s="152"/>
      <c r="K47" s="152"/>
      <c r="L47" s="152"/>
      <c r="M47" s="152"/>
      <c r="W47" s="17">
        <v>63</v>
      </c>
      <c r="X47" s="17">
        <v>9.1526580000000006</v>
      </c>
    </row>
    <row r="48" spans="1:24" x14ac:dyDescent="0.3">
      <c r="A48" s="152"/>
      <c r="B48" s="152"/>
      <c r="C48" s="152"/>
      <c r="D48" s="152"/>
      <c r="E48" s="152"/>
      <c r="F48" s="152"/>
      <c r="G48" s="152"/>
      <c r="H48" s="152"/>
      <c r="I48" s="152"/>
      <c r="J48" s="152"/>
      <c r="K48" s="152"/>
      <c r="L48" s="152"/>
      <c r="M48" s="152"/>
      <c r="W48" s="17">
        <v>64</v>
      </c>
      <c r="X48" s="17">
        <v>9.8515669999999993</v>
      </c>
    </row>
    <row r="49" spans="1:24" x14ac:dyDescent="0.3">
      <c r="A49" s="152"/>
      <c r="B49" s="152"/>
      <c r="C49" s="152"/>
      <c r="D49" s="152"/>
      <c r="E49" s="152"/>
      <c r="F49" s="152"/>
      <c r="G49" s="152"/>
      <c r="H49" s="152"/>
      <c r="I49" s="152"/>
      <c r="J49" s="152"/>
      <c r="K49" s="152"/>
      <c r="L49" s="152"/>
      <c r="M49" s="152"/>
      <c r="W49" s="17">
        <v>65</v>
      </c>
      <c r="X49" s="17">
        <v>10.610783</v>
      </c>
    </row>
    <row r="50" spans="1:24" x14ac:dyDescent="0.3">
      <c r="A50" s="152"/>
      <c r="B50" s="152"/>
      <c r="C50" s="152"/>
      <c r="D50" s="152"/>
      <c r="E50" s="152"/>
      <c r="F50" s="152"/>
      <c r="G50" s="152"/>
      <c r="H50" s="152"/>
      <c r="I50" s="152"/>
      <c r="J50" s="152"/>
      <c r="K50" s="152"/>
      <c r="L50" s="152"/>
      <c r="M50" s="152"/>
    </row>
    <row r="51" spans="1:24" x14ac:dyDescent="0.3">
      <c r="A51" s="152"/>
      <c r="B51" s="152"/>
      <c r="C51" s="152"/>
      <c r="D51" s="152"/>
      <c r="E51" s="152"/>
      <c r="F51" s="152"/>
      <c r="G51" s="152"/>
      <c r="H51" s="152"/>
      <c r="I51" s="152"/>
      <c r="J51" s="152"/>
      <c r="K51" s="152"/>
      <c r="L51" s="152"/>
      <c r="M51" s="152"/>
    </row>
    <row r="52" spans="1:24" x14ac:dyDescent="0.3">
      <c r="A52" s="152"/>
      <c r="B52" s="152"/>
      <c r="C52" s="152"/>
      <c r="D52" s="152"/>
      <c r="E52" s="152"/>
      <c r="F52" s="152"/>
      <c r="G52" s="152"/>
      <c r="H52" s="152"/>
      <c r="I52" s="152"/>
      <c r="J52" s="152"/>
      <c r="K52" s="152"/>
      <c r="L52" s="152"/>
      <c r="M52" s="152"/>
    </row>
    <row r="53" spans="1:24" x14ac:dyDescent="0.3">
      <c r="A53" s="152"/>
      <c r="B53" s="152"/>
      <c r="C53" s="152"/>
      <c r="D53" s="152"/>
      <c r="E53" s="152"/>
      <c r="F53" s="152"/>
      <c r="G53" s="152"/>
      <c r="H53" s="152"/>
      <c r="I53" s="152"/>
      <c r="J53" s="152"/>
      <c r="K53" s="152"/>
      <c r="L53" s="152"/>
      <c r="M53" s="152"/>
    </row>
    <row r="54" spans="1:24" x14ac:dyDescent="0.3">
      <c r="A54" s="152"/>
      <c r="B54" s="152"/>
      <c r="C54" s="152"/>
      <c r="D54" s="152"/>
      <c r="E54" s="152"/>
      <c r="F54" s="152"/>
      <c r="G54" s="152"/>
      <c r="H54" s="152"/>
      <c r="I54" s="152"/>
      <c r="J54" s="152"/>
      <c r="K54" s="152"/>
      <c r="L54" s="152"/>
      <c r="M54" s="152"/>
    </row>
    <row r="55" spans="1:24" x14ac:dyDescent="0.3">
      <c r="A55" s="152"/>
      <c r="B55" s="152"/>
      <c r="C55" s="152"/>
      <c r="D55" s="152"/>
      <c r="E55" s="152"/>
      <c r="F55" s="152"/>
      <c r="G55" s="152"/>
      <c r="H55" s="152"/>
      <c r="I55" s="152"/>
      <c r="J55" s="152"/>
      <c r="K55" s="152"/>
      <c r="L55" s="152"/>
      <c r="M55" s="152"/>
    </row>
    <row r="56" spans="1:24" x14ac:dyDescent="0.3">
      <c r="A56" s="152"/>
      <c r="B56" s="152"/>
      <c r="C56" s="152"/>
      <c r="D56" s="152"/>
      <c r="E56" s="152"/>
      <c r="F56" s="152"/>
      <c r="G56" s="152"/>
      <c r="H56" s="152"/>
      <c r="I56" s="152"/>
      <c r="J56" s="152"/>
      <c r="K56" s="152"/>
      <c r="L56" s="152"/>
      <c r="M56" s="152"/>
    </row>
    <row r="57" spans="1:24" x14ac:dyDescent="0.3">
      <c r="A57" s="152"/>
      <c r="B57" s="152"/>
      <c r="C57" s="152"/>
      <c r="D57" s="152"/>
      <c r="E57" s="152"/>
      <c r="F57" s="152"/>
      <c r="G57" s="152"/>
      <c r="H57" s="152"/>
      <c r="I57" s="152"/>
      <c r="J57" s="152"/>
      <c r="K57" s="152"/>
      <c r="L57" s="152"/>
      <c r="M57" s="152"/>
    </row>
    <row r="58" spans="1:24" x14ac:dyDescent="0.3">
      <c r="A58" s="152"/>
      <c r="B58" s="152"/>
      <c r="C58" s="152"/>
      <c r="D58" s="152"/>
      <c r="E58" s="152"/>
      <c r="F58" s="152"/>
      <c r="G58" s="152"/>
      <c r="H58" s="152"/>
      <c r="I58" s="152"/>
      <c r="J58" s="152"/>
      <c r="K58" s="152"/>
      <c r="L58" s="152"/>
      <c r="M58" s="152"/>
    </row>
    <row r="59" spans="1:24" x14ac:dyDescent="0.3">
      <c r="A59" s="152"/>
      <c r="B59" s="152"/>
      <c r="C59" s="152"/>
      <c r="D59" s="152"/>
      <c r="E59" s="152"/>
      <c r="F59" s="152"/>
      <c r="G59" s="152"/>
      <c r="H59" s="152"/>
      <c r="I59" s="152"/>
      <c r="J59" s="152"/>
      <c r="K59" s="152"/>
      <c r="L59" s="152"/>
      <c r="M59" s="152"/>
    </row>
    <row r="60" spans="1:24" x14ac:dyDescent="0.3">
      <c r="A60" s="152"/>
      <c r="B60" s="152"/>
      <c r="C60" s="152"/>
      <c r="D60" s="152"/>
      <c r="E60" s="152"/>
      <c r="F60" s="152"/>
      <c r="G60" s="152"/>
      <c r="H60" s="152"/>
      <c r="I60" s="152"/>
      <c r="J60" s="152"/>
      <c r="K60" s="152"/>
      <c r="L60" s="152"/>
      <c r="M60" s="152"/>
    </row>
    <row r="61" spans="1:24" x14ac:dyDescent="0.3">
      <c r="A61" s="152"/>
      <c r="B61" s="152"/>
      <c r="C61" s="152"/>
      <c r="D61" s="152"/>
      <c r="E61" s="152"/>
      <c r="F61" s="152"/>
      <c r="G61" s="152"/>
      <c r="H61" s="152"/>
      <c r="I61" s="152"/>
      <c r="J61" s="152"/>
      <c r="K61" s="152"/>
      <c r="L61" s="152"/>
      <c r="M61" s="152"/>
    </row>
    <row r="62" spans="1:24" x14ac:dyDescent="0.3">
      <c r="A62" s="152"/>
      <c r="B62" s="152"/>
      <c r="C62" s="152"/>
      <c r="D62" s="152"/>
      <c r="E62" s="152"/>
      <c r="F62" s="152"/>
      <c r="G62" s="152"/>
      <c r="H62" s="152"/>
      <c r="I62" s="152"/>
      <c r="J62" s="152"/>
      <c r="K62" s="152"/>
      <c r="L62" s="152"/>
      <c r="M62" s="152"/>
    </row>
    <row r="63" spans="1:24" x14ac:dyDescent="0.3">
      <c r="A63" s="152"/>
      <c r="B63" s="152"/>
      <c r="C63" s="152"/>
      <c r="D63" s="152"/>
      <c r="E63" s="152"/>
      <c r="F63" s="152"/>
      <c r="G63" s="152"/>
      <c r="H63" s="152"/>
      <c r="I63" s="152"/>
      <c r="J63" s="152"/>
      <c r="K63" s="152"/>
      <c r="L63" s="152"/>
      <c r="M63" s="152"/>
    </row>
    <row r="64" spans="1:24" x14ac:dyDescent="0.3">
      <c r="A64" s="152"/>
      <c r="B64" s="152"/>
      <c r="C64" s="152"/>
      <c r="D64" s="152"/>
      <c r="E64" s="152"/>
      <c r="F64" s="152"/>
      <c r="G64" s="152"/>
      <c r="H64" s="152"/>
      <c r="I64" s="152"/>
      <c r="J64" s="152"/>
      <c r="K64" s="152"/>
      <c r="L64" s="152"/>
      <c r="M64" s="152"/>
    </row>
    <row r="65" spans="1:13" x14ac:dyDescent="0.3">
      <c r="A65" s="152"/>
      <c r="B65" s="152"/>
      <c r="C65" s="152"/>
      <c r="D65" s="152"/>
      <c r="E65" s="152"/>
      <c r="F65" s="152"/>
      <c r="G65" s="152"/>
      <c r="H65" s="152"/>
      <c r="I65" s="152"/>
      <c r="J65" s="152"/>
      <c r="K65" s="152"/>
      <c r="L65" s="152"/>
      <c r="M65" s="152"/>
    </row>
    <row r="66" spans="1:13" x14ac:dyDescent="0.3">
      <c r="A66" s="153"/>
      <c r="B66" s="153"/>
      <c r="C66" s="153"/>
      <c r="D66" s="153"/>
      <c r="E66" s="153"/>
      <c r="F66" s="153"/>
      <c r="G66" s="153"/>
      <c r="H66" s="153"/>
      <c r="I66" s="153"/>
      <c r="J66" s="153"/>
      <c r="K66" s="153"/>
      <c r="L66" s="153"/>
      <c r="M66" s="153"/>
    </row>
    <row r="67" spans="1:13" x14ac:dyDescent="0.3">
      <c r="A67" s="153"/>
      <c r="B67" s="153"/>
      <c r="C67" s="153"/>
      <c r="D67" s="153"/>
      <c r="E67" s="153"/>
      <c r="F67" s="153"/>
      <c r="G67" s="153"/>
      <c r="H67" s="153"/>
      <c r="I67" s="153"/>
      <c r="J67" s="153"/>
      <c r="K67" s="153"/>
      <c r="L67" s="153"/>
      <c r="M67" s="153"/>
    </row>
    <row r="68" spans="1:13" x14ac:dyDescent="0.3">
      <c r="A68" s="153"/>
      <c r="B68" s="153"/>
      <c r="C68" s="153"/>
      <c r="D68" s="153"/>
      <c r="E68" s="153"/>
      <c r="F68" s="153"/>
      <c r="G68" s="153"/>
      <c r="H68" s="153"/>
      <c r="I68" s="153"/>
      <c r="J68" s="153"/>
      <c r="K68" s="153"/>
      <c r="L68" s="153"/>
      <c r="M68" s="153"/>
    </row>
    <row r="69" spans="1:13" x14ac:dyDescent="0.3">
      <c r="A69" s="153"/>
      <c r="B69" s="153"/>
      <c r="C69" s="153"/>
      <c r="D69" s="153"/>
      <c r="E69" s="153"/>
      <c r="F69" s="153"/>
      <c r="G69" s="153"/>
      <c r="H69" s="153"/>
      <c r="I69" s="153"/>
      <c r="J69" s="153"/>
      <c r="K69" s="153"/>
      <c r="L69" s="153"/>
      <c r="M69" s="153"/>
    </row>
  </sheetData>
  <mergeCells count="1">
    <mergeCell ref="A6:M6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7A83-CBC4-4DF4-8226-A4BCBCA75F9B}">
  <sheetPr>
    <tabColor theme="9" tint="0.59999389629810485"/>
  </sheetPr>
  <dimension ref="A1:DB80"/>
  <sheetViews>
    <sheetView zoomScale="115" zoomScaleNormal="115" workbookViewId="0"/>
  </sheetViews>
  <sheetFormatPr defaultRowHeight="14.4" x14ac:dyDescent="0.3"/>
  <cols>
    <col min="1" max="1" width="4" customWidth="1"/>
    <col min="2" max="2" width="5.21875" customWidth="1"/>
    <col min="3" max="3" width="16.109375" customWidth="1"/>
    <col min="4" max="4" width="10.6640625" bestFit="1" customWidth="1"/>
    <col min="5" max="5" width="10.5546875" bestFit="1" customWidth="1"/>
    <col min="6" max="6" width="4.109375" customWidth="1"/>
    <col min="9" max="9" width="10.5546875" customWidth="1"/>
    <col min="10" max="10" width="4.5546875" customWidth="1"/>
    <col min="11" max="12" width="10.5546875" customWidth="1"/>
    <col min="13" max="13" width="5.21875" customWidth="1"/>
    <col min="14" max="14" width="4.33203125" customWidth="1"/>
    <col min="15" max="15" width="19.5546875" customWidth="1"/>
    <col min="16" max="16" width="9" bestFit="1" customWidth="1"/>
    <col min="19" max="20" width="10.88671875" bestFit="1" customWidth="1"/>
    <col min="26" max="29" width="10.88671875" bestFit="1" customWidth="1"/>
    <col min="30" max="30" width="4.33203125" customWidth="1"/>
    <col min="73" max="74" width="5.21875" customWidth="1"/>
    <col min="79" max="89" width="10.88671875" bestFit="1" customWidth="1"/>
    <col min="90" max="91" width="5" customWidth="1"/>
    <col min="92" max="92" width="30.109375" customWidth="1"/>
    <col min="96" max="96" width="9.33203125" bestFit="1" customWidth="1"/>
    <col min="97" max="97" width="11.5546875" bestFit="1" customWidth="1"/>
    <col min="98" max="106" width="10.5546875" bestFit="1" customWidth="1"/>
  </cols>
  <sheetData>
    <row r="1" spans="1:106" x14ac:dyDescent="0.3">
      <c r="A1" s="177" t="s">
        <v>209</v>
      </c>
    </row>
    <row r="3" spans="1:106" x14ac:dyDescent="0.3">
      <c r="A3" s="4" t="s">
        <v>1</v>
      </c>
    </row>
    <row r="4" spans="1:106" x14ac:dyDescent="0.3">
      <c r="A4" t="s">
        <v>4</v>
      </c>
    </row>
    <row r="7" spans="1:106" x14ac:dyDescent="0.3">
      <c r="O7" s="7" t="s">
        <v>6</v>
      </c>
      <c r="AE7" s="7" t="s">
        <v>7</v>
      </c>
      <c r="BW7" s="7" t="s">
        <v>8</v>
      </c>
      <c r="CN7" s="7" t="s">
        <v>9</v>
      </c>
    </row>
    <row r="8" spans="1:106" x14ac:dyDescent="0.3">
      <c r="C8" s="7" t="s">
        <v>10</v>
      </c>
      <c r="O8" s="21" t="s">
        <v>11</v>
      </c>
      <c r="P8" s="22"/>
      <c r="Q8" s="22"/>
      <c r="R8" s="22"/>
      <c r="S8" s="22"/>
      <c r="T8" s="22"/>
      <c r="U8" s="22"/>
      <c r="V8" s="22"/>
      <c r="W8" s="22"/>
      <c r="X8" s="22"/>
      <c r="Y8" s="22"/>
      <c r="Z8" s="22"/>
      <c r="AA8" s="22"/>
      <c r="AB8" s="22"/>
      <c r="AC8" s="23"/>
      <c r="AE8" s="21" t="s">
        <v>11</v>
      </c>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3"/>
      <c r="BW8" s="21" t="s">
        <v>11</v>
      </c>
      <c r="BX8" s="22"/>
      <c r="BY8" s="22"/>
      <c r="BZ8" s="22"/>
      <c r="CA8" s="22"/>
      <c r="CB8" s="22"/>
      <c r="CC8" s="22"/>
      <c r="CD8" s="22"/>
      <c r="CE8" s="22"/>
      <c r="CF8" s="22"/>
      <c r="CG8" s="22"/>
      <c r="CH8" s="22"/>
      <c r="CI8" s="22"/>
      <c r="CJ8" s="22"/>
      <c r="CK8" s="23"/>
      <c r="CN8" s="21" t="s">
        <v>11</v>
      </c>
      <c r="CO8" s="22"/>
      <c r="CP8" s="22"/>
      <c r="CQ8" s="22"/>
      <c r="CR8" s="22"/>
      <c r="CS8" s="22"/>
      <c r="CT8" s="22"/>
      <c r="CU8" s="22"/>
      <c r="CV8" s="22"/>
      <c r="CW8" s="22"/>
      <c r="CX8" s="22"/>
      <c r="CY8" s="22"/>
      <c r="CZ8" s="22"/>
      <c r="DA8" s="22"/>
      <c r="DB8" s="23"/>
    </row>
    <row r="9" spans="1:106" x14ac:dyDescent="0.3">
      <c r="C9" t="s">
        <v>12</v>
      </c>
      <c r="D9">
        <v>25</v>
      </c>
      <c r="O9" s="24" t="s">
        <v>12</v>
      </c>
      <c r="P9">
        <v>52</v>
      </c>
      <c r="Q9">
        <v>53</v>
      </c>
      <c r="R9">
        <v>54</v>
      </c>
      <c r="S9">
        <v>55</v>
      </c>
      <c r="T9">
        <v>56</v>
      </c>
      <c r="U9">
        <v>57</v>
      </c>
      <c r="V9">
        <v>58</v>
      </c>
      <c r="W9">
        <v>59</v>
      </c>
      <c r="X9">
        <v>60</v>
      </c>
      <c r="Y9">
        <v>61</v>
      </c>
      <c r="Z9">
        <v>62</v>
      </c>
      <c r="AA9">
        <v>63</v>
      </c>
      <c r="AB9">
        <v>64</v>
      </c>
      <c r="AC9" s="25">
        <v>65</v>
      </c>
      <c r="AE9" s="24" t="s">
        <v>12</v>
      </c>
      <c r="AF9">
        <v>25</v>
      </c>
      <c r="AG9">
        <v>26</v>
      </c>
      <c r="AH9">
        <v>27</v>
      </c>
      <c r="AI9">
        <v>28</v>
      </c>
      <c r="AJ9">
        <v>29</v>
      </c>
      <c r="AK9">
        <v>30</v>
      </c>
      <c r="AL9">
        <v>31</v>
      </c>
      <c r="AM9">
        <v>32</v>
      </c>
      <c r="AN9">
        <v>33</v>
      </c>
      <c r="AO9">
        <v>34</v>
      </c>
      <c r="AP9">
        <v>35</v>
      </c>
      <c r="AQ9">
        <v>36</v>
      </c>
      <c r="AR9">
        <v>37</v>
      </c>
      <c r="AS9">
        <v>38</v>
      </c>
      <c r="AT9">
        <v>39</v>
      </c>
      <c r="AU9">
        <v>40</v>
      </c>
      <c r="AV9">
        <v>41</v>
      </c>
      <c r="AW9">
        <v>42</v>
      </c>
      <c r="AX9">
        <v>43</v>
      </c>
      <c r="AY9">
        <v>44</v>
      </c>
      <c r="AZ9">
        <v>45</v>
      </c>
      <c r="BA9">
        <v>46</v>
      </c>
      <c r="BB9">
        <v>47</v>
      </c>
      <c r="BC9">
        <v>48</v>
      </c>
      <c r="BD9">
        <v>49</v>
      </c>
      <c r="BE9">
        <v>50</v>
      </c>
      <c r="BF9">
        <v>51</v>
      </c>
      <c r="BG9">
        <v>52</v>
      </c>
      <c r="BH9">
        <v>53</v>
      </c>
      <c r="BI9">
        <v>54</v>
      </c>
      <c r="BJ9">
        <v>55</v>
      </c>
      <c r="BK9">
        <v>56</v>
      </c>
      <c r="BL9">
        <v>57</v>
      </c>
      <c r="BM9">
        <v>58</v>
      </c>
      <c r="BN9">
        <v>59</v>
      </c>
      <c r="BO9">
        <v>60</v>
      </c>
      <c r="BP9">
        <v>61</v>
      </c>
      <c r="BQ9">
        <v>62</v>
      </c>
      <c r="BR9">
        <v>63</v>
      </c>
      <c r="BS9">
        <v>64</v>
      </c>
      <c r="BT9" s="25">
        <v>65</v>
      </c>
      <c r="BW9" s="24" t="s">
        <v>12</v>
      </c>
      <c r="BX9">
        <v>52</v>
      </c>
      <c r="BY9">
        <v>53</v>
      </c>
      <c r="BZ9">
        <v>54</v>
      </c>
      <c r="CA9">
        <v>55</v>
      </c>
      <c r="CB9">
        <v>56</v>
      </c>
      <c r="CC9">
        <v>57</v>
      </c>
      <c r="CD9">
        <v>58</v>
      </c>
      <c r="CE9">
        <v>59</v>
      </c>
      <c r="CF9">
        <v>60</v>
      </c>
      <c r="CG9">
        <v>61</v>
      </c>
      <c r="CH9">
        <v>62</v>
      </c>
      <c r="CI9">
        <v>63</v>
      </c>
      <c r="CJ9">
        <v>64</v>
      </c>
      <c r="CK9" s="25">
        <v>65</v>
      </c>
      <c r="CN9" s="24" t="s">
        <v>12</v>
      </c>
      <c r="CO9">
        <v>52</v>
      </c>
      <c r="CP9">
        <v>53</v>
      </c>
      <c r="CQ9">
        <v>54</v>
      </c>
      <c r="CR9">
        <v>55</v>
      </c>
      <c r="CS9">
        <v>56</v>
      </c>
      <c r="CT9">
        <v>57</v>
      </c>
      <c r="CU9">
        <v>58</v>
      </c>
      <c r="CV9">
        <v>59</v>
      </c>
      <c r="CW9">
        <v>60</v>
      </c>
      <c r="CX9">
        <v>61</v>
      </c>
      <c r="CY9">
        <v>62</v>
      </c>
      <c r="CZ9">
        <v>63</v>
      </c>
      <c r="DA9">
        <v>64</v>
      </c>
      <c r="DB9" s="25">
        <v>65</v>
      </c>
    </row>
    <row r="10" spans="1:106" x14ac:dyDescent="0.3">
      <c r="C10" t="s">
        <v>13</v>
      </c>
      <c r="D10" s="13">
        <v>75000</v>
      </c>
      <c r="O10" s="24" t="s">
        <v>14</v>
      </c>
      <c r="P10">
        <f>P9-$D$9</f>
        <v>27</v>
      </c>
      <c r="Q10">
        <f t="shared" ref="Q10:AC10" si="0">Q9-$D$9</f>
        <v>28</v>
      </c>
      <c r="R10">
        <f t="shared" si="0"/>
        <v>29</v>
      </c>
      <c r="S10">
        <f t="shared" si="0"/>
        <v>30</v>
      </c>
      <c r="T10">
        <f t="shared" si="0"/>
        <v>31</v>
      </c>
      <c r="U10">
        <f t="shared" si="0"/>
        <v>32</v>
      </c>
      <c r="V10">
        <f t="shared" si="0"/>
        <v>33</v>
      </c>
      <c r="W10">
        <f t="shared" si="0"/>
        <v>34</v>
      </c>
      <c r="X10">
        <f t="shared" si="0"/>
        <v>35</v>
      </c>
      <c r="Y10">
        <f t="shared" si="0"/>
        <v>36</v>
      </c>
      <c r="Z10">
        <f t="shared" si="0"/>
        <v>37</v>
      </c>
      <c r="AA10">
        <f t="shared" si="0"/>
        <v>38</v>
      </c>
      <c r="AB10">
        <f t="shared" si="0"/>
        <v>39</v>
      </c>
      <c r="AC10" s="25">
        <f t="shared" si="0"/>
        <v>40</v>
      </c>
      <c r="AE10" s="24" t="s">
        <v>14</v>
      </c>
      <c r="AF10">
        <v>0</v>
      </c>
      <c r="AG10">
        <v>1</v>
      </c>
      <c r="AH10">
        <v>2</v>
      </c>
      <c r="AI10">
        <v>3</v>
      </c>
      <c r="AJ10">
        <v>4</v>
      </c>
      <c r="AK10">
        <v>5</v>
      </c>
      <c r="AL10">
        <v>6</v>
      </c>
      <c r="AM10">
        <v>7</v>
      </c>
      <c r="AN10">
        <v>8</v>
      </c>
      <c r="AO10">
        <v>9</v>
      </c>
      <c r="AP10">
        <v>10</v>
      </c>
      <c r="AQ10">
        <v>11</v>
      </c>
      <c r="AR10">
        <v>12</v>
      </c>
      <c r="AS10">
        <v>13</v>
      </c>
      <c r="AT10">
        <v>14</v>
      </c>
      <c r="AU10">
        <v>15</v>
      </c>
      <c r="AV10">
        <v>16</v>
      </c>
      <c r="AW10">
        <v>17</v>
      </c>
      <c r="AX10">
        <v>18</v>
      </c>
      <c r="AY10">
        <v>19</v>
      </c>
      <c r="AZ10">
        <v>20</v>
      </c>
      <c r="BA10">
        <v>21</v>
      </c>
      <c r="BB10">
        <v>22</v>
      </c>
      <c r="BC10">
        <v>23</v>
      </c>
      <c r="BD10">
        <v>24</v>
      </c>
      <c r="BE10">
        <v>25</v>
      </c>
      <c r="BF10">
        <v>26</v>
      </c>
      <c r="BG10">
        <f t="shared" ref="BG10:BT10" si="1">BG9-$D$9</f>
        <v>27</v>
      </c>
      <c r="BH10">
        <f t="shared" si="1"/>
        <v>28</v>
      </c>
      <c r="BI10">
        <f t="shared" si="1"/>
        <v>29</v>
      </c>
      <c r="BJ10">
        <f t="shared" si="1"/>
        <v>30</v>
      </c>
      <c r="BK10">
        <f t="shared" si="1"/>
        <v>31</v>
      </c>
      <c r="BL10">
        <f t="shared" si="1"/>
        <v>32</v>
      </c>
      <c r="BM10">
        <f t="shared" si="1"/>
        <v>33</v>
      </c>
      <c r="BN10">
        <f t="shared" si="1"/>
        <v>34</v>
      </c>
      <c r="BO10">
        <f t="shared" si="1"/>
        <v>35</v>
      </c>
      <c r="BP10">
        <f t="shared" si="1"/>
        <v>36</v>
      </c>
      <c r="BQ10">
        <f t="shared" si="1"/>
        <v>37</v>
      </c>
      <c r="BR10">
        <f t="shared" si="1"/>
        <v>38</v>
      </c>
      <c r="BS10">
        <f t="shared" si="1"/>
        <v>39</v>
      </c>
      <c r="BT10" s="25">
        <f t="shared" si="1"/>
        <v>40</v>
      </c>
      <c r="BW10" s="24" t="s">
        <v>14</v>
      </c>
      <c r="BX10">
        <f t="shared" ref="BX10:CK10" si="2">BX9-$D$9</f>
        <v>27</v>
      </c>
      <c r="BY10">
        <f t="shared" si="2"/>
        <v>28</v>
      </c>
      <c r="BZ10">
        <f t="shared" si="2"/>
        <v>29</v>
      </c>
      <c r="CA10">
        <f t="shared" si="2"/>
        <v>30</v>
      </c>
      <c r="CB10">
        <f t="shared" si="2"/>
        <v>31</v>
      </c>
      <c r="CC10">
        <f t="shared" si="2"/>
        <v>32</v>
      </c>
      <c r="CD10">
        <f t="shared" si="2"/>
        <v>33</v>
      </c>
      <c r="CE10">
        <f t="shared" si="2"/>
        <v>34</v>
      </c>
      <c r="CF10">
        <f t="shared" si="2"/>
        <v>35</v>
      </c>
      <c r="CG10">
        <f t="shared" si="2"/>
        <v>36</v>
      </c>
      <c r="CH10">
        <f t="shared" si="2"/>
        <v>37</v>
      </c>
      <c r="CI10">
        <f t="shared" si="2"/>
        <v>38</v>
      </c>
      <c r="CJ10">
        <f t="shared" si="2"/>
        <v>39</v>
      </c>
      <c r="CK10" s="25">
        <f t="shared" si="2"/>
        <v>40</v>
      </c>
      <c r="CN10" s="24" t="s">
        <v>14</v>
      </c>
      <c r="CO10">
        <f t="shared" ref="CO10:DB10" si="3">CO9-$D$9</f>
        <v>27</v>
      </c>
      <c r="CP10">
        <f t="shared" si="3"/>
        <v>28</v>
      </c>
      <c r="CQ10">
        <f t="shared" si="3"/>
        <v>29</v>
      </c>
      <c r="CR10">
        <f t="shared" si="3"/>
        <v>30</v>
      </c>
      <c r="CS10">
        <f t="shared" si="3"/>
        <v>31</v>
      </c>
      <c r="CT10">
        <f t="shared" si="3"/>
        <v>32</v>
      </c>
      <c r="CU10">
        <f t="shared" si="3"/>
        <v>33</v>
      </c>
      <c r="CV10">
        <f t="shared" si="3"/>
        <v>34</v>
      </c>
      <c r="CW10">
        <f t="shared" si="3"/>
        <v>35</v>
      </c>
      <c r="CX10">
        <f t="shared" si="3"/>
        <v>36</v>
      </c>
      <c r="CY10">
        <f t="shared" si="3"/>
        <v>37</v>
      </c>
      <c r="CZ10">
        <f t="shared" si="3"/>
        <v>38</v>
      </c>
      <c r="DA10">
        <f t="shared" si="3"/>
        <v>39</v>
      </c>
      <c r="DB10" s="25">
        <f t="shared" si="3"/>
        <v>40</v>
      </c>
    </row>
    <row r="11" spans="1:106" x14ac:dyDescent="0.3">
      <c r="O11" s="24" t="s">
        <v>13</v>
      </c>
      <c r="P11" s="11">
        <f t="shared" ref="P11:AB11" si="4">$D$10*(1+$D$13)^(P9-$D$9)</f>
        <v>119809.30437546149</v>
      </c>
      <c r="Q11" s="11">
        <f t="shared" si="4"/>
        <v>121905.96720203207</v>
      </c>
      <c r="R11" s="11">
        <f t="shared" si="4"/>
        <v>124039.32162806766</v>
      </c>
      <c r="S11" s="11">
        <f t="shared" si="4"/>
        <v>126210.00975655885</v>
      </c>
      <c r="T11" s="11">
        <f t="shared" si="4"/>
        <v>128418.68492729861</v>
      </c>
      <c r="U11" s="11">
        <f t="shared" si="4"/>
        <v>130666.01191352637</v>
      </c>
      <c r="V11" s="11">
        <f t="shared" si="4"/>
        <v>132952.66712201308</v>
      </c>
      <c r="W11" s="11">
        <f t="shared" si="4"/>
        <v>135279.33879664831</v>
      </c>
      <c r="X11" s="11">
        <f t="shared" si="4"/>
        <v>137646.72722558965</v>
      </c>
      <c r="Y11" s="11">
        <f t="shared" si="4"/>
        <v>140055.54495203751</v>
      </c>
      <c r="Z11" s="11">
        <f t="shared" si="4"/>
        <v>142506.51698869819</v>
      </c>
      <c r="AA11" s="11">
        <f t="shared" si="4"/>
        <v>145000.38103600041</v>
      </c>
      <c r="AB11" s="11">
        <f t="shared" si="4"/>
        <v>147537.88770413038</v>
      </c>
      <c r="AC11" s="25"/>
      <c r="AE11" s="24" t="s">
        <v>13</v>
      </c>
      <c r="AF11" s="11">
        <f>D10</f>
        <v>75000</v>
      </c>
      <c r="AG11" s="11">
        <f>AF11*(1+$D$13)</f>
        <v>76312.5</v>
      </c>
      <c r="AH11" s="11">
        <f t="shared" ref="AH11:BS11" si="5">AG11*(1+$D$13)</f>
        <v>77647.96875</v>
      </c>
      <c r="AI11" s="11">
        <f t="shared" si="5"/>
        <v>79006.808203125009</v>
      </c>
      <c r="AJ11" s="11">
        <f t="shared" si="5"/>
        <v>80389.427346679702</v>
      </c>
      <c r="AK11" s="11">
        <f t="shared" si="5"/>
        <v>81796.242325246596</v>
      </c>
      <c r="AL11" s="11">
        <f t="shared" si="5"/>
        <v>83227.676565938411</v>
      </c>
      <c r="AM11" s="11">
        <f t="shared" si="5"/>
        <v>84684.160905842335</v>
      </c>
      <c r="AN11" s="11">
        <f t="shared" si="5"/>
        <v>86166.133721694583</v>
      </c>
      <c r="AO11" s="11">
        <f t="shared" si="5"/>
        <v>87674.041061824246</v>
      </c>
      <c r="AP11" s="11">
        <f t="shared" si="5"/>
        <v>89208.336780406171</v>
      </c>
      <c r="AQ11" s="11">
        <f t="shared" si="5"/>
        <v>90769.482674063285</v>
      </c>
      <c r="AR11" s="11">
        <f t="shared" si="5"/>
        <v>92357.948620859403</v>
      </c>
      <c r="AS11" s="11">
        <f t="shared" si="5"/>
        <v>93974.212721724442</v>
      </c>
      <c r="AT11" s="11">
        <f t="shared" si="5"/>
        <v>95618.761444354619</v>
      </c>
      <c r="AU11" s="11">
        <f t="shared" si="5"/>
        <v>97292.089769630838</v>
      </c>
      <c r="AV11" s="11">
        <f t="shared" si="5"/>
        <v>98994.701340599378</v>
      </c>
      <c r="AW11" s="11">
        <f t="shared" si="5"/>
        <v>100727.10861405988</v>
      </c>
      <c r="AX11" s="11">
        <f t="shared" si="5"/>
        <v>102489.83301480593</v>
      </c>
      <c r="AY11" s="11">
        <f t="shared" si="5"/>
        <v>104283.40509256504</v>
      </c>
      <c r="AZ11" s="11">
        <f t="shared" si="5"/>
        <v>106108.36468168494</v>
      </c>
      <c r="BA11" s="11">
        <f t="shared" si="5"/>
        <v>107965.26106361442</v>
      </c>
      <c r="BB11" s="11">
        <f t="shared" si="5"/>
        <v>109854.65313222769</v>
      </c>
      <c r="BC11" s="11">
        <f t="shared" si="5"/>
        <v>111777.10956204167</v>
      </c>
      <c r="BD11" s="11">
        <f t="shared" si="5"/>
        <v>113733.20897937741</v>
      </c>
      <c r="BE11" s="11">
        <f t="shared" si="5"/>
        <v>115723.54013651652</v>
      </c>
      <c r="BF11" s="11">
        <f t="shared" si="5"/>
        <v>117748.70208890556</v>
      </c>
      <c r="BG11" s="11">
        <f t="shared" si="5"/>
        <v>119809.30437546142</v>
      </c>
      <c r="BH11" s="11">
        <f t="shared" si="5"/>
        <v>121905.967202032</v>
      </c>
      <c r="BI11" s="11">
        <f t="shared" si="5"/>
        <v>124039.32162806757</v>
      </c>
      <c r="BJ11" s="11">
        <f t="shared" si="5"/>
        <v>126210.00975655876</v>
      </c>
      <c r="BK11" s="11">
        <f t="shared" si="5"/>
        <v>128418.68492729856</v>
      </c>
      <c r="BL11" s="11">
        <f t="shared" si="5"/>
        <v>130666.01191352629</v>
      </c>
      <c r="BM11" s="11">
        <f t="shared" si="5"/>
        <v>132952.66712201302</v>
      </c>
      <c r="BN11" s="11">
        <f t="shared" si="5"/>
        <v>135279.33879664826</v>
      </c>
      <c r="BO11" s="11">
        <f t="shared" si="5"/>
        <v>137646.7272255896</v>
      </c>
      <c r="BP11" s="11">
        <f t="shared" si="5"/>
        <v>140055.54495203742</v>
      </c>
      <c r="BQ11" s="11">
        <f t="shared" si="5"/>
        <v>142506.5169886981</v>
      </c>
      <c r="BR11" s="11">
        <f t="shared" si="5"/>
        <v>145000.38103600033</v>
      </c>
      <c r="BS11" s="11">
        <f t="shared" si="5"/>
        <v>147537.88770413035</v>
      </c>
      <c r="BT11" s="25"/>
      <c r="BW11" s="24" t="s">
        <v>13</v>
      </c>
      <c r="BX11" s="11">
        <f t="shared" ref="BX11:CJ11" si="6">$D$10*(1+$D$13)^(BX9-$D$9)</f>
        <v>119809.30437546149</v>
      </c>
      <c r="BY11" s="11">
        <f t="shared" si="6"/>
        <v>121905.96720203207</v>
      </c>
      <c r="BZ11" s="11">
        <f t="shared" si="6"/>
        <v>124039.32162806766</v>
      </c>
      <c r="CA11" s="11">
        <f t="shared" si="6"/>
        <v>126210.00975655885</v>
      </c>
      <c r="CB11" s="11">
        <f t="shared" si="6"/>
        <v>128418.68492729861</v>
      </c>
      <c r="CC11" s="11">
        <f t="shared" si="6"/>
        <v>130666.01191352637</v>
      </c>
      <c r="CD11" s="11">
        <f t="shared" si="6"/>
        <v>132952.66712201308</v>
      </c>
      <c r="CE11" s="11">
        <f t="shared" si="6"/>
        <v>135279.33879664831</v>
      </c>
      <c r="CF11" s="11">
        <f t="shared" si="6"/>
        <v>137646.72722558965</v>
      </c>
      <c r="CG11" s="11">
        <f t="shared" si="6"/>
        <v>140055.54495203751</v>
      </c>
      <c r="CH11" s="11">
        <f t="shared" si="6"/>
        <v>142506.51698869819</v>
      </c>
      <c r="CI11" s="11">
        <f t="shared" si="6"/>
        <v>145000.38103600041</v>
      </c>
      <c r="CJ11" s="11">
        <f t="shared" si="6"/>
        <v>147537.88770413038</v>
      </c>
      <c r="CK11" s="25"/>
      <c r="CN11" s="24" t="s">
        <v>13</v>
      </c>
      <c r="CO11" s="11">
        <f t="shared" ref="CO11:DA11" si="7">$D$10*(1+$D$13)^(CO9-$D$9)</f>
        <v>119809.30437546149</v>
      </c>
      <c r="CP11" s="11">
        <f t="shared" si="7"/>
        <v>121905.96720203207</v>
      </c>
      <c r="CQ11" s="11">
        <f t="shared" si="7"/>
        <v>124039.32162806766</v>
      </c>
      <c r="CR11" s="11">
        <f t="shared" si="7"/>
        <v>126210.00975655885</v>
      </c>
      <c r="CS11" s="11">
        <f t="shared" si="7"/>
        <v>128418.68492729861</v>
      </c>
      <c r="CT11" s="11">
        <f t="shared" si="7"/>
        <v>130666.01191352637</v>
      </c>
      <c r="CU11" s="11">
        <f t="shared" si="7"/>
        <v>132952.66712201308</v>
      </c>
      <c r="CV11" s="11">
        <f t="shared" si="7"/>
        <v>135279.33879664831</v>
      </c>
      <c r="CW11" s="11">
        <f t="shared" si="7"/>
        <v>137646.72722558965</v>
      </c>
      <c r="CX11" s="11">
        <f t="shared" si="7"/>
        <v>140055.54495203751</v>
      </c>
      <c r="CY11" s="11">
        <f t="shared" si="7"/>
        <v>142506.51698869819</v>
      </c>
      <c r="CZ11" s="11">
        <f t="shared" si="7"/>
        <v>145000.38103600041</v>
      </c>
      <c r="DA11" s="11">
        <f t="shared" si="7"/>
        <v>147537.88770413038</v>
      </c>
      <c r="DB11" s="25"/>
    </row>
    <row r="12" spans="1:106" x14ac:dyDescent="0.3">
      <c r="C12" s="7" t="s">
        <v>15</v>
      </c>
      <c r="O12" s="24" t="s">
        <v>16</v>
      </c>
      <c r="S12" s="11">
        <f>AVERAGE(P11:R11)</f>
        <v>121918.19773518707</v>
      </c>
      <c r="T12" s="11">
        <f t="shared" ref="T12:AC12" si="8">AVERAGE(Q11:S11)</f>
        <v>124051.76619555287</v>
      </c>
      <c r="U12" s="11">
        <f t="shared" si="8"/>
        <v>126222.67210397504</v>
      </c>
      <c r="V12" s="11">
        <f t="shared" si="8"/>
        <v>128431.56886579462</v>
      </c>
      <c r="W12" s="11">
        <f t="shared" si="8"/>
        <v>130679.12132094603</v>
      </c>
      <c r="X12" s="11">
        <f t="shared" si="8"/>
        <v>132966.00594406258</v>
      </c>
      <c r="Y12" s="11">
        <f t="shared" si="8"/>
        <v>135292.91104808368</v>
      </c>
      <c r="Z12" s="11">
        <f t="shared" si="8"/>
        <v>137660.53699142518</v>
      </c>
      <c r="AA12" s="11">
        <f t="shared" si="8"/>
        <v>140069.59638877513</v>
      </c>
      <c r="AB12" s="11">
        <f t="shared" si="8"/>
        <v>142520.81432557871</v>
      </c>
      <c r="AC12" s="26">
        <f t="shared" si="8"/>
        <v>145014.92857627632</v>
      </c>
      <c r="AE12" s="24" t="s">
        <v>16</v>
      </c>
      <c r="AF12" s="11">
        <v>75000</v>
      </c>
      <c r="AG12" s="11">
        <f>AF11</f>
        <v>75000</v>
      </c>
      <c r="AH12" s="11">
        <f>AVERAGE(AF11:AG11)</f>
        <v>75656.25</v>
      </c>
      <c r="AI12" s="11">
        <f t="shared" ref="AI12:BT12" si="9">AVERAGE(AF11:AH11)</f>
        <v>76320.15625</v>
      </c>
      <c r="AJ12" s="11">
        <f t="shared" si="9"/>
        <v>77655.758984375003</v>
      </c>
      <c r="AK12" s="11">
        <f t="shared" si="9"/>
        <v>79014.73476660157</v>
      </c>
      <c r="AL12" s="11">
        <f t="shared" si="9"/>
        <v>80397.492625017097</v>
      </c>
      <c r="AM12" s="11">
        <f t="shared" si="9"/>
        <v>81804.448745954898</v>
      </c>
      <c r="AN12" s="11">
        <f t="shared" si="9"/>
        <v>83236.026599009114</v>
      </c>
      <c r="AO12" s="11">
        <f t="shared" si="9"/>
        <v>84692.657064491781</v>
      </c>
      <c r="AP12" s="11">
        <f t="shared" si="9"/>
        <v>86174.778563120388</v>
      </c>
      <c r="AQ12" s="11">
        <f t="shared" si="9"/>
        <v>87682.837187975005</v>
      </c>
      <c r="AR12" s="11">
        <f t="shared" si="9"/>
        <v>89217.286838764572</v>
      </c>
      <c r="AS12" s="11">
        <f t="shared" si="9"/>
        <v>90778.589358442943</v>
      </c>
      <c r="AT12" s="11">
        <f t="shared" si="9"/>
        <v>92367.214672215705</v>
      </c>
      <c r="AU12" s="11">
        <f t="shared" si="9"/>
        <v>93983.640928979483</v>
      </c>
      <c r="AV12" s="11">
        <f t="shared" si="9"/>
        <v>95628.354645236628</v>
      </c>
      <c r="AW12" s="11">
        <f t="shared" si="9"/>
        <v>97301.850851528288</v>
      </c>
      <c r="AX12" s="11">
        <f t="shared" si="9"/>
        <v>99004.633241430027</v>
      </c>
      <c r="AY12" s="11">
        <f t="shared" si="9"/>
        <v>100737.21432315506</v>
      </c>
      <c r="AZ12" s="11">
        <f t="shared" si="9"/>
        <v>102500.11557381028</v>
      </c>
      <c r="BA12" s="11">
        <f t="shared" si="9"/>
        <v>104293.86759635196</v>
      </c>
      <c r="BB12" s="11">
        <f t="shared" si="9"/>
        <v>106119.01027928812</v>
      </c>
      <c r="BC12" s="11">
        <f t="shared" si="9"/>
        <v>107976.09295917569</v>
      </c>
      <c r="BD12" s="11">
        <f t="shared" si="9"/>
        <v>109865.67458596127</v>
      </c>
      <c r="BE12" s="11">
        <f t="shared" si="9"/>
        <v>111788.32389121559</v>
      </c>
      <c r="BF12" s="11">
        <f t="shared" si="9"/>
        <v>113744.61955931188</v>
      </c>
      <c r="BG12" s="11">
        <f t="shared" si="9"/>
        <v>115735.15040159982</v>
      </c>
      <c r="BH12" s="11">
        <f t="shared" si="9"/>
        <v>117760.51553362783</v>
      </c>
      <c r="BI12" s="11">
        <f t="shared" si="9"/>
        <v>119821.32455546632</v>
      </c>
      <c r="BJ12" s="11">
        <f t="shared" si="9"/>
        <v>121918.197735187</v>
      </c>
      <c r="BK12" s="11">
        <f t="shared" si="9"/>
        <v>124051.76619555277</v>
      </c>
      <c r="BL12" s="11">
        <f t="shared" si="9"/>
        <v>126222.67210397497</v>
      </c>
      <c r="BM12" s="11">
        <f t="shared" si="9"/>
        <v>128431.56886579453</v>
      </c>
      <c r="BN12" s="11">
        <f t="shared" si="9"/>
        <v>130679.12132094595</v>
      </c>
      <c r="BO12" s="11">
        <f t="shared" si="9"/>
        <v>132966.00594406252</v>
      </c>
      <c r="BP12" s="11">
        <f t="shared" si="9"/>
        <v>135292.9110480836</v>
      </c>
      <c r="BQ12" s="11">
        <f t="shared" si="9"/>
        <v>137660.53699142509</v>
      </c>
      <c r="BR12" s="11">
        <f t="shared" si="9"/>
        <v>140069.59638877504</v>
      </c>
      <c r="BS12" s="11">
        <f t="shared" si="9"/>
        <v>142520.81432557863</v>
      </c>
      <c r="BT12" s="26">
        <f t="shared" si="9"/>
        <v>145014.92857627626</v>
      </c>
      <c r="BW12" s="24" t="s">
        <v>16</v>
      </c>
      <c r="CA12" s="11">
        <f t="shared" ref="CA12:CK12" si="10">AVERAGE(BX11:BZ11)</f>
        <v>121918.19773518707</v>
      </c>
      <c r="CB12" s="11">
        <f t="shared" si="10"/>
        <v>124051.76619555287</v>
      </c>
      <c r="CC12" s="11">
        <f t="shared" si="10"/>
        <v>126222.67210397504</v>
      </c>
      <c r="CD12" s="11">
        <f t="shared" si="10"/>
        <v>128431.56886579462</v>
      </c>
      <c r="CE12" s="11">
        <f t="shared" si="10"/>
        <v>130679.12132094603</v>
      </c>
      <c r="CF12" s="11">
        <f t="shared" si="10"/>
        <v>132966.00594406258</v>
      </c>
      <c r="CG12" s="11">
        <f t="shared" si="10"/>
        <v>135292.91104808368</v>
      </c>
      <c r="CH12" s="11">
        <f t="shared" si="10"/>
        <v>137660.53699142518</v>
      </c>
      <c r="CI12" s="11">
        <f t="shared" si="10"/>
        <v>140069.59638877513</v>
      </c>
      <c r="CJ12" s="11">
        <f t="shared" si="10"/>
        <v>142520.81432557871</v>
      </c>
      <c r="CK12" s="26">
        <f t="shared" si="10"/>
        <v>145014.92857627632</v>
      </c>
      <c r="CN12" s="24" t="s">
        <v>16</v>
      </c>
      <c r="CR12" s="11">
        <f t="shared" ref="CR12:DB12" si="11">AVERAGE(CO11:CQ11)</f>
        <v>121918.19773518707</v>
      </c>
      <c r="CS12" s="11">
        <f t="shared" si="11"/>
        <v>124051.76619555287</v>
      </c>
      <c r="CT12" s="11">
        <f t="shared" si="11"/>
        <v>126222.67210397504</v>
      </c>
      <c r="CU12" s="11">
        <f t="shared" si="11"/>
        <v>128431.56886579462</v>
      </c>
      <c r="CV12" s="11">
        <f t="shared" si="11"/>
        <v>130679.12132094603</v>
      </c>
      <c r="CW12" s="11">
        <f t="shared" si="11"/>
        <v>132966.00594406258</v>
      </c>
      <c r="CX12" s="11">
        <f t="shared" si="11"/>
        <v>135292.91104808368</v>
      </c>
      <c r="CY12" s="11">
        <f t="shared" si="11"/>
        <v>137660.53699142518</v>
      </c>
      <c r="CZ12" s="11">
        <f t="shared" si="11"/>
        <v>140069.59638877513</v>
      </c>
      <c r="DA12" s="11">
        <f t="shared" si="11"/>
        <v>142520.81432557871</v>
      </c>
      <c r="DB12" s="26">
        <f t="shared" si="11"/>
        <v>145014.92857627632</v>
      </c>
    </row>
    <row r="13" spans="1:106" x14ac:dyDescent="0.3">
      <c r="C13" t="s">
        <v>17</v>
      </c>
      <c r="D13" s="27">
        <v>1.7500000000000002E-2</v>
      </c>
      <c r="O13" s="24"/>
      <c r="AC13" s="25"/>
      <c r="AE13" s="24"/>
      <c r="BT13" s="25"/>
      <c r="BW13" s="24"/>
      <c r="CK13" s="25"/>
      <c r="CN13" s="24"/>
      <c r="DB13" s="25"/>
    </row>
    <row r="14" spans="1:106" x14ac:dyDescent="0.3">
      <c r="C14" t="s">
        <v>17</v>
      </c>
      <c r="D14" s="27">
        <v>2.5000000000000001E-2</v>
      </c>
      <c r="O14" s="24" t="s">
        <v>18</v>
      </c>
      <c r="S14" s="11">
        <f>0.02*S10*S12</f>
        <v>73150.918641112235</v>
      </c>
      <c r="T14" s="11">
        <f t="shared" ref="T14:AC14" si="12">0.02*T10*T12</f>
        <v>76912.095041242777</v>
      </c>
      <c r="U14" s="11">
        <f t="shared" si="12"/>
        <v>80782.510146544024</v>
      </c>
      <c r="V14" s="11">
        <f t="shared" si="12"/>
        <v>84764.835451424457</v>
      </c>
      <c r="W14" s="11">
        <f t="shared" si="12"/>
        <v>88861.802498243298</v>
      </c>
      <c r="X14" s="11">
        <f t="shared" si="12"/>
        <v>93076.204160843816</v>
      </c>
      <c r="Y14" s="11">
        <f t="shared" si="12"/>
        <v>97410.895954620253</v>
      </c>
      <c r="Z14" s="11">
        <f t="shared" si="12"/>
        <v>101868.79737365463</v>
      </c>
      <c r="AA14" s="11">
        <f t="shared" si="12"/>
        <v>106452.8932554691</v>
      </c>
      <c r="AB14" s="11">
        <f t="shared" si="12"/>
        <v>111166.2351739514</v>
      </c>
      <c r="AC14" s="26">
        <f t="shared" si="12"/>
        <v>116011.94286102106</v>
      </c>
      <c r="AE14" s="24" t="s">
        <v>18</v>
      </c>
      <c r="AF14" s="28">
        <f>AF10*AF12*0.02</f>
        <v>0</v>
      </c>
      <c r="AG14" s="28">
        <f t="shared" ref="AG14:BT14" si="13">AG10*AG12*0.02</f>
        <v>1500</v>
      </c>
      <c r="AH14" s="28">
        <f t="shared" si="13"/>
        <v>3026.25</v>
      </c>
      <c r="AI14" s="28">
        <f t="shared" si="13"/>
        <v>4579.2093750000004</v>
      </c>
      <c r="AJ14" s="28">
        <f t="shared" si="13"/>
        <v>6212.4607187500005</v>
      </c>
      <c r="AK14" s="28">
        <f t="shared" si="13"/>
        <v>7901.4734766601578</v>
      </c>
      <c r="AL14" s="28">
        <f t="shared" si="13"/>
        <v>9647.6991150020513</v>
      </c>
      <c r="AM14" s="28">
        <f t="shared" si="13"/>
        <v>11452.622824433685</v>
      </c>
      <c r="AN14" s="28">
        <f t="shared" si="13"/>
        <v>13317.764255841459</v>
      </c>
      <c r="AO14" s="28">
        <f t="shared" si="13"/>
        <v>15244.67827160852</v>
      </c>
      <c r="AP14" s="28">
        <f t="shared" si="13"/>
        <v>17234.95571262408</v>
      </c>
      <c r="AQ14" s="28">
        <f t="shared" si="13"/>
        <v>19290.224181354504</v>
      </c>
      <c r="AR14" s="28">
        <f t="shared" si="13"/>
        <v>21412.1488413035</v>
      </c>
      <c r="AS14" s="28">
        <f t="shared" si="13"/>
        <v>23602.433233195166</v>
      </c>
      <c r="AT14" s="28">
        <f t="shared" si="13"/>
        <v>25862.820108220396</v>
      </c>
      <c r="AU14" s="28">
        <f t="shared" si="13"/>
        <v>28195.092278693846</v>
      </c>
      <c r="AV14" s="28">
        <f t="shared" si="13"/>
        <v>30601.073486475721</v>
      </c>
      <c r="AW14" s="28">
        <f t="shared" si="13"/>
        <v>33082.629289519617</v>
      </c>
      <c r="AX14" s="28">
        <f t="shared" si="13"/>
        <v>35641.667966914814</v>
      </c>
      <c r="AY14" s="28">
        <f t="shared" si="13"/>
        <v>38280.141442798922</v>
      </c>
      <c r="AZ14" s="28">
        <f t="shared" si="13"/>
        <v>41000.046229524116</v>
      </c>
      <c r="BA14" s="28">
        <f t="shared" si="13"/>
        <v>43803.424390467822</v>
      </c>
      <c r="BB14" s="28">
        <f t="shared" si="13"/>
        <v>46692.364522886768</v>
      </c>
      <c r="BC14" s="28">
        <f t="shared" si="13"/>
        <v>49669.002761220821</v>
      </c>
      <c r="BD14" s="28">
        <f t="shared" si="13"/>
        <v>52735.523801261414</v>
      </c>
      <c r="BE14" s="28">
        <f t="shared" si="13"/>
        <v>55894.161945607797</v>
      </c>
      <c r="BF14" s="28">
        <f t="shared" si="13"/>
        <v>59147.202170842182</v>
      </c>
      <c r="BG14" s="28">
        <f t="shared" si="13"/>
        <v>62496.981216863904</v>
      </c>
      <c r="BH14" s="28">
        <f t="shared" si="13"/>
        <v>65945.888698831579</v>
      </c>
      <c r="BI14" s="28">
        <f t="shared" si="13"/>
        <v>69496.368242170473</v>
      </c>
      <c r="BJ14" s="28">
        <f t="shared" si="13"/>
        <v>73150.918641112206</v>
      </c>
      <c r="BK14" s="28">
        <f t="shared" si="13"/>
        <v>76912.095041242719</v>
      </c>
      <c r="BL14" s="28">
        <f t="shared" si="13"/>
        <v>80782.51014654398</v>
      </c>
      <c r="BM14" s="28">
        <f t="shared" si="13"/>
        <v>84764.835451424384</v>
      </c>
      <c r="BN14" s="28">
        <f t="shared" si="13"/>
        <v>88861.802498243254</v>
      </c>
      <c r="BO14" s="28">
        <f t="shared" si="13"/>
        <v>93076.204160843772</v>
      </c>
      <c r="BP14" s="28">
        <f t="shared" si="13"/>
        <v>97410.895954620195</v>
      </c>
      <c r="BQ14" s="28">
        <f t="shared" si="13"/>
        <v>101868.79737365457</v>
      </c>
      <c r="BR14" s="28">
        <f t="shared" si="13"/>
        <v>106452.89325546904</v>
      </c>
      <c r="BS14" s="28">
        <f t="shared" si="13"/>
        <v>111166.23517395134</v>
      </c>
      <c r="BT14" s="29">
        <f t="shared" si="13"/>
        <v>116011.94286102102</v>
      </c>
      <c r="BW14" s="24" t="s">
        <v>18</v>
      </c>
      <c r="CA14" s="11">
        <f>0.02*CA10*CA12</f>
        <v>73150.918641112235</v>
      </c>
      <c r="CB14" s="11">
        <f t="shared" ref="CB14:CK14" si="14">0.02*CB10*CB12</f>
        <v>76912.095041242777</v>
      </c>
      <c r="CC14" s="11">
        <f t="shared" si="14"/>
        <v>80782.510146544024</v>
      </c>
      <c r="CD14" s="11">
        <f t="shared" si="14"/>
        <v>84764.835451424457</v>
      </c>
      <c r="CE14" s="11">
        <f t="shared" si="14"/>
        <v>88861.802498243298</v>
      </c>
      <c r="CF14" s="11">
        <f t="shared" si="14"/>
        <v>93076.204160843816</v>
      </c>
      <c r="CG14" s="11">
        <f t="shared" si="14"/>
        <v>97410.895954620253</v>
      </c>
      <c r="CH14" s="11">
        <f t="shared" si="14"/>
        <v>101868.79737365463</v>
      </c>
      <c r="CI14" s="11">
        <f t="shared" si="14"/>
        <v>106452.8932554691</v>
      </c>
      <c r="CJ14" s="11">
        <f t="shared" si="14"/>
        <v>111166.2351739514</v>
      </c>
      <c r="CK14" s="26">
        <f t="shared" si="14"/>
        <v>116011.94286102106</v>
      </c>
      <c r="CN14" s="24" t="s">
        <v>18</v>
      </c>
      <c r="CR14" s="11">
        <f>0.02*CR10*CR12</f>
        <v>73150.918641112235</v>
      </c>
      <c r="CS14" s="11">
        <f t="shared" ref="CS14:DB14" si="15">0.02*CS10*CS12</f>
        <v>76912.095041242777</v>
      </c>
      <c r="CT14" s="11">
        <f t="shared" si="15"/>
        <v>80782.510146544024</v>
      </c>
      <c r="CU14" s="11">
        <f t="shared" si="15"/>
        <v>84764.835451424457</v>
      </c>
      <c r="CV14" s="11">
        <f t="shared" si="15"/>
        <v>88861.802498243298</v>
      </c>
      <c r="CW14" s="11">
        <f t="shared" si="15"/>
        <v>93076.204160843816</v>
      </c>
      <c r="CX14" s="11">
        <f t="shared" si="15"/>
        <v>97410.895954620253</v>
      </c>
      <c r="CY14" s="11">
        <f t="shared" si="15"/>
        <v>101868.79737365463</v>
      </c>
      <c r="CZ14" s="11">
        <f t="shared" si="15"/>
        <v>106452.8932554691</v>
      </c>
      <c r="DA14" s="11">
        <f t="shared" si="15"/>
        <v>111166.2351739514</v>
      </c>
      <c r="DB14" s="26">
        <f t="shared" si="15"/>
        <v>116011.94286102106</v>
      </c>
    </row>
    <row r="15" spans="1:106" x14ac:dyDescent="0.3">
      <c r="O15" s="24" t="s">
        <v>19</v>
      </c>
      <c r="S15" s="11">
        <f>S14*MIN(1-0.05*(60-S9),1)</f>
        <v>54863.18898083418</v>
      </c>
      <c r="T15" s="11">
        <f t="shared" ref="T15:AC15" si="16">T14*MIN(1-0.05*(60-T9),1)</f>
        <v>61529.676032994226</v>
      </c>
      <c r="U15" s="11">
        <f t="shared" si="16"/>
        <v>68665.133624562412</v>
      </c>
      <c r="V15" s="11">
        <f t="shared" si="16"/>
        <v>76288.351906282012</v>
      </c>
      <c r="W15" s="11">
        <f t="shared" si="16"/>
        <v>84418.712373331131</v>
      </c>
      <c r="X15" s="11">
        <f t="shared" si="16"/>
        <v>93076.204160843816</v>
      </c>
      <c r="Y15" s="11">
        <f t="shared" si="16"/>
        <v>97410.895954620253</v>
      </c>
      <c r="Z15" s="11">
        <f t="shared" si="16"/>
        <v>101868.79737365463</v>
      </c>
      <c r="AA15" s="11">
        <f t="shared" si="16"/>
        <v>106452.8932554691</v>
      </c>
      <c r="AB15" s="11">
        <f t="shared" si="16"/>
        <v>111166.2351739514</v>
      </c>
      <c r="AC15" s="26">
        <f t="shared" si="16"/>
        <v>116011.94286102106</v>
      </c>
      <c r="AE15" s="24" t="s">
        <v>20</v>
      </c>
      <c r="AG15" s="11">
        <f t="shared" ref="AG15:BT15" si="17">AG14-AF14</f>
        <v>1500</v>
      </c>
      <c r="AH15" s="11">
        <f t="shared" si="17"/>
        <v>1526.25</v>
      </c>
      <c r="AI15" s="11">
        <f t="shared" si="17"/>
        <v>1552.9593750000004</v>
      </c>
      <c r="AJ15" s="11">
        <f t="shared" si="17"/>
        <v>1633.2513437500002</v>
      </c>
      <c r="AK15" s="11">
        <f t="shared" si="17"/>
        <v>1689.0127579101572</v>
      </c>
      <c r="AL15" s="11">
        <f t="shared" si="17"/>
        <v>1746.2256383418935</v>
      </c>
      <c r="AM15" s="11">
        <f t="shared" si="17"/>
        <v>1804.9237094316341</v>
      </c>
      <c r="AN15" s="11">
        <f t="shared" si="17"/>
        <v>1865.1414314077738</v>
      </c>
      <c r="AO15" s="11">
        <f t="shared" si="17"/>
        <v>1926.9140157670608</v>
      </c>
      <c r="AP15" s="11">
        <f t="shared" si="17"/>
        <v>1990.2774410155598</v>
      </c>
      <c r="AQ15" s="11">
        <f t="shared" si="17"/>
        <v>2055.2684687304245</v>
      </c>
      <c r="AR15" s="11">
        <f t="shared" si="17"/>
        <v>2121.9246599489961</v>
      </c>
      <c r="AS15" s="11">
        <f t="shared" si="17"/>
        <v>2190.284391891666</v>
      </c>
      <c r="AT15" s="11">
        <f t="shared" si="17"/>
        <v>2260.3868750252295</v>
      </c>
      <c r="AU15" s="11">
        <f t="shared" si="17"/>
        <v>2332.2721704734504</v>
      </c>
      <c r="AV15" s="11">
        <f t="shared" si="17"/>
        <v>2405.9812077818751</v>
      </c>
      <c r="AW15" s="11">
        <f t="shared" si="17"/>
        <v>2481.5558030438951</v>
      </c>
      <c r="AX15" s="11">
        <f t="shared" si="17"/>
        <v>2559.0386773951977</v>
      </c>
      <c r="AY15" s="11">
        <f t="shared" si="17"/>
        <v>2638.4734758841078</v>
      </c>
      <c r="AZ15" s="11">
        <f t="shared" si="17"/>
        <v>2719.9047867251938</v>
      </c>
      <c r="BA15" s="11">
        <f t="shared" si="17"/>
        <v>2803.3781609437065</v>
      </c>
      <c r="BB15" s="11">
        <f t="shared" si="17"/>
        <v>2888.9401324189457</v>
      </c>
      <c r="BC15" s="11">
        <f t="shared" si="17"/>
        <v>2976.6382383340533</v>
      </c>
      <c r="BD15" s="11">
        <f t="shared" si="17"/>
        <v>3066.5210400405922</v>
      </c>
      <c r="BE15" s="11">
        <f t="shared" si="17"/>
        <v>3158.6381443463833</v>
      </c>
      <c r="BF15" s="11">
        <f t="shared" si="17"/>
        <v>3253.0402252343847</v>
      </c>
      <c r="BG15" s="11">
        <f t="shared" si="17"/>
        <v>3349.779046021722</v>
      </c>
      <c r="BH15" s="11">
        <f t="shared" si="17"/>
        <v>3448.9074819676753</v>
      </c>
      <c r="BI15" s="11">
        <f t="shared" si="17"/>
        <v>3550.4795433388936</v>
      </c>
      <c r="BJ15" s="11">
        <f t="shared" si="17"/>
        <v>3654.5503989417339</v>
      </c>
      <c r="BK15" s="11">
        <f t="shared" si="17"/>
        <v>3761.1764001305128</v>
      </c>
      <c r="BL15" s="11">
        <f t="shared" si="17"/>
        <v>3870.4151053012611</v>
      </c>
      <c r="BM15" s="11">
        <f t="shared" si="17"/>
        <v>3982.3253048804036</v>
      </c>
      <c r="BN15" s="11">
        <f t="shared" si="17"/>
        <v>4096.9670468188706</v>
      </c>
      <c r="BO15" s="11">
        <f t="shared" si="17"/>
        <v>4214.4016626005177</v>
      </c>
      <c r="BP15" s="11">
        <f t="shared" si="17"/>
        <v>4334.6917937764229</v>
      </c>
      <c r="BQ15" s="11">
        <f t="shared" si="17"/>
        <v>4457.9014190343732</v>
      </c>
      <c r="BR15" s="11">
        <f t="shared" si="17"/>
        <v>4584.0958818144718</v>
      </c>
      <c r="BS15" s="11">
        <f t="shared" si="17"/>
        <v>4713.3419184822997</v>
      </c>
      <c r="BT15" s="26">
        <f t="shared" si="17"/>
        <v>4845.7076870696765</v>
      </c>
      <c r="BW15" s="24" t="s">
        <v>19</v>
      </c>
      <c r="CA15" s="11">
        <f t="shared" ref="CA15:CK15" si="18">CA14*MIN(1-0.05*(60-CA9),1)</f>
        <v>54863.18898083418</v>
      </c>
      <c r="CB15" s="11">
        <f t="shared" si="18"/>
        <v>61529.676032994226</v>
      </c>
      <c r="CC15" s="11">
        <f t="shared" si="18"/>
        <v>68665.133624562412</v>
      </c>
      <c r="CD15" s="11">
        <f t="shared" si="18"/>
        <v>76288.351906282012</v>
      </c>
      <c r="CE15" s="11">
        <f t="shared" si="18"/>
        <v>84418.712373331131</v>
      </c>
      <c r="CF15" s="11">
        <f t="shared" si="18"/>
        <v>93076.204160843816</v>
      </c>
      <c r="CG15" s="11">
        <f t="shared" si="18"/>
        <v>97410.895954620253</v>
      </c>
      <c r="CH15" s="11">
        <f t="shared" si="18"/>
        <v>101868.79737365463</v>
      </c>
      <c r="CI15" s="11">
        <f t="shared" si="18"/>
        <v>106452.8932554691</v>
      </c>
      <c r="CJ15" s="11">
        <f t="shared" si="18"/>
        <v>111166.2351739514</v>
      </c>
      <c r="CK15" s="26">
        <f t="shared" si="18"/>
        <v>116011.94286102106</v>
      </c>
      <c r="CN15" s="24" t="s">
        <v>21</v>
      </c>
      <c r="CR15" s="17">
        <v>7.4063540000000003</v>
      </c>
      <c r="CS15" s="17">
        <v>7.7900710000000002</v>
      </c>
      <c r="CT15" s="17">
        <v>8.1969519999999996</v>
      </c>
      <c r="CU15" s="17">
        <v>8.6280249999999992</v>
      </c>
      <c r="CV15" s="17">
        <v>9.0853190000000001</v>
      </c>
      <c r="CW15" s="17">
        <v>9.5709780000000002</v>
      </c>
      <c r="CX15" s="17">
        <v>10.087759</v>
      </c>
      <c r="CY15" s="17">
        <v>10.638211</v>
      </c>
      <c r="CZ15" s="17">
        <v>11.227606</v>
      </c>
      <c r="DA15" s="17">
        <v>11.859074</v>
      </c>
      <c r="DB15" s="30">
        <v>12.534252</v>
      </c>
    </row>
    <row r="16" spans="1:106" x14ac:dyDescent="0.3">
      <c r="D16" s="17"/>
      <c r="O16" s="24"/>
      <c r="AC16" s="25"/>
      <c r="AE16" s="24" t="s">
        <v>22</v>
      </c>
      <c r="AF16" s="17">
        <v>0.669659</v>
      </c>
      <c r="AG16" s="17">
        <v>0.71672800000000003</v>
      </c>
      <c r="AH16" s="17">
        <v>0.76711399999999996</v>
      </c>
      <c r="AI16" s="17">
        <v>0.82105799999999995</v>
      </c>
      <c r="AJ16" s="17">
        <v>0.87879600000000002</v>
      </c>
      <c r="AK16" s="17">
        <v>0.94061300000000003</v>
      </c>
      <c r="AL16" s="17">
        <v>1.0067980000000001</v>
      </c>
      <c r="AM16" s="17">
        <v>1.0776509999999999</v>
      </c>
      <c r="AN16" s="17">
        <v>1.153513</v>
      </c>
      <c r="AO16" s="17">
        <v>1.234753</v>
      </c>
      <c r="AP16" s="17">
        <v>1.3217410000000001</v>
      </c>
      <c r="AQ16" s="17">
        <v>1.4148860000000001</v>
      </c>
      <c r="AR16" s="17">
        <v>1.5146390000000001</v>
      </c>
      <c r="AS16" s="17">
        <v>1.621459</v>
      </c>
      <c r="AT16" s="17">
        <v>1.735846</v>
      </c>
      <c r="AU16" s="17">
        <v>1.8583590000000001</v>
      </c>
      <c r="AV16" s="17">
        <v>1.9895579999999999</v>
      </c>
      <c r="AW16" s="17">
        <v>2.1300409999999999</v>
      </c>
      <c r="AX16" s="17">
        <v>2.2804899999999999</v>
      </c>
      <c r="AY16" s="17">
        <v>2.4416129999999998</v>
      </c>
      <c r="AZ16" s="17">
        <v>2.6141730000000001</v>
      </c>
      <c r="BA16" s="17">
        <v>2.799013</v>
      </c>
      <c r="BB16" s="17">
        <v>2.9970409999999998</v>
      </c>
      <c r="BC16" s="17">
        <v>3.209209</v>
      </c>
      <c r="BD16" s="17">
        <v>3.436569</v>
      </c>
      <c r="BE16" s="17">
        <v>3.6802199999999998</v>
      </c>
      <c r="BF16" s="17">
        <v>3.9414609999999999</v>
      </c>
      <c r="BG16" s="17">
        <v>4.2216699999999996</v>
      </c>
      <c r="BH16" s="17">
        <v>4.5223420000000001</v>
      </c>
      <c r="BI16" s="17">
        <v>4.845059</v>
      </c>
      <c r="BJ16" s="17">
        <v>5.1916890000000002</v>
      </c>
      <c r="BK16" s="17">
        <v>5.5646789999999999</v>
      </c>
      <c r="BL16" s="17">
        <v>5.9668559999999999</v>
      </c>
      <c r="BM16" s="17">
        <v>6.4002809999999997</v>
      </c>
      <c r="BN16" s="17">
        <v>6.8678739999999996</v>
      </c>
      <c r="BO16" s="17">
        <v>7.372808</v>
      </c>
      <c r="BP16" s="17">
        <v>7.9189170000000004</v>
      </c>
      <c r="BQ16" s="17">
        <v>8.5100899999999999</v>
      </c>
      <c r="BR16" s="17">
        <v>9.1526580000000006</v>
      </c>
      <c r="BS16" s="17">
        <v>9.8515669999999993</v>
      </c>
      <c r="BT16" s="30">
        <v>10.610783</v>
      </c>
      <c r="BW16" s="24"/>
      <c r="CK16" s="25"/>
      <c r="CN16" s="24" t="s">
        <v>23</v>
      </c>
      <c r="CR16" s="11">
        <f>CR14*CR15</f>
        <v>541781.59888127621</v>
      </c>
      <c r="CS16" s="11">
        <f t="shared" ref="CS16:DB16" si="19">CS14*CS15</f>
        <v>599150.68113002914</v>
      </c>
      <c r="CT16" s="11">
        <f t="shared" si="19"/>
        <v>662170.35811073426</v>
      </c>
      <c r="CU16" s="11">
        <f t="shared" si="19"/>
        <v>731353.11939577642</v>
      </c>
      <c r="CV16" s="11">
        <f t="shared" si="19"/>
        <v>807337.8226115373</v>
      </c>
      <c r="CW16" s="11">
        <f t="shared" si="19"/>
        <v>890830.30234694469</v>
      </c>
      <c r="CX16" s="11">
        <f t="shared" si="19"/>
        <v>982657.64236428402</v>
      </c>
      <c r="CY16" s="11">
        <f t="shared" si="19"/>
        <v>1083701.7607771838</v>
      </c>
      <c r="CZ16" s="11">
        <f t="shared" si="19"/>
        <v>1195211.1430324644</v>
      </c>
      <c r="DA16" s="11">
        <f t="shared" si="19"/>
        <v>1318328.6092292925</v>
      </c>
      <c r="DB16" s="26">
        <f t="shared" si="19"/>
        <v>1454122.9268296389</v>
      </c>
    </row>
    <row r="17" spans="3:106" x14ac:dyDescent="0.3">
      <c r="C17" s="17"/>
      <c r="D17" s="17"/>
      <c r="E17" s="17"/>
      <c r="F17" s="17"/>
      <c r="G17" s="17"/>
      <c r="H17" s="17"/>
      <c r="O17" s="24" t="s">
        <v>24</v>
      </c>
      <c r="S17" s="31">
        <f>S15/R11</f>
        <v>0.44230481318933401</v>
      </c>
      <c r="T17" s="31">
        <f t="shared" ref="T17:AC17" si="20">T15/S11</f>
        <v>0.48751819409313268</v>
      </c>
      <c r="U17" s="31">
        <f t="shared" si="20"/>
        <v>0.53469737416666163</v>
      </c>
      <c r="V17" s="31">
        <f t="shared" si="20"/>
        <v>0.58384235340992108</v>
      </c>
      <c r="W17" s="31">
        <f t="shared" si="20"/>
        <v>0.63495313182291069</v>
      </c>
      <c r="X17" s="31">
        <f t="shared" si="20"/>
        <v>0.6880297094056308</v>
      </c>
      <c r="Y17" s="31">
        <f t="shared" si="20"/>
        <v>0.70768770110293455</v>
      </c>
      <c r="Z17" s="31">
        <f t="shared" si="20"/>
        <v>0.7273456928002382</v>
      </c>
      <c r="AA17" s="31">
        <f t="shared" si="20"/>
        <v>0.74700368449754195</v>
      </c>
      <c r="AB17" s="31">
        <f t="shared" si="20"/>
        <v>0.76666167619484571</v>
      </c>
      <c r="AC17" s="32">
        <f t="shared" si="20"/>
        <v>0.78631966789214958</v>
      </c>
      <c r="AE17" s="24" t="s">
        <v>25</v>
      </c>
      <c r="AF17" s="28">
        <f t="shared" ref="AF17:BT17" si="21">AF15*AF16</f>
        <v>0</v>
      </c>
      <c r="AG17" s="28">
        <f t="shared" si="21"/>
        <v>1075.0920000000001</v>
      </c>
      <c r="AH17" s="28">
        <f t="shared" si="21"/>
        <v>1170.8077424999999</v>
      </c>
      <c r="AI17" s="28">
        <f t="shared" si="21"/>
        <v>1275.0697185187503</v>
      </c>
      <c r="AJ17" s="28">
        <f t="shared" si="21"/>
        <v>1435.2947478821252</v>
      </c>
      <c r="AK17" s="28">
        <f t="shared" si="21"/>
        <v>1588.7073572561467</v>
      </c>
      <c r="AL17" s="28">
        <f t="shared" si="21"/>
        <v>1758.0964802313417</v>
      </c>
      <c r="AM17" s="28">
        <f t="shared" si="21"/>
        <v>1945.0778403927097</v>
      </c>
      <c r="AN17" s="28">
        <f t="shared" si="21"/>
        <v>2151.4648879674755</v>
      </c>
      <c r="AO17" s="28">
        <f t="shared" si="21"/>
        <v>2379.2628617104256</v>
      </c>
      <c r="AP17" s="28">
        <f t="shared" si="21"/>
        <v>2630.6312951653472</v>
      </c>
      <c r="AQ17" s="28">
        <f t="shared" si="21"/>
        <v>2907.9705826481154</v>
      </c>
      <c r="AR17" s="28">
        <f t="shared" si="21"/>
        <v>3213.9498450204878</v>
      </c>
      <c r="AS17" s="28">
        <f t="shared" si="21"/>
        <v>3551.4563397922689</v>
      </c>
      <c r="AT17" s="28">
        <f t="shared" si="21"/>
        <v>3923.6835154650444</v>
      </c>
      <c r="AU17" s="28">
        <f t="shared" si="21"/>
        <v>4334.1989784488715</v>
      </c>
      <c r="AV17" s="28">
        <f t="shared" si="21"/>
        <v>4786.8391597920918</v>
      </c>
      <c r="AW17" s="28">
        <f t="shared" si="21"/>
        <v>5285.8156042714209</v>
      </c>
      <c r="AX17" s="28">
        <f t="shared" si="21"/>
        <v>5835.8621134129744</v>
      </c>
      <c r="AY17" s="28">
        <f t="shared" si="21"/>
        <v>6442.1311388738231</v>
      </c>
      <c r="AZ17" s="28">
        <f t="shared" si="21"/>
        <v>7110.3016560277601</v>
      </c>
      <c r="BA17" s="28">
        <f t="shared" si="21"/>
        <v>7846.6919163975263</v>
      </c>
      <c r="BB17" s="28">
        <f t="shared" si="21"/>
        <v>8658.2720234050084</v>
      </c>
      <c r="BC17" s="28">
        <f t="shared" si="21"/>
        <v>9552.6542242057894</v>
      </c>
      <c r="BD17" s="28">
        <f t="shared" si="21"/>
        <v>10538.311144051258</v>
      </c>
      <c r="BE17" s="28">
        <f t="shared" si="21"/>
        <v>11624.483271586447</v>
      </c>
      <c r="BF17" s="28">
        <f t="shared" si="21"/>
        <v>12821.731179192542</v>
      </c>
      <c r="BG17" s="28">
        <f t="shared" si="21"/>
        <v>14141.661705218521</v>
      </c>
      <c r="BH17" s="28">
        <f t="shared" si="21"/>
        <v>15597.139159816661</v>
      </c>
      <c r="BI17" s="28">
        <f t="shared" si="21"/>
        <v>17202.282865769997</v>
      </c>
      <c r="BJ17" s="28">
        <f t="shared" si="21"/>
        <v>18973.289106131411</v>
      </c>
      <c r="BK17" s="28">
        <f t="shared" si="21"/>
        <v>20929.73932910186</v>
      </c>
      <c r="BL17" s="28">
        <f t="shared" si="21"/>
        <v>23094.209593557462</v>
      </c>
      <c r="BM17" s="28">
        <f t="shared" si="21"/>
        <v>25488.000984645252</v>
      </c>
      <c r="BN17" s="28">
        <f t="shared" si="21"/>
        <v>28137.453459704102</v>
      </c>
      <c r="BO17" s="28">
        <f t="shared" si="21"/>
        <v>31071.974293234398</v>
      </c>
      <c r="BP17" s="28">
        <f t="shared" si="21"/>
        <v>34326.064535496611</v>
      </c>
      <c r="BQ17" s="28">
        <f t="shared" si="21"/>
        <v>37937.142287110226</v>
      </c>
      <c r="BR17" s="28">
        <f t="shared" si="21"/>
        <v>41956.661845456285</v>
      </c>
      <c r="BS17" s="28">
        <f t="shared" si="21"/>
        <v>46433.803703836908</v>
      </c>
      <c r="BT17" s="29">
        <f t="shared" si="21"/>
        <v>51416.752748928244</v>
      </c>
      <c r="BW17" s="24" t="s">
        <v>24</v>
      </c>
      <c r="CA17" s="31">
        <f>CA15/BZ11</f>
        <v>0.44230481318933401</v>
      </c>
      <c r="CB17" s="31">
        <f t="shared" ref="CB17:CK17" si="22">CB15/CA11</f>
        <v>0.48751819409313268</v>
      </c>
      <c r="CC17" s="31">
        <f t="shared" si="22"/>
        <v>0.53469737416666163</v>
      </c>
      <c r="CD17" s="31">
        <f t="shared" si="22"/>
        <v>0.58384235340992108</v>
      </c>
      <c r="CE17" s="31">
        <f t="shared" si="22"/>
        <v>0.63495313182291069</v>
      </c>
      <c r="CF17" s="31">
        <f t="shared" si="22"/>
        <v>0.6880297094056308</v>
      </c>
      <c r="CG17" s="31">
        <f t="shared" si="22"/>
        <v>0.70768770110293455</v>
      </c>
      <c r="CH17" s="31">
        <f t="shared" si="22"/>
        <v>0.7273456928002382</v>
      </c>
      <c r="CI17" s="31">
        <f t="shared" si="22"/>
        <v>0.74700368449754195</v>
      </c>
      <c r="CJ17" s="31">
        <f t="shared" si="22"/>
        <v>0.76666167619484571</v>
      </c>
      <c r="CK17" s="32">
        <f t="shared" si="22"/>
        <v>0.78631966789214958</v>
      </c>
      <c r="CN17" s="24"/>
      <c r="CR17" s="31"/>
      <c r="CS17" s="31"/>
      <c r="CT17" s="31"/>
      <c r="CU17" s="31"/>
      <c r="CV17" s="31"/>
      <c r="CW17" s="31"/>
      <c r="CX17" s="31"/>
      <c r="CY17" s="31"/>
      <c r="CZ17" s="31"/>
      <c r="DA17" s="31"/>
      <c r="DB17" s="32"/>
    </row>
    <row r="18" spans="3:106" x14ac:dyDescent="0.3">
      <c r="C18" s="17"/>
      <c r="D18" s="17"/>
      <c r="E18" s="17"/>
      <c r="F18" s="17"/>
      <c r="G18" s="17"/>
      <c r="H18" s="17"/>
      <c r="O18" s="24"/>
      <c r="AC18" s="25"/>
      <c r="AE18" s="24" t="s">
        <v>26</v>
      </c>
      <c r="AG18" s="33">
        <f t="shared" ref="AG18:BT18" si="23">AG17/AF11</f>
        <v>1.4334560000000001E-2</v>
      </c>
      <c r="AH18" s="33">
        <f t="shared" si="23"/>
        <v>1.5342279999999998E-2</v>
      </c>
      <c r="AI18" s="33">
        <f t="shared" si="23"/>
        <v>1.6421160000000004E-2</v>
      </c>
      <c r="AJ18" s="33">
        <f t="shared" si="23"/>
        <v>1.8166722343623976E-2</v>
      </c>
      <c r="AK18" s="33">
        <f t="shared" si="23"/>
        <v>1.9762640557256867E-2</v>
      </c>
      <c r="AL18" s="33">
        <f t="shared" si="23"/>
        <v>2.1493609367049141E-2</v>
      </c>
      <c r="AM18" s="33">
        <f t="shared" si="23"/>
        <v>2.3370565185148379E-2</v>
      </c>
      <c r="AN18" s="33">
        <f t="shared" si="23"/>
        <v>2.5405753153291816E-2</v>
      </c>
      <c r="AO18" s="33">
        <f t="shared" si="23"/>
        <v>2.7612505736826203E-2</v>
      </c>
      <c r="AP18" s="33">
        <f t="shared" si="23"/>
        <v>3.00046771348241E-2</v>
      </c>
      <c r="AQ18" s="33">
        <f t="shared" si="23"/>
        <v>3.2597520451550732E-2</v>
      </c>
      <c r="AR18" s="33">
        <f t="shared" si="23"/>
        <v>3.5407823756814803E-2</v>
      </c>
      <c r="AS18" s="33">
        <f t="shared" si="23"/>
        <v>3.8453174770819443E-2</v>
      </c>
      <c r="AT18" s="33">
        <f t="shared" si="23"/>
        <v>4.1752768145914873E-2</v>
      </c>
      <c r="AU18" s="33">
        <f t="shared" si="23"/>
        <v>4.5327913821297097E-2</v>
      </c>
      <c r="AV18" s="33">
        <f t="shared" si="23"/>
        <v>4.9200702453060845E-2</v>
      </c>
      <c r="AW18" s="33">
        <f t="shared" si="23"/>
        <v>5.3394934604480894E-2</v>
      </c>
      <c r="AX18" s="33">
        <f t="shared" si="23"/>
        <v>5.793735364501848E-2</v>
      </c>
      <c r="AY18" s="33">
        <f t="shared" si="23"/>
        <v>6.2856294613565983E-2</v>
      </c>
      <c r="AZ18" s="33">
        <f t="shared" si="23"/>
        <v>6.8182484545038072E-2</v>
      </c>
      <c r="BA18" s="33">
        <f t="shared" si="23"/>
        <v>7.394979594621838E-2</v>
      </c>
      <c r="BB18" s="33">
        <f t="shared" si="23"/>
        <v>8.0194980664229129E-2</v>
      </c>
      <c r="BC18" s="33">
        <f t="shared" si="23"/>
        <v>8.6957210749258287E-2</v>
      </c>
      <c r="BD18" s="33">
        <f t="shared" si="23"/>
        <v>9.4279689154083815E-2</v>
      </c>
      <c r="BE18" s="33">
        <f t="shared" si="23"/>
        <v>0.10220834684875768</v>
      </c>
      <c r="BF18" s="33">
        <f t="shared" si="23"/>
        <v>0.11079622317176806</v>
      </c>
      <c r="BG18" s="33">
        <f t="shared" si="23"/>
        <v>0.12010036165444042</v>
      </c>
      <c r="BH18" s="33">
        <f t="shared" si="23"/>
        <v>0.13018303746208185</v>
      </c>
      <c r="BI18" s="33">
        <f t="shared" si="23"/>
        <v>0.14111108143919684</v>
      </c>
      <c r="BJ18" s="33">
        <f t="shared" si="23"/>
        <v>0.15296189028687934</v>
      </c>
      <c r="BK18" s="33">
        <f t="shared" si="23"/>
        <v>0.16583264171734369</v>
      </c>
      <c r="BL18" s="33">
        <f t="shared" si="23"/>
        <v>0.1798352755802767</v>
      </c>
      <c r="BM18" s="33">
        <f t="shared" si="23"/>
        <v>0.19506220945591424</v>
      </c>
      <c r="BN18" s="33">
        <f t="shared" si="23"/>
        <v>0.21163511848831029</v>
      </c>
      <c r="BO18" s="33">
        <f t="shared" si="23"/>
        <v>0.22968750859982953</v>
      </c>
      <c r="BP18" s="33">
        <f t="shared" si="23"/>
        <v>0.24937799268732</v>
      </c>
      <c r="BQ18" s="33">
        <f t="shared" si="23"/>
        <v>0.27087211934452116</v>
      </c>
      <c r="BR18" s="33">
        <f t="shared" si="23"/>
        <v>0.29441924995460933</v>
      </c>
      <c r="BS18" s="33">
        <f t="shared" si="23"/>
        <v>0.32023228747453042</v>
      </c>
      <c r="BT18" s="34">
        <f t="shared" si="23"/>
        <v>0.34849863685210414</v>
      </c>
      <c r="BW18" s="24"/>
      <c r="CK18" s="25"/>
      <c r="CN18" s="24"/>
      <c r="DB18" s="25"/>
    </row>
    <row r="19" spans="3:106" x14ac:dyDescent="0.3">
      <c r="C19" s="17"/>
      <c r="D19" s="17"/>
      <c r="E19" s="17"/>
      <c r="O19" s="24"/>
      <c r="AC19" s="25"/>
      <c r="AE19" s="24"/>
      <c r="BT19" s="25"/>
      <c r="BW19" s="24"/>
      <c r="CK19" s="25"/>
      <c r="CN19" s="24" t="s">
        <v>19</v>
      </c>
      <c r="CR19" s="11">
        <f t="shared" ref="CR19:DB19" si="24">CR14*MIN(1-0.05*(60-CR9),1)</f>
        <v>54863.18898083418</v>
      </c>
      <c r="CS19" s="11">
        <f t="shared" si="24"/>
        <v>61529.676032994226</v>
      </c>
      <c r="CT19" s="11">
        <f t="shared" si="24"/>
        <v>68665.133624562412</v>
      </c>
      <c r="CU19" s="11">
        <f t="shared" si="24"/>
        <v>76288.351906282012</v>
      </c>
      <c r="CV19" s="11">
        <f t="shared" si="24"/>
        <v>84418.712373331131</v>
      </c>
      <c r="CW19" s="11">
        <f t="shared" si="24"/>
        <v>93076.204160843816</v>
      </c>
      <c r="CX19" s="11">
        <f t="shared" si="24"/>
        <v>97410.895954620253</v>
      </c>
      <c r="CY19" s="11">
        <f t="shared" si="24"/>
        <v>101868.79737365463</v>
      </c>
      <c r="CZ19" s="11">
        <f t="shared" si="24"/>
        <v>106452.8932554691</v>
      </c>
      <c r="DA19" s="11">
        <f t="shared" si="24"/>
        <v>111166.2351739514</v>
      </c>
      <c r="DB19" s="26">
        <f t="shared" si="24"/>
        <v>116011.94286102106</v>
      </c>
    </row>
    <row r="20" spans="3:106" x14ac:dyDescent="0.3">
      <c r="C20" s="17"/>
      <c r="D20" s="17"/>
      <c r="E20" s="17"/>
      <c r="F20" s="17"/>
      <c r="G20" s="17"/>
      <c r="H20" s="17"/>
      <c r="O20" s="35" t="s">
        <v>27</v>
      </c>
      <c r="AC20" s="25"/>
      <c r="AE20" s="24" t="s">
        <v>28</v>
      </c>
      <c r="AF20" s="11">
        <f>SUM(AG17:BT17)</f>
        <v>532550.03324222378</v>
      </c>
      <c r="BT20" s="25"/>
      <c r="BW20" s="35" t="s">
        <v>27</v>
      </c>
      <c r="CK20" s="25"/>
      <c r="CN20" s="24" t="s">
        <v>21</v>
      </c>
      <c r="CR20" s="20">
        <v>15.235161</v>
      </c>
      <c r="CS20" s="20">
        <v>14.996418</v>
      </c>
      <c r="CT20" s="20">
        <v>14.7514</v>
      </c>
      <c r="CU20" s="20">
        <v>14.498680999999999</v>
      </c>
      <c r="CV20" s="20">
        <v>14.238417</v>
      </c>
      <c r="CW20" s="20">
        <v>13.970582</v>
      </c>
      <c r="CX20" s="20">
        <v>13.695671000000001</v>
      </c>
      <c r="CY20" s="20">
        <v>13.413436000000001</v>
      </c>
      <c r="CZ20" s="20">
        <v>13.126579</v>
      </c>
      <c r="DA20" s="20">
        <v>12.834384999999999</v>
      </c>
      <c r="DB20" s="36">
        <v>12.534252</v>
      </c>
    </row>
    <row r="21" spans="3:106" x14ac:dyDescent="0.3">
      <c r="C21" s="17" t="s">
        <v>5</v>
      </c>
      <c r="D21" s="18">
        <v>0.05</v>
      </c>
      <c r="E21" s="18">
        <v>7.0000000000000007E-2</v>
      </c>
      <c r="G21" s="17"/>
      <c r="H21" s="19">
        <v>0.05</v>
      </c>
      <c r="I21" s="19">
        <v>7.0000000000000007E-2</v>
      </c>
      <c r="J21" s="19"/>
      <c r="K21" s="19"/>
      <c r="L21" s="19">
        <v>7.0000000000000007E-2</v>
      </c>
      <c r="M21" s="37"/>
      <c r="O21" s="24" t="s">
        <v>12</v>
      </c>
      <c r="P21">
        <v>52</v>
      </c>
      <c r="Q21">
        <v>53</v>
      </c>
      <c r="R21">
        <v>54</v>
      </c>
      <c r="S21">
        <v>55</v>
      </c>
      <c r="T21">
        <v>56</v>
      </c>
      <c r="U21">
        <v>57</v>
      </c>
      <c r="V21">
        <v>58</v>
      </c>
      <c r="W21">
        <v>59</v>
      </c>
      <c r="X21">
        <v>60</v>
      </c>
      <c r="Y21">
        <v>61</v>
      </c>
      <c r="Z21">
        <v>62</v>
      </c>
      <c r="AA21">
        <v>63</v>
      </c>
      <c r="AB21">
        <v>64</v>
      </c>
      <c r="AC21" s="25">
        <v>65</v>
      </c>
      <c r="AE21" s="38"/>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9"/>
      <c r="BW21" s="24" t="s">
        <v>12</v>
      </c>
      <c r="BX21">
        <v>52</v>
      </c>
      <c r="BY21">
        <v>53</v>
      </c>
      <c r="BZ21">
        <v>54</v>
      </c>
      <c r="CA21">
        <v>55</v>
      </c>
      <c r="CB21">
        <v>56</v>
      </c>
      <c r="CC21">
        <v>57</v>
      </c>
      <c r="CD21">
        <v>58</v>
      </c>
      <c r="CE21">
        <v>59</v>
      </c>
      <c r="CF21">
        <v>60</v>
      </c>
      <c r="CG21">
        <v>61</v>
      </c>
      <c r="CH21">
        <v>62</v>
      </c>
      <c r="CI21">
        <v>63</v>
      </c>
      <c r="CJ21">
        <v>64</v>
      </c>
      <c r="CK21" s="25">
        <v>65</v>
      </c>
      <c r="CN21" s="24" t="s">
        <v>29</v>
      </c>
      <c r="CR21" s="11">
        <f>CR19*CR20</f>
        <v>835849.5170964346</v>
      </c>
      <c r="CS21" s="11">
        <f t="shared" ref="CS21:DB21" si="25">CS19*CS20</f>
        <v>922724.74119536323</v>
      </c>
      <c r="CT21" s="11">
        <f t="shared" si="25"/>
        <v>1012906.85214937</v>
      </c>
      <c r="CU21" s="11">
        <f t="shared" si="25"/>
        <v>1106080.4783049247</v>
      </c>
      <c r="CV21" s="11">
        <f t="shared" si="25"/>
        <v>1201988.8293745483</v>
      </c>
      <c r="CW21" s="11">
        <f t="shared" si="25"/>
        <v>1300328.7424778098</v>
      </c>
      <c r="CX21" s="11">
        <f t="shared" si="25"/>
        <v>1334107.5828097099</v>
      </c>
      <c r="CY21" s="11">
        <f t="shared" si="25"/>
        <v>1366410.5939684846</v>
      </c>
      <c r="CZ21" s="11">
        <f t="shared" si="25"/>
        <v>1397362.3130964823</v>
      </c>
      <c r="DA21" s="11">
        <f t="shared" si="25"/>
        <v>1426750.2612230342</v>
      </c>
      <c r="DB21" s="26">
        <f t="shared" si="25"/>
        <v>1454122.9268296389</v>
      </c>
    </row>
    <row r="22" spans="3:106" x14ac:dyDescent="0.3">
      <c r="G22" s="17"/>
      <c r="H22" s="17"/>
      <c r="I22" s="17"/>
      <c r="J22" s="17"/>
      <c r="K22" s="17"/>
      <c r="L22" s="17"/>
      <c r="M22" s="17"/>
      <c r="O22" s="24" t="s">
        <v>14</v>
      </c>
      <c r="P22">
        <f t="shared" ref="P22:AC22" si="26">P21-$D$9</f>
        <v>27</v>
      </c>
      <c r="Q22">
        <f t="shared" si="26"/>
        <v>28</v>
      </c>
      <c r="R22">
        <f t="shared" si="26"/>
        <v>29</v>
      </c>
      <c r="S22">
        <f t="shared" si="26"/>
        <v>30</v>
      </c>
      <c r="T22">
        <f t="shared" si="26"/>
        <v>31</v>
      </c>
      <c r="U22">
        <f t="shared" si="26"/>
        <v>32</v>
      </c>
      <c r="V22">
        <f t="shared" si="26"/>
        <v>33</v>
      </c>
      <c r="W22">
        <f t="shared" si="26"/>
        <v>34</v>
      </c>
      <c r="X22">
        <f t="shared" si="26"/>
        <v>35</v>
      </c>
      <c r="Y22">
        <f t="shared" si="26"/>
        <v>36</v>
      </c>
      <c r="Z22">
        <f t="shared" si="26"/>
        <v>37</v>
      </c>
      <c r="AA22">
        <f t="shared" si="26"/>
        <v>38</v>
      </c>
      <c r="AB22">
        <f t="shared" si="26"/>
        <v>39</v>
      </c>
      <c r="AC22" s="25">
        <f t="shared" si="26"/>
        <v>40</v>
      </c>
      <c r="AE22" s="40"/>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30"/>
      <c r="BW22" s="24" t="s">
        <v>14</v>
      </c>
      <c r="BX22">
        <f t="shared" ref="BX22:CK22" si="27">BX21-$D$9</f>
        <v>27</v>
      </c>
      <c r="BY22">
        <f t="shared" si="27"/>
        <v>28</v>
      </c>
      <c r="BZ22">
        <f t="shared" si="27"/>
        <v>29</v>
      </c>
      <c r="CA22">
        <f t="shared" si="27"/>
        <v>30</v>
      </c>
      <c r="CB22">
        <f t="shared" si="27"/>
        <v>31</v>
      </c>
      <c r="CC22">
        <f t="shared" si="27"/>
        <v>32</v>
      </c>
      <c r="CD22">
        <f t="shared" si="27"/>
        <v>33</v>
      </c>
      <c r="CE22">
        <f t="shared" si="27"/>
        <v>34</v>
      </c>
      <c r="CF22">
        <f t="shared" si="27"/>
        <v>35</v>
      </c>
      <c r="CG22">
        <f t="shared" si="27"/>
        <v>36</v>
      </c>
      <c r="CH22">
        <f t="shared" si="27"/>
        <v>37</v>
      </c>
      <c r="CI22">
        <f t="shared" si="27"/>
        <v>38</v>
      </c>
      <c r="CJ22">
        <f t="shared" si="27"/>
        <v>39</v>
      </c>
      <c r="CK22" s="25">
        <f t="shared" si="27"/>
        <v>40</v>
      </c>
      <c r="CN22" s="24"/>
      <c r="CR22" s="31"/>
      <c r="CS22" s="31"/>
      <c r="CT22" s="31"/>
      <c r="CU22" s="31"/>
      <c r="CV22" s="31"/>
      <c r="CW22" s="31"/>
      <c r="CX22" s="31"/>
      <c r="CY22" s="31"/>
      <c r="CZ22" s="31"/>
      <c r="DA22" s="31"/>
      <c r="DB22" s="32"/>
    </row>
    <row r="23" spans="3:106" x14ac:dyDescent="0.3">
      <c r="C23" t="s">
        <v>3</v>
      </c>
      <c r="O23" s="24" t="s">
        <v>13</v>
      </c>
      <c r="P23" s="11">
        <f>$D$10*(1+$D$14)^(P21-$D$9)</f>
        <v>146085.00137247841</v>
      </c>
      <c r="Q23" s="11">
        <f t="shared" ref="Q23:AB23" si="28">$D$10*(1+$D$14)^(Q21-$D$9)</f>
        <v>149737.12640679037</v>
      </c>
      <c r="R23" s="11">
        <f t="shared" si="28"/>
        <v>153480.55456696014</v>
      </c>
      <c r="S23" s="11">
        <f t="shared" si="28"/>
        <v>157317.5684311341</v>
      </c>
      <c r="T23" s="11">
        <f t="shared" si="28"/>
        <v>161250.5076419125</v>
      </c>
      <c r="U23" s="11">
        <f t="shared" si="28"/>
        <v>165281.77033296027</v>
      </c>
      <c r="V23" s="11">
        <f t="shared" si="28"/>
        <v>169413.81459128426</v>
      </c>
      <c r="W23" s="11">
        <f t="shared" si="28"/>
        <v>173649.15995606637</v>
      </c>
      <c r="X23" s="11">
        <f t="shared" si="28"/>
        <v>177990.38895496802</v>
      </c>
      <c r="Y23" s="11">
        <f t="shared" si="28"/>
        <v>182440.14867884223</v>
      </c>
      <c r="Z23" s="11">
        <f t="shared" si="28"/>
        <v>187001.15239581326</v>
      </c>
      <c r="AA23" s="11">
        <f t="shared" si="28"/>
        <v>191676.18120570856</v>
      </c>
      <c r="AB23" s="11">
        <f t="shared" si="28"/>
        <v>196468.08573585129</v>
      </c>
      <c r="AC23" s="25"/>
      <c r="AE23" s="35" t="s">
        <v>30</v>
      </c>
      <c r="BT23" s="25"/>
      <c r="BW23" s="24" t="s">
        <v>13</v>
      </c>
      <c r="BX23" s="11">
        <f>$D$10*(1+$D$14)^(BX21-$D$9)</f>
        <v>146085.00137247841</v>
      </c>
      <c r="BY23" s="11">
        <f t="shared" ref="BY23:CJ23" si="29">$D$10*(1+$D$14)^(BY21-$D$9)</f>
        <v>149737.12640679037</v>
      </c>
      <c r="BZ23" s="11">
        <f t="shared" si="29"/>
        <v>153480.55456696014</v>
      </c>
      <c r="CA23" s="11">
        <f t="shared" si="29"/>
        <v>157317.5684311341</v>
      </c>
      <c r="CB23" s="11">
        <f t="shared" si="29"/>
        <v>161250.5076419125</v>
      </c>
      <c r="CC23" s="11">
        <f t="shared" si="29"/>
        <v>165281.77033296027</v>
      </c>
      <c r="CD23" s="11">
        <f t="shared" si="29"/>
        <v>169413.81459128426</v>
      </c>
      <c r="CE23" s="11">
        <f t="shared" si="29"/>
        <v>173649.15995606637</v>
      </c>
      <c r="CF23" s="11">
        <f t="shared" si="29"/>
        <v>177990.38895496802</v>
      </c>
      <c r="CG23" s="11">
        <f t="shared" si="29"/>
        <v>182440.14867884223</v>
      </c>
      <c r="CH23" s="11">
        <f t="shared" si="29"/>
        <v>187001.15239581326</v>
      </c>
      <c r="CI23" s="11">
        <f t="shared" si="29"/>
        <v>191676.18120570856</v>
      </c>
      <c r="CJ23" s="11">
        <f t="shared" si="29"/>
        <v>196468.08573585129</v>
      </c>
      <c r="CK23" s="25"/>
      <c r="CN23" s="24"/>
      <c r="DB23" s="25"/>
    </row>
    <row r="24" spans="3:106" x14ac:dyDescent="0.3">
      <c r="C24" s="17">
        <v>55</v>
      </c>
      <c r="D24" s="20">
        <v>15.235161</v>
      </c>
      <c r="E24" s="20">
        <v>12.391836</v>
      </c>
      <c r="G24" s="17">
        <v>55</v>
      </c>
      <c r="H24" s="17">
        <v>7.4063540000000003</v>
      </c>
      <c r="I24" s="17">
        <v>5.1916890000000002</v>
      </c>
      <c r="J24" s="17"/>
      <c r="K24" s="17">
        <v>25</v>
      </c>
      <c r="L24" s="17">
        <v>0.669659</v>
      </c>
      <c r="M24" s="17"/>
      <c r="O24" s="24" t="s">
        <v>16</v>
      </c>
      <c r="S24" s="11">
        <f t="shared" ref="S24:AC24" si="30">AVERAGE(P23:R23)</f>
        <v>149767.5607820763</v>
      </c>
      <c r="T24" s="11">
        <f t="shared" si="30"/>
        <v>153511.7498016282</v>
      </c>
      <c r="U24" s="11">
        <f t="shared" si="30"/>
        <v>157349.54354666892</v>
      </c>
      <c r="V24" s="11">
        <f t="shared" si="30"/>
        <v>161283.28213533561</v>
      </c>
      <c r="W24" s="11">
        <f t="shared" si="30"/>
        <v>165315.36418871899</v>
      </c>
      <c r="X24" s="11">
        <f t="shared" si="30"/>
        <v>169448.24829343698</v>
      </c>
      <c r="Y24" s="11">
        <f t="shared" si="30"/>
        <v>173684.4545007729</v>
      </c>
      <c r="Z24" s="11">
        <f t="shared" si="30"/>
        <v>178026.5658632922</v>
      </c>
      <c r="AA24" s="11">
        <f t="shared" si="30"/>
        <v>182477.23000987447</v>
      </c>
      <c r="AB24" s="11">
        <f t="shared" si="30"/>
        <v>187039.16076012133</v>
      </c>
      <c r="AC24" s="26">
        <f t="shared" si="30"/>
        <v>191715.13977912438</v>
      </c>
      <c r="AE24" s="40"/>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30"/>
      <c r="BW24" s="24" t="s">
        <v>16</v>
      </c>
      <c r="CA24" s="11">
        <f t="shared" ref="CA24:CK24" si="31">AVERAGE(BX23:BZ23)</f>
        <v>149767.5607820763</v>
      </c>
      <c r="CB24" s="11">
        <f t="shared" si="31"/>
        <v>153511.7498016282</v>
      </c>
      <c r="CC24" s="11">
        <f t="shared" si="31"/>
        <v>157349.54354666892</v>
      </c>
      <c r="CD24" s="11">
        <f t="shared" si="31"/>
        <v>161283.28213533561</v>
      </c>
      <c r="CE24" s="11">
        <f t="shared" si="31"/>
        <v>165315.36418871899</v>
      </c>
      <c r="CF24" s="11">
        <f t="shared" si="31"/>
        <v>169448.24829343698</v>
      </c>
      <c r="CG24" s="11">
        <f t="shared" si="31"/>
        <v>173684.4545007729</v>
      </c>
      <c r="CH24" s="11">
        <f t="shared" si="31"/>
        <v>178026.5658632922</v>
      </c>
      <c r="CI24" s="11">
        <f t="shared" si="31"/>
        <v>182477.23000987447</v>
      </c>
      <c r="CJ24" s="11">
        <f t="shared" si="31"/>
        <v>187039.16076012133</v>
      </c>
      <c r="CK24" s="26">
        <f t="shared" si="31"/>
        <v>191715.13977912438</v>
      </c>
      <c r="CN24" s="24" t="s">
        <v>31</v>
      </c>
      <c r="CR24" s="11">
        <f>CR21-CR16</f>
        <v>294067.9182151584</v>
      </c>
      <c r="CS24" s="11">
        <f t="shared" ref="CS24:DB24" si="32">CS21-CS16</f>
        <v>323574.06006533408</v>
      </c>
      <c r="CT24" s="11">
        <f t="shared" si="32"/>
        <v>350736.49403863575</v>
      </c>
      <c r="CU24" s="11">
        <f t="shared" si="32"/>
        <v>374727.35890914826</v>
      </c>
      <c r="CV24" s="11">
        <f t="shared" si="32"/>
        <v>394651.00676301098</v>
      </c>
      <c r="CW24" s="11">
        <f t="shared" si="32"/>
        <v>409498.44013086508</v>
      </c>
      <c r="CX24" s="11">
        <f t="shared" si="32"/>
        <v>351449.94044542592</v>
      </c>
      <c r="CY24" s="11">
        <f t="shared" si="32"/>
        <v>282708.83319130074</v>
      </c>
      <c r="CZ24" s="11">
        <f t="shared" si="32"/>
        <v>202151.17006401788</v>
      </c>
      <c r="DA24" s="11">
        <f t="shared" si="32"/>
        <v>108421.65199374175</v>
      </c>
      <c r="DB24" s="26">
        <f t="shared" si="32"/>
        <v>0</v>
      </c>
    </row>
    <row r="25" spans="3:106" x14ac:dyDescent="0.3">
      <c r="C25" s="17">
        <v>56</v>
      </c>
      <c r="D25" s="20">
        <v>14.996418</v>
      </c>
      <c r="E25" s="20">
        <v>12.243194000000001</v>
      </c>
      <c r="G25" s="17">
        <v>56</v>
      </c>
      <c r="H25" s="17">
        <v>7.7900710000000002</v>
      </c>
      <c r="I25" s="17">
        <v>5.5646789999999999</v>
      </c>
      <c r="J25" s="17"/>
      <c r="K25" s="17">
        <v>26</v>
      </c>
      <c r="L25" s="17">
        <v>0.71672800000000003</v>
      </c>
      <c r="M25" s="17"/>
      <c r="O25" s="24"/>
      <c r="AC25" s="25"/>
      <c r="AE25" s="40" t="s">
        <v>32</v>
      </c>
      <c r="AF25" s="17"/>
      <c r="AG25" s="41">
        <f>AF11*0.06</f>
        <v>4500</v>
      </c>
      <c r="AH25" s="41">
        <f t="shared" ref="AH25:BS25" si="33">AG11*0.06</f>
        <v>4578.75</v>
      </c>
      <c r="AI25" s="41">
        <f t="shared" si="33"/>
        <v>4658.8781250000002</v>
      </c>
      <c r="AJ25" s="41">
        <f t="shared" si="33"/>
        <v>4740.4084921875001</v>
      </c>
      <c r="AK25" s="41">
        <f t="shared" si="33"/>
        <v>4823.3656408007819</v>
      </c>
      <c r="AL25" s="41">
        <f t="shared" si="33"/>
        <v>4907.7745395147958</v>
      </c>
      <c r="AM25" s="41">
        <f t="shared" si="33"/>
        <v>4993.6605939563042</v>
      </c>
      <c r="AN25" s="41">
        <f t="shared" si="33"/>
        <v>5081.0496543505396</v>
      </c>
      <c r="AO25" s="41">
        <f t="shared" si="33"/>
        <v>5169.9680233016752</v>
      </c>
      <c r="AP25" s="41">
        <f t="shared" si="33"/>
        <v>5260.4424637094544</v>
      </c>
      <c r="AQ25" s="41">
        <f t="shared" si="33"/>
        <v>5352.5002068243703</v>
      </c>
      <c r="AR25" s="41">
        <f t="shared" si="33"/>
        <v>5446.168960443797</v>
      </c>
      <c r="AS25" s="41">
        <f t="shared" si="33"/>
        <v>5541.4769172515644</v>
      </c>
      <c r="AT25" s="41">
        <f t="shared" si="33"/>
        <v>5638.4527633034659</v>
      </c>
      <c r="AU25" s="41">
        <f t="shared" si="33"/>
        <v>5737.1256866612766</v>
      </c>
      <c r="AV25" s="41">
        <f t="shared" si="33"/>
        <v>5837.5253861778501</v>
      </c>
      <c r="AW25" s="41">
        <f t="shared" si="33"/>
        <v>5939.6820804359622</v>
      </c>
      <c r="AX25" s="41">
        <f t="shared" si="33"/>
        <v>6043.6265168435921</v>
      </c>
      <c r="AY25" s="41">
        <f t="shared" si="33"/>
        <v>6149.3899808883561</v>
      </c>
      <c r="AZ25" s="41">
        <f t="shared" si="33"/>
        <v>6257.0043055539018</v>
      </c>
      <c r="BA25" s="41">
        <f t="shared" si="33"/>
        <v>6366.5018809010962</v>
      </c>
      <c r="BB25" s="41">
        <f t="shared" si="33"/>
        <v>6477.9156638168652</v>
      </c>
      <c r="BC25" s="41">
        <f t="shared" si="33"/>
        <v>6591.279187933661</v>
      </c>
      <c r="BD25" s="41">
        <f t="shared" si="33"/>
        <v>6706.6265737225003</v>
      </c>
      <c r="BE25" s="41">
        <f t="shared" si="33"/>
        <v>6823.9925387626445</v>
      </c>
      <c r="BF25" s="41">
        <f t="shared" si="33"/>
        <v>6943.4124081909904</v>
      </c>
      <c r="BG25" s="41">
        <f t="shared" si="33"/>
        <v>7064.922125334333</v>
      </c>
      <c r="BH25" s="41">
        <f t="shared" si="33"/>
        <v>7188.5582625276847</v>
      </c>
      <c r="BI25" s="41">
        <f t="shared" si="33"/>
        <v>7314.3580321219197</v>
      </c>
      <c r="BJ25" s="41">
        <f t="shared" si="33"/>
        <v>7442.3592976840537</v>
      </c>
      <c r="BK25" s="41">
        <f t="shared" si="33"/>
        <v>7572.6005853935258</v>
      </c>
      <c r="BL25" s="41">
        <f t="shared" si="33"/>
        <v>7705.1210956379127</v>
      </c>
      <c r="BM25" s="41">
        <f t="shared" si="33"/>
        <v>7839.9607148115774</v>
      </c>
      <c r="BN25" s="41">
        <f t="shared" si="33"/>
        <v>7977.1600273207814</v>
      </c>
      <c r="BO25" s="41">
        <f t="shared" si="33"/>
        <v>8116.7603277988947</v>
      </c>
      <c r="BP25" s="41">
        <f t="shared" si="33"/>
        <v>8258.8036335353754</v>
      </c>
      <c r="BQ25" s="41">
        <f t="shared" si="33"/>
        <v>8403.332697122245</v>
      </c>
      <c r="BR25" s="41">
        <f t="shared" si="33"/>
        <v>8550.3910193218853</v>
      </c>
      <c r="BS25" s="41">
        <f t="shared" si="33"/>
        <v>8700.0228621600199</v>
      </c>
      <c r="BT25" s="42">
        <f>BS11*0.06</f>
        <v>8852.2732622478215</v>
      </c>
      <c r="BW25" s="24"/>
      <c r="CK25" s="25"/>
      <c r="CN25" s="24"/>
      <c r="CR25" s="31"/>
      <c r="CS25" s="31"/>
      <c r="CT25" s="31"/>
      <c r="CU25" s="31"/>
      <c r="CV25" s="31"/>
      <c r="CW25" s="31"/>
      <c r="CX25" s="31"/>
      <c r="CY25" s="31"/>
      <c r="CZ25" s="31"/>
      <c r="DA25" s="31"/>
      <c r="DB25" s="32"/>
    </row>
    <row r="26" spans="3:106" x14ac:dyDescent="0.3">
      <c r="C26" s="17">
        <v>57</v>
      </c>
      <c r="D26" s="20">
        <v>14.7514</v>
      </c>
      <c r="E26" s="20">
        <v>12.088901</v>
      </c>
      <c r="G26" s="17">
        <v>57</v>
      </c>
      <c r="H26" s="17">
        <v>8.1969519999999996</v>
      </c>
      <c r="I26" s="17">
        <v>5.9668559999999999</v>
      </c>
      <c r="J26" s="17"/>
      <c r="K26" s="17">
        <v>27</v>
      </c>
      <c r="L26" s="17">
        <v>0.76711399999999996</v>
      </c>
      <c r="M26" s="17"/>
      <c r="O26" s="24" t="s">
        <v>18</v>
      </c>
      <c r="S26" s="11">
        <f>0.02*S22*S24</f>
        <v>89860.536469245781</v>
      </c>
      <c r="T26" s="11">
        <f t="shared" ref="T26:AC26" si="34">0.02*T22*T24</f>
        <v>95177.284877009486</v>
      </c>
      <c r="U26" s="11">
        <f t="shared" si="34"/>
        <v>100703.70786986811</v>
      </c>
      <c r="V26" s="11">
        <f t="shared" si="34"/>
        <v>106446.96620932152</v>
      </c>
      <c r="W26" s="11">
        <f t="shared" si="34"/>
        <v>112414.44764832892</v>
      </c>
      <c r="X26" s="11">
        <f t="shared" si="34"/>
        <v>118613.7738054059</v>
      </c>
      <c r="Y26" s="11">
        <f t="shared" si="34"/>
        <v>125052.80724055649</v>
      </c>
      <c r="Z26" s="11">
        <f t="shared" si="34"/>
        <v>131739.65873883624</v>
      </c>
      <c r="AA26" s="11">
        <f t="shared" si="34"/>
        <v>138682.69480750459</v>
      </c>
      <c r="AB26" s="11">
        <f t="shared" si="34"/>
        <v>145890.54539289465</v>
      </c>
      <c r="AC26" s="26">
        <f t="shared" si="34"/>
        <v>153372.11182329952</v>
      </c>
      <c r="AE26" s="40"/>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30"/>
      <c r="BW26" s="24" t="s">
        <v>18</v>
      </c>
      <c r="CA26" s="11">
        <f>0.02*CA22*CA24</f>
        <v>89860.536469245781</v>
      </c>
      <c r="CB26" s="11">
        <f t="shared" ref="CB26:CK26" si="35">0.02*CB22*CB24</f>
        <v>95177.284877009486</v>
      </c>
      <c r="CC26" s="11">
        <f t="shared" si="35"/>
        <v>100703.70786986811</v>
      </c>
      <c r="CD26" s="11">
        <f t="shared" si="35"/>
        <v>106446.96620932152</v>
      </c>
      <c r="CE26" s="11">
        <f t="shared" si="35"/>
        <v>112414.44764832892</v>
      </c>
      <c r="CF26" s="11">
        <f t="shared" si="35"/>
        <v>118613.7738054059</v>
      </c>
      <c r="CG26" s="11">
        <f t="shared" si="35"/>
        <v>125052.80724055649</v>
      </c>
      <c r="CH26" s="11">
        <f t="shared" si="35"/>
        <v>131739.65873883624</v>
      </c>
      <c r="CI26" s="11">
        <f t="shared" si="35"/>
        <v>138682.69480750459</v>
      </c>
      <c r="CJ26" s="11">
        <f t="shared" si="35"/>
        <v>145890.54539289465</v>
      </c>
      <c r="CK26" s="26">
        <f t="shared" si="35"/>
        <v>153372.11182329952</v>
      </c>
      <c r="CN26" s="24" t="s">
        <v>33</v>
      </c>
      <c r="CS26" s="11">
        <f>CS19-CR19</f>
        <v>6666.487052160046</v>
      </c>
      <c r="CT26" s="11">
        <f t="shared" ref="CT26:DB26" si="36">CT19-CS19</f>
        <v>7135.4575915681853</v>
      </c>
      <c r="CU26" s="11">
        <f t="shared" si="36"/>
        <v>7623.2182817196008</v>
      </c>
      <c r="CV26" s="11">
        <f t="shared" si="36"/>
        <v>8130.3604670491186</v>
      </c>
      <c r="CW26" s="11">
        <f t="shared" si="36"/>
        <v>8657.4917875126848</v>
      </c>
      <c r="CX26" s="11">
        <f t="shared" si="36"/>
        <v>4334.6917937764374</v>
      </c>
      <c r="CY26" s="11">
        <f t="shared" si="36"/>
        <v>4457.9014190343732</v>
      </c>
      <c r="CZ26" s="11">
        <f t="shared" si="36"/>
        <v>4584.0958818144718</v>
      </c>
      <c r="DA26" s="11">
        <f t="shared" si="36"/>
        <v>4713.3419184822997</v>
      </c>
      <c r="DB26" s="26">
        <f t="shared" si="36"/>
        <v>4845.7076870696619</v>
      </c>
    </row>
    <row r="27" spans="3:106" x14ac:dyDescent="0.3">
      <c r="C27" s="17">
        <v>58</v>
      </c>
      <c r="D27" s="20">
        <v>14.498680999999999</v>
      </c>
      <c r="E27" s="20">
        <v>11.927676999999999</v>
      </c>
      <c r="G27" s="17">
        <v>58</v>
      </c>
      <c r="H27" s="17">
        <v>8.6280249999999992</v>
      </c>
      <c r="I27" s="17">
        <v>6.4002809999999997</v>
      </c>
      <c r="J27" s="17"/>
      <c r="K27" s="17">
        <v>28</v>
      </c>
      <c r="L27" s="17">
        <v>0.82105799999999995</v>
      </c>
      <c r="M27" s="17"/>
      <c r="O27" s="24" t="s">
        <v>19</v>
      </c>
      <c r="S27" s="11">
        <f t="shared" ref="S27:AC27" si="37">S26*MIN(1-0.05*(60-S21),1)</f>
        <v>67395.402351934332</v>
      </c>
      <c r="T27" s="11">
        <f t="shared" si="37"/>
        <v>76141.827901607598</v>
      </c>
      <c r="U27" s="11">
        <f t="shared" si="37"/>
        <v>85598.151689387902</v>
      </c>
      <c r="V27" s="11">
        <f t="shared" si="37"/>
        <v>95802.269588389361</v>
      </c>
      <c r="W27" s="11">
        <f t="shared" si="37"/>
        <v>106793.72526591246</v>
      </c>
      <c r="X27" s="11">
        <f t="shared" si="37"/>
        <v>118613.7738054059</v>
      </c>
      <c r="Y27" s="11">
        <f t="shared" si="37"/>
        <v>125052.80724055649</v>
      </c>
      <c r="Z27" s="11">
        <f t="shared" si="37"/>
        <v>131739.65873883624</v>
      </c>
      <c r="AA27" s="11">
        <f t="shared" si="37"/>
        <v>138682.69480750459</v>
      </c>
      <c r="AB27" s="11">
        <f t="shared" si="37"/>
        <v>145890.54539289465</v>
      </c>
      <c r="AC27" s="26">
        <f t="shared" si="37"/>
        <v>153372.11182329952</v>
      </c>
      <c r="AE27" s="43" t="s">
        <v>28</v>
      </c>
      <c r="AF27" s="44">
        <f>SUM(AF25:BT25)</f>
        <v>257553.60253355096</v>
      </c>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6"/>
      <c r="BW27" s="24" t="s">
        <v>19</v>
      </c>
      <c r="CA27" s="11">
        <f t="shared" ref="CA27:CK27" si="38">CA26*MIN(1-0.05*(60-CA21),1)</f>
        <v>67395.402351934332</v>
      </c>
      <c r="CB27" s="11">
        <f t="shared" si="38"/>
        <v>76141.827901607598</v>
      </c>
      <c r="CC27" s="11">
        <f t="shared" si="38"/>
        <v>85598.151689387902</v>
      </c>
      <c r="CD27" s="11">
        <f t="shared" si="38"/>
        <v>95802.269588389361</v>
      </c>
      <c r="CE27" s="11">
        <f t="shared" si="38"/>
        <v>106793.72526591246</v>
      </c>
      <c r="CF27" s="11">
        <f t="shared" si="38"/>
        <v>118613.7738054059</v>
      </c>
      <c r="CG27" s="11">
        <f t="shared" si="38"/>
        <v>125052.80724055649</v>
      </c>
      <c r="CH27" s="11">
        <f t="shared" si="38"/>
        <v>131739.65873883624</v>
      </c>
      <c r="CI27" s="11">
        <f t="shared" si="38"/>
        <v>138682.69480750459</v>
      </c>
      <c r="CJ27" s="11">
        <f t="shared" si="38"/>
        <v>145890.54539289465</v>
      </c>
      <c r="CK27" s="26">
        <f t="shared" si="38"/>
        <v>153372.11182329952</v>
      </c>
      <c r="CN27" s="47" t="s">
        <v>34</v>
      </c>
      <c r="CO27" s="48"/>
      <c r="CP27" s="48"/>
      <c r="CQ27" s="48"/>
      <c r="CR27" s="48"/>
      <c r="CS27" s="49">
        <f>CS26*CS20</f>
        <v>99973.42642577985</v>
      </c>
      <c r="CT27" s="49">
        <f t="shared" ref="CT27:DB27" si="39">CT26*CT20</f>
        <v>105257.98911625893</v>
      </c>
      <c r="CU27" s="49">
        <f t="shared" si="39"/>
        <v>110526.61006002063</v>
      </c>
      <c r="CV27" s="49">
        <f t="shared" si="39"/>
        <v>115763.46269016012</v>
      </c>
      <c r="CW27" s="49">
        <f t="shared" si="39"/>
        <v>120950.19893177254</v>
      </c>
      <c r="CX27" s="49">
        <f t="shared" si="39"/>
        <v>59366.512693961937</v>
      </c>
      <c r="CY27" s="49">
        <f t="shared" si="39"/>
        <v>59795.775378526749</v>
      </c>
      <c r="CZ27" s="49">
        <f t="shared" si="39"/>
        <v>60173.496736212328</v>
      </c>
      <c r="DA27" s="49">
        <f t="shared" si="39"/>
        <v>60492.844818440448</v>
      </c>
      <c r="DB27" s="50">
        <f t="shared" si="39"/>
        <v>60737.321268068285</v>
      </c>
    </row>
    <row r="28" spans="3:106" x14ac:dyDescent="0.3">
      <c r="C28" s="17">
        <v>59</v>
      </c>
      <c r="D28" s="20">
        <v>14.238417</v>
      </c>
      <c r="E28" s="20">
        <v>11.759518999999999</v>
      </c>
      <c r="G28" s="17">
        <v>59</v>
      </c>
      <c r="H28" s="17">
        <v>9.0853190000000001</v>
      </c>
      <c r="I28" s="17">
        <v>6.8678739999999996</v>
      </c>
      <c r="J28" s="17"/>
      <c r="K28" s="17">
        <v>29</v>
      </c>
      <c r="L28" s="17">
        <v>0.87879600000000002</v>
      </c>
      <c r="M28" s="17"/>
      <c r="O28" s="24"/>
      <c r="AC28" s="25"/>
      <c r="BW28" s="24"/>
      <c r="CK28" s="25"/>
      <c r="CN28" s="22"/>
      <c r="CR28" s="11"/>
      <c r="CS28" s="11"/>
      <c r="CT28" s="11"/>
      <c r="CU28" s="11"/>
      <c r="CV28" s="11"/>
      <c r="CW28" s="11"/>
      <c r="CX28" s="11"/>
      <c r="CY28" s="11"/>
      <c r="CZ28" s="11"/>
      <c r="DA28" s="11"/>
      <c r="DB28" s="11"/>
    </row>
    <row r="29" spans="3:106" x14ac:dyDescent="0.3">
      <c r="C29" s="17">
        <v>60</v>
      </c>
      <c r="D29" s="20">
        <v>13.970582</v>
      </c>
      <c r="E29" s="20">
        <v>11.584268</v>
      </c>
      <c r="G29" s="17">
        <v>60</v>
      </c>
      <c r="H29" s="17">
        <v>9.5709780000000002</v>
      </c>
      <c r="I29" s="17">
        <v>7.372808</v>
      </c>
      <c r="J29" s="17"/>
      <c r="K29" s="17">
        <v>30</v>
      </c>
      <c r="L29" s="17">
        <v>0.94061300000000003</v>
      </c>
      <c r="M29" s="17"/>
      <c r="O29" s="24" t="s">
        <v>24</v>
      </c>
      <c r="S29" s="31">
        <f>S27/R23</f>
        <v>0.43911362284354544</v>
      </c>
      <c r="T29" s="31">
        <f t="shared" ref="T29:AC29" si="40">T27/S23</f>
        <v>0.48400079317866362</v>
      </c>
      <c r="U29" s="31">
        <f t="shared" si="40"/>
        <v>0.53083957961530837</v>
      </c>
      <c r="V29" s="31">
        <f t="shared" si="40"/>
        <v>0.57962998215348016</v>
      </c>
      <c r="W29" s="31">
        <f t="shared" si="40"/>
        <v>0.63037200079317868</v>
      </c>
      <c r="X29" s="31">
        <f t="shared" si="40"/>
        <v>0.68306563553440425</v>
      </c>
      <c r="Y29" s="31">
        <f t="shared" si="40"/>
        <v>0.7025817965496729</v>
      </c>
      <c r="Z29" s="31">
        <f t="shared" si="40"/>
        <v>0.72209795756494155</v>
      </c>
      <c r="AA29" s="31">
        <f t="shared" si="40"/>
        <v>0.74161411858021009</v>
      </c>
      <c r="AB29" s="31">
        <f t="shared" si="40"/>
        <v>0.76113027959547896</v>
      </c>
      <c r="AC29" s="32">
        <f t="shared" si="40"/>
        <v>0.78064644061074773</v>
      </c>
      <c r="BW29" s="24" t="s">
        <v>24</v>
      </c>
      <c r="CA29" s="31">
        <f>CA27/BZ23</f>
        <v>0.43911362284354544</v>
      </c>
      <c r="CB29" s="31">
        <f t="shared" ref="CB29:CK29" si="41">CB27/CA23</f>
        <v>0.48400079317866362</v>
      </c>
      <c r="CC29" s="31">
        <f t="shared" si="41"/>
        <v>0.53083957961530837</v>
      </c>
      <c r="CD29" s="31">
        <f t="shared" si="41"/>
        <v>0.57962998215348016</v>
      </c>
      <c r="CE29" s="31">
        <f t="shared" si="41"/>
        <v>0.63037200079317868</v>
      </c>
      <c r="CF29" s="31">
        <f t="shared" si="41"/>
        <v>0.68306563553440425</v>
      </c>
      <c r="CG29" s="31">
        <f t="shared" si="41"/>
        <v>0.7025817965496729</v>
      </c>
      <c r="CH29" s="31">
        <f t="shared" si="41"/>
        <v>0.72209795756494155</v>
      </c>
      <c r="CI29" s="31">
        <f t="shared" si="41"/>
        <v>0.74161411858021009</v>
      </c>
      <c r="CJ29" s="31">
        <f t="shared" si="41"/>
        <v>0.76113027959547896</v>
      </c>
      <c r="CK29" s="32">
        <f t="shared" si="41"/>
        <v>0.78064644061074773</v>
      </c>
      <c r="CR29" s="17"/>
      <c r="CS29" s="17"/>
      <c r="CT29" s="17"/>
      <c r="CU29" s="17"/>
      <c r="CV29" s="17"/>
      <c r="CW29" s="17"/>
      <c r="CX29" s="17"/>
      <c r="CY29" s="17"/>
      <c r="CZ29" s="17"/>
      <c r="DA29" s="17"/>
      <c r="DB29" s="17"/>
    </row>
    <row r="30" spans="3:106" x14ac:dyDescent="0.3">
      <c r="C30" s="17">
        <v>61</v>
      </c>
      <c r="D30" s="20">
        <v>13.695671000000001</v>
      </c>
      <c r="E30" s="20">
        <v>11.402202000000001</v>
      </c>
      <c r="G30" s="17">
        <v>61</v>
      </c>
      <c r="H30" s="17">
        <v>10.087759</v>
      </c>
      <c r="I30" s="17">
        <v>7.9189170000000004</v>
      </c>
      <c r="J30" s="17"/>
      <c r="K30" s="17">
        <v>31</v>
      </c>
      <c r="L30" s="17">
        <v>1.0067980000000001</v>
      </c>
      <c r="M30" s="17"/>
      <c r="O30" s="24"/>
      <c r="AC30" s="25"/>
      <c r="AE30" s="152" t="s">
        <v>35</v>
      </c>
      <c r="AF30" s="152"/>
      <c r="AG30" s="152"/>
      <c r="AH30" s="152"/>
      <c r="AI30" s="152"/>
      <c r="AJ30" s="152"/>
      <c r="AK30" s="152"/>
      <c r="AL30" s="152"/>
      <c r="AM30" s="152"/>
      <c r="AN30" s="152"/>
      <c r="AO30" s="152"/>
      <c r="AP30" s="152"/>
      <c r="AQ30" s="152"/>
      <c r="AR30" s="152"/>
      <c r="BW30" s="24"/>
      <c r="CK30" s="25"/>
      <c r="CN30" s="152" t="s">
        <v>36</v>
      </c>
      <c r="CO30" s="152"/>
      <c r="CP30" s="152"/>
      <c r="CQ30" s="152"/>
      <c r="CR30" s="152"/>
      <c r="CS30" s="152"/>
      <c r="CT30" s="152"/>
      <c r="CU30" s="152"/>
      <c r="CV30" s="152"/>
      <c r="CW30" s="152"/>
      <c r="CX30" s="152"/>
      <c r="CY30" s="152"/>
      <c r="CZ30" s="152"/>
      <c r="DA30" s="152"/>
      <c r="DB30" s="152"/>
    </row>
    <row r="31" spans="3:106" x14ac:dyDescent="0.3">
      <c r="C31" s="17">
        <v>62</v>
      </c>
      <c r="D31" s="20">
        <v>13.413436000000001</v>
      </c>
      <c r="E31" s="20">
        <v>11.212975999999999</v>
      </c>
      <c r="G31" s="17">
        <v>62</v>
      </c>
      <c r="H31" s="17">
        <v>10.638211</v>
      </c>
      <c r="I31" s="17">
        <v>8.5100899999999999</v>
      </c>
      <c r="J31" s="17"/>
      <c r="K31" s="17">
        <v>32</v>
      </c>
      <c r="L31" s="17">
        <v>1.0776509999999999</v>
      </c>
      <c r="M31" s="17"/>
      <c r="O31" s="24"/>
      <c r="AC31" s="25"/>
      <c r="AE31" s="152"/>
      <c r="AF31" s="152"/>
      <c r="AG31" s="152"/>
      <c r="AH31" s="152"/>
      <c r="AI31" s="152"/>
      <c r="AJ31" s="152"/>
      <c r="AK31" s="152"/>
      <c r="AL31" s="152"/>
      <c r="AM31" s="152"/>
      <c r="AN31" s="152"/>
      <c r="AO31" s="152"/>
      <c r="AP31" s="152"/>
      <c r="AQ31" s="152"/>
      <c r="AR31" s="152"/>
      <c r="BW31" s="24"/>
      <c r="CK31" s="25"/>
      <c r="CN31" s="152"/>
      <c r="CO31" s="152"/>
      <c r="CP31" s="152"/>
      <c r="CQ31" s="152"/>
      <c r="CR31" s="152"/>
      <c r="CS31" s="152"/>
      <c r="CT31" s="152"/>
      <c r="CU31" s="152"/>
      <c r="CV31" s="152"/>
      <c r="CW31" s="152"/>
      <c r="CX31" s="152"/>
      <c r="CY31" s="152"/>
      <c r="CZ31" s="152"/>
      <c r="DA31" s="152"/>
      <c r="DB31" s="152"/>
    </row>
    <row r="32" spans="3:106" x14ac:dyDescent="0.3">
      <c r="C32" s="17">
        <v>63</v>
      </c>
      <c r="D32" s="20">
        <v>13.126579</v>
      </c>
      <c r="E32" s="20">
        <v>11.01873</v>
      </c>
      <c r="G32" s="17">
        <v>63</v>
      </c>
      <c r="H32" s="17">
        <v>11.227606</v>
      </c>
      <c r="I32" s="17">
        <v>9.1526580000000006</v>
      </c>
      <c r="J32" s="17"/>
      <c r="K32" s="17">
        <v>33</v>
      </c>
      <c r="L32" s="17">
        <v>1.153513</v>
      </c>
      <c r="M32" s="17"/>
      <c r="O32" s="24"/>
      <c r="AC32" s="25"/>
      <c r="AE32" s="152"/>
      <c r="AF32" s="152"/>
      <c r="AG32" s="152"/>
      <c r="AH32" s="152"/>
      <c r="AI32" s="152"/>
      <c r="AJ32" s="152"/>
      <c r="AK32" s="152"/>
      <c r="AL32" s="152"/>
      <c r="AM32" s="152"/>
      <c r="AN32" s="152"/>
      <c r="AO32" s="152"/>
      <c r="AP32" s="152"/>
      <c r="AQ32" s="152"/>
      <c r="AR32" s="152"/>
      <c r="BW32" s="24"/>
      <c r="CK32" s="25"/>
      <c r="CN32" s="152"/>
      <c r="CO32" s="152"/>
      <c r="CP32" s="152"/>
      <c r="CQ32" s="152"/>
      <c r="CR32" s="152"/>
      <c r="CS32" s="152"/>
      <c r="CT32" s="152"/>
      <c r="CU32" s="152"/>
      <c r="CV32" s="152"/>
      <c r="CW32" s="152"/>
      <c r="CX32" s="152"/>
      <c r="CY32" s="152"/>
      <c r="CZ32" s="152"/>
      <c r="DA32" s="152"/>
      <c r="DB32" s="152"/>
    </row>
    <row r="33" spans="3:106" x14ac:dyDescent="0.3">
      <c r="C33" s="17">
        <v>64</v>
      </c>
      <c r="D33" s="20">
        <v>12.834384999999999</v>
      </c>
      <c r="E33" s="20">
        <v>10.818771999999999</v>
      </c>
      <c r="G33" s="17">
        <v>64</v>
      </c>
      <c r="H33" s="17">
        <v>11.859074</v>
      </c>
      <c r="I33" s="17">
        <v>9.8515669999999993</v>
      </c>
      <c r="J33" s="17"/>
      <c r="K33" s="17">
        <v>34</v>
      </c>
      <c r="L33" s="17">
        <v>1.234753</v>
      </c>
      <c r="M33" s="17"/>
      <c r="O33" s="35" t="s">
        <v>30</v>
      </c>
      <c r="AC33" s="25"/>
      <c r="AE33" s="152"/>
      <c r="AF33" s="152"/>
      <c r="AG33" s="152"/>
      <c r="AH33" s="152"/>
      <c r="AI33" s="152"/>
      <c r="AJ33" s="152"/>
      <c r="AK33" s="152"/>
      <c r="AL33" s="152"/>
      <c r="AM33" s="152"/>
      <c r="AN33" s="152"/>
      <c r="AO33" s="152"/>
      <c r="AP33" s="152"/>
      <c r="AQ33" s="152"/>
      <c r="AR33" s="152"/>
      <c r="BW33" s="35" t="s">
        <v>30</v>
      </c>
      <c r="CK33" s="25"/>
      <c r="CN33" s="152"/>
      <c r="CO33" s="152"/>
      <c r="CP33" s="152"/>
      <c r="CQ33" s="152"/>
      <c r="CR33" s="152"/>
      <c r="CS33" s="152"/>
      <c r="CT33" s="152"/>
      <c r="CU33" s="152"/>
      <c r="CV33" s="152"/>
      <c r="CW33" s="152"/>
      <c r="CX33" s="152"/>
      <c r="CY33" s="152"/>
      <c r="CZ33" s="152"/>
      <c r="DA33" s="152"/>
      <c r="DB33" s="152"/>
    </row>
    <row r="34" spans="3:106" x14ac:dyDescent="0.3">
      <c r="C34" s="17">
        <v>65</v>
      </c>
      <c r="D34" s="20">
        <v>12.534252</v>
      </c>
      <c r="E34" s="20">
        <v>10.610783</v>
      </c>
      <c r="G34" s="17">
        <v>65</v>
      </c>
      <c r="H34" s="17">
        <v>12.534252</v>
      </c>
      <c r="I34" s="17">
        <v>10.610783</v>
      </c>
      <c r="J34" s="17"/>
      <c r="K34" s="17">
        <v>35</v>
      </c>
      <c r="L34" s="17">
        <v>1.3217410000000001</v>
      </c>
      <c r="M34" s="17"/>
      <c r="O34" s="24" t="s">
        <v>37</v>
      </c>
      <c r="S34">
        <v>55</v>
      </c>
      <c r="T34">
        <v>56</v>
      </c>
      <c r="U34">
        <v>57</v>
      </c>
      <c r="V34">
        <v>58</v>
      </c>
      <c r="W34">
        <v>59</v>
      </c>
      <c r="X34">
        <v>60</v>
      </c>
      <c r="Y34">
        <v>61</v>
      </c>
      <c r="Z34">
        <v>62</v>
      </c>
      <c r="AA34">
        <v>63</v>
      </c>
      <c r="AB34">
        <v>64</v>
      </c>
      <c r="AC34" s="25">
        <v>65</v>
      </c>
      <c r="AE34" s="152"/>
      <c r="AF34" s="152"/>
      <c r="AG34" s="152"/>
      <c r="AH34" s="152"/>
      <c r="AI34" s="152"/>
      <c r="AJ34" s="152"/>
      <c r="AK34" s="152"/>
      <c r="AL34" s="152"/>
      <c r="AM34" s="152"/>
      <c r="AN34" s="152"/>
      <c r="AO34" s="152"/>
      <c r="AP34" s="152"/>
      <c r="AQ34" s="152"/>
      <c r="AR34" s="152"/>
      <c r="BW34" s="24" t="s">
        <v>37</v>
      </c>
      <c r="CA34">
        <v>55</v>
      </c>
      <c r="CB34">
        <v>56</v>
      </c>
      <c r="CC34">
        <v>57</v>
      </c>
      <c r="CD34">
        <v>58</v>
      </c>
      <c r="CE34">
        <v>59</v>
      </c>
      <c r="CF34">
        <v>60</v>
      </c>
      <c r="CG34">
        <v>61</v>
      </c>
      <c r="CH34">
        <v>62</v>
      </c>
      <c r="CI34">
        <v>63</v>
      </c>
      <c r="CJ34">
        <v>64</v>
      </c>
      <c r="CK34" s="25">
        <v>65</v>
      </c>
      <c r="CN34" s="152"/>
      <c r="CO34" s="152"/>
      <c r="CP34" s="152"/>
      <c r="CQ34" s="152"/>
      <c r="CR34" s="152"/>
      <c r="CS34" s="152"/>
      <c r="CT34" s="152"/>
      <c r="CU34" s="152"/>
      <c r="CV34" s="152"/>
      <c r="CW34" s="152"/>
      <c r="CX34" s="152"/>
      <c r="CY34" s="152"/>
      <c r="CZ34" s="152"/>
      <c r="DA34" s="152"/>
      <c r="DB34" s="152"/>
    </row>
    <row r="35" spans="3:106" x14ac:dyDescent="0.3">
      <c r="K35" s="17">
        <v>36</v>
      </c>
      <c r="L35" s="17">
        <v>1.4148860000000001</v>
      </c>
      <c r="O35" s="24" t="s">
        <v>38</v>
      </c>
      <c r="S35" s="20">
        <v>15.235161</v>
      </c>
      <c r="T35" s="20">
        <v>14.996418</v>
      </c>
      <c r="U35" s="20">
        <v>14.7514</v>
      </c>
      <c r="V35" s="20">
        <v>14.498680999999999</v>
      </c>
      <c r="W35" s="20">
        <v>14.238417</v>
      </c>
      <c r="X35" s="20">
        <v>13.970582</v>
      </c>
      <c r="Y35" s="20">
        <v>13.695671000000001</v>
      </c>
      <c r="Z35" s="20">
        <v>13.413436000000001</v>
      </c>
      <c r="AA35" s="20">
        <v>13.126579</v>
      </c>
      <c r="AB35" s="20">
        <v>12.834384999999999</v>
      </c>
      <c r="AC35" s="36">
        <v>12.534252</v>
      </c>
      <c r="AE35" s="152"/>
      <c r="AF35" s="152"/>
      <c r="AG35" s="152"/>
      <c r="AH35" s="152"/>
      <c r="AI35" s="152"/>
      <c r="AJ35" s="152"/>
      <c r="AK35" s="152"/>
      <c r="AL35" s="152"/>
      <c r="AM35" s="152"/>
      <c r="AN35" s="152"/>
      <c r="AO35" s="152"/>
      <c r="AP35" s="152"/>
      <c r="AQ35" s="152"/>
      <c r="AR35" s="152"/>
      <c r="BW35" s="24" t="s">
        <v>38</v>
      </c>
      <c r="CA35" s="20">
        <v>15.235161</v>
      </c>
      <c r="CB35" s="20">
        <v>14.996418</v>
      </c>
      <c r="CC35" s="20">
        <v>14.7514</v>
      </c>
      <c r="CD35" s="20">
        <v>14.498680999999999</v>
      </c>
      <c r="CE35" s="20">
        <v>14.238417</v>
      </c>
      <c r="CF35" s="20">
        <v>13.970582</v>
      </c>
      <c r="CG35" s="20">
        <v>13.695671000000001</v>
      </c>
      <c r="CH35" s="20">
        <v>13.413436000000001</v>
      </c>
      <c r="CI35" s="20">
        <v>13.126579</v>
      </c>
      <c r="CJ35" s="20">
        <v>12.834384999999999</v>
      </c>
      <c r="CK35" s="36">
        <v>12.534252</v>
      </c>
      <c r="CN35" s="152"/>
      <c r="CO35" s="152"/>
      <c r="CP35" s="152"/>
      <c r="CQ35" s="152"/>
      <c r="CR35" s="152"/>
      <c r="CS35" s="152"/>
      <c r="CT35" s="152"/>
      <c r="CU35" s="152"/>
      <c r="CV35" s="152"/>
      <c r="CW35" s="152"/>
      <c r="CX35" s="152"/>
      <c r="CY35" s="152"/>
      <c r="CZ35" s="152"/>
      <c r="DA35" s="152"/>
      <c r="DB35" s="152"/>
    </row>
    <row r="36" spans="3:106" x14ac:dyDescent="0.3">
      <c r="K36" s="17">
        <v>37</v>
      </c>
      <c r="L36" s="17">
        <v>1.5146390000000001</v>
      </c>
      <c r="O36" s="24" t="s">
        <v>39</v>
      </c>
      <c r="S36" s="3">
        <f>$D$10*0.06*(1+$D$21)^(S34-$D$9-1)*PV(((1+$D$21)/(1+$D$13)-1),S34-$D$9,-1,,1)</f>
        <v>365419.69547029206</v>
      </c>
      <c r="T36" s="3">
        <f t="shared" ref="T36:AC36" si="42">$D$10*0.06*(1+$D$21)^(T34-$D$9-1)*PV(((1+$D$21)/(1+$D$13)-1),T34-$D$9,-1,,1)</f>
        <v>391263.28082920011</v>
      </c>
      <c r="U36" s="3">
        <f t="shared" si="42"/>
        <v>418531.56596629816</v>
      </c>
      <c r="V36" s="3">
        <f t="shared" si="42"/>
        <v>447298.10497942456</v>
      </c>
      <c r="W36" s="3">
        <f t="shared" si="42"/>
        <v>477640.1702557166</v>
      </c>
      <c r="X36" s="3">
        <f t="shared" si="42"/>
        <v>509638.93909630139</v>
      </c>
      <c r="Y36" s="3">
        <f t="shared" si="42"/>
        <v>543379.68968465191</v>
      </c>
      <c r="Z36" s="3">
        <f>$D$10*0.06*(1+$D$21)^(Z34-$D$9-1)*PV(((1+$D$21)/(1+$D$13)-1),Z34-$D$9,-1,,1)</f>
        <v>578952.00686600665</v>
      </c>
      <c r="AA36" s="3">
        <f t="shared" si="42"/>
        <v>616449.998228629</v>
      </c>
      <c r="AB36" s="3">
        <f t="shared" si="42"/>
        <v>655972.52100222046</v>
      </c>
      <c r="AC36" s="51">
        <f t="shared" si="42"/>
        <v>697623.42031457939</v>
      </c>
      <c r="AE36" s="152"/>
      <c r="AF36" s="152"/>
      <c r="AG36" s="152"/>
      <c r="AH36" s="152"/>
      <c r="AI36" s="152"/>
      <c r="AJ36" s="152"/>
      <c r="AK36" s="152"/>
      <c r="AL36" s="152"/>
      <c r="AM36" s="152"/>
      <c r="AN36" s="152"/>
      <c r="AO36" s="152"/>
      <c r="AP36" s="152"/>
      <c r="AQ36" s="152"/>
      <c r="AR36" s="152"/>
      <c r="BW36" s="24" t="s">
        <v>39</v>
      </c>
      <c r="CA36" s="3">
        <f>$D$10*0.12*(1+$D$21)^(CA34-$D$9-1)*PV(((1+$D$21)/(1+$D$13)-1),CA34-$D$9,-1,,1)</f>
        <v>730839.39094058413</v>
      </c>
      <c r="CB36" s="3">
        <f t="shared" ref="CB36:CK36" si="43">$D$10*0.12*(1+$D$21)^(CB34-$D$9-1)*PV(((1+$D$21)/(1+$D$13)-1),CB34-$D$9,-1,,1)</f>
        <v>782526.56165840023</v>
      </c>
      <c r="CC36" s="3">
        <f t="shared" si="43"/>
        <v>837063.13193259633</v>
      </c>
      <c r="CD36" s="3">
        <f t="shared" si="43"/>
        <v>894596.20995884913</v>
      </c>
      <c r="CE36" s="3">
        <f t="shared" si="43"/>
        <v>955280.3405114332</v>
      </c>
      <c r="CF36" s="3">
        <f t="shared" si="43"/>
        <v>1019277.8781926028</v>
      </c>
      <c r="CG36" s="3">
        <f t="shared" si="43"/>
        <v>1086759.3793693038</v>
      </c>
      <c r="CH36" s="3">
        <f t="shared" si="43"/>
        <v>1157904.0137320133</v>
      </c>
      <c r="CI36" s="3">
        <f t="shared" si="43"/>
        <v>1232899.996457258</v>
      </c>
      <c r="CJ36" s="3">
        <f t="shared" si="43"/>
        <v>1311945.0420044409</v>
      </c>
      <c r="CK36" s="51">
        <f t="shared" si="43"/>
        <v>1395246.8406291588</v>
      </c>
      <c r="CN36" s="152"/>
      <c r="CO36" s="152"/>
      <c r="CP36" s="152"/>
      <c r="CQ36" s="152"/>
      <c r="CR36" s="152"/>
      <c r="CS36" s="152"/>
      <c r="CT36" s="152"/>
      <c r="CU36" s="152"/>
      <c r="CV36" s="152"/>
      <c r="CW36" s="152"/>
      <c r="CX36" s="152"/>
      <c r="CY36" s="152"/>
      <c r="CZ36" s="152"/>
      <c r="DA36" s="152"/>
      <c r="DB36" s="152"/>
    </row>
    <row r="37" spans="3:106" x14ac:dyDescent="0.3">
      <c r="K37" s="17">
        <v>38</v>
      </c>
      <c r="L37" s="17">
        <v>1.621459</v>
      </c>
      <c r="O37" s="24" t="s">
        <v>40</v>
      </c>
      <c r="S37" s="3">
        <f>S36/S35</f>
        <v>23985.286106939864</v>
      </c>
      <c r="T37" s="3">
        <f t="shared" ref="T37:AC37" si="44">T36/T35</f>
        <v>26090.449121196816</v>
      </c>
      <c r="U37" s="3">
        <f t="shared" si="44"/>
        <v>28372.328454675364</v>
      </c>
      <c r="V37" s="3">
        <f t="shared" si="44"/>
        <v>30850.951543759365</v>
      </c>
      <c r="W37" s="3">
        <f t="shared" si="44"/>
        <v>33545.875939419151</v>
      </c>
      <c r="X37" s="3">
        <f t="shared" si="44"/>
        <v>36479.435079819967</v>
      </c>
      <c r="Y37" s="3">
        <f t="shared" si="44"/>
        <v>39675.287883642348</v>
      </c>
      <c r="Z37" s="3">
        <f t="shared" si="44"/>
        <v>43162.095593254897</v>
      </c>
      <c r="AA37" s="3">
        <f t="shared" si="44"/>
        <v>46961.96916413858</v>
      </c>
      <c r="AB37" s="3">
        <f t="shared" si="44"/>
        <v>51110.553485984761</v>
      </c>
      <c r="AC37" s="51">
        <f t="shared" si="44"/>
        <v>55657.36354387796</v>
      </c>
      <c r="AE37" s="152"/>
      <c r="AF37" s="152"/>
      <c r="AG37" s="152"/>
      <c r="AH37" s="152"/>
      <c r="AI37" s="152"/>
      <c r="AJ37" s="152"/>
      <c r="AK37" s="152"/>
      <c r="AL37" s="152"/>
      <c r="AM37" s="152"/>
      <c r="AN37" s="152"/>
      <c r="AO37" s="152"/>
      <c r="AP37" s="152"/>
      <c r="AQ37" s="152"/>
      <c r="AR37" s="152"/>
      <c r="BW37" s="24" t="s">
        <v>40</v>
      </c>
      <c r="CA37" s="3">
        <f t="shared" ref="CA37:CK37" si="45">CA36/CA35</f>
        <v>47970.572213879728</v>
      </c>
      <c r="CB37" s="3">
        <f t="shared" si="45"/>
        <v>52180.898242393632</v>
      </c>
      <c r="CC37" s="3">
        <f t="shared" si="45"/>
        <v>56744.656909350728</v>
      </c>
      <c r="CD37" s="3">
        <f t="shared" si="45"/>
        <v>61701.903087518731</v>
      </c>
      <c r="CE37" s="3">
        <f t="shared" si="45"/>
        <v>67091.751878838302</v>
      </c>
      <c r="CF37" s="3">
        <f t="shared" si="45"/>
        <v>72958.870159639933</v>
      </c>
      <c r="CG37" s="3">
        <f t="shared" si="45"/>
        <v>79350.575767284696</v>
      </c>
      <c r="CH37" s="3">
        <f t="shared" si="45"/>
        <v>86324.191186509794</v>
      </c>
      <c r="CI37" s="3">
        <f t="shared" si="45"/>
        <v>93923.93832827716</v>
      </c>
      <c r="CJ37" s="3">
        <f t="shared" si="45"/>
        <v>102221.10697196952</v>
      </c>
      <c r="CK37" s="51">
        <f t="shared" si="45"/>
        <v>111314.72708775592</v>
      </c>
      <c r="CN37" s="152"/>
      <c r="CO37" s="152"/>
      <c r="CP37" s="152"/>
      <c r="CQ37" s="152"/>
      <c r="CR37" s="152"/>
      <c r="CS37" s="152"/>
      <c r="CT37" s="152"/>
      <c r="CU37" s="152"/>
      <c r="CV37" s="152"/>
      <c r="CW37" s="152"/>
      <c r="CX37" s="152"/>
      <c r="CY37" s="152"/>
      <c r="CZ37" s="152"/>
      <c r="DA37" s="152"/>
      <c r="DB37" s="152"/>
    </row>
    <row r="38" spans="3:106" x14ac:dyDescent="0.3">
      <c r="K38" s="17">
        <v>39</v>
      </c>
      <c r="L38" s="17">
        <v>1.735846</v>
      </c>
      <c r="O38" s="24"/>
      <c r="S38" s="52"/>
      <c r="AC38" s="25"/>
      <c r="AE38" s="152"/>
      <c r="AF38" s="152"/>
      <c r="AG38" s="152"/>
      <c r="AH38" s="152"/>
      <c r="AI38" s="152"/>
      <c r="AJ38" s="152"/>
      <c r="AK38" s="152"/>
      <c r="AL38" s="152"/>
      <c r="AM38" s="152"/>
      <c r="AN38" s="152"/>
      <c r="AO38" s="152"/>
      <c r="AP38" s="152"/>
      <c r="AQ38" s="152"/>
      <c r="AR38" s="152"/>
      <c r="BW38" s="24"/>
      <c r="CA38" s="52"/>
      <c r="CK38" s="25"/>
      <c r="CN38" s="152"/>
      <c r="CO38" s="152"/>
      <c r="CP38" s="152"/>
      <c r="CQ38" s="152"/>
      <c r="CR38" s="152"/>
      <c r="CS38" s="152"/>
      <c r="CT38" s="152"/>
      <c r="CU38" s="152"/>
      <c r="CV38" s="152"/>
      <c r="CW38" s="152"/>
      <c r="CX38" s="152"/>
      <c r="CY38" s="152"/>
      <c r="CZ38" s="152"/>
      <c r="DA38" s="152"/>
      <c r="DB38" s="152"/>
    </row>
    <row r="39" spans="3:106" x14ac:dyDescent="0.3">
      <c r="K39" s="17">
        <v>40</v>
      </c>
      <c r="L39" s="17">
        <v>1.8583590000000001</v>
      </c>
      <c r="O39" s="24" t="s">
        <v>24</v>
      </c>
      <c r="S39" s="31">
        <f>S37/R11</f>
        <v>0.19336840763173335</v>
      </c>
      <c r="T39" s="31">
        <f t="shared" ref="T39:AB39" si="46">T37/S11</f>
        <v>0.20672250300528128</v>
      </c>
      <c r="U39" s="31">
        <f t="shared" si="46"/>
        <v>0.22093613924436095</v>
      </c>
      <c r="V39" s="31">
        <f t="shared" si="46"/>
        <v>0.23610540409066941</v>
      </c>
      <c r="W39" s="31">
        <f t="shared" si="46"/>
        <v>0.25231442637125506</v>
      </c>
      <c r="X39" s="31">
        <f t="shared" si="46"/>
        <v>0.26966006342369692</v>
      </c>
      <c r="Y39" s="31">
        <f t="shared" si="46"/>
        <v>0.28823996533254581</v>
      </c>
      <c r="Z39" s="31">
        <f t="shared" si="46"/>
        <v>0.30817841312913319</v>
      </c>
      <c r="AA39" s="31">
        <f t="shared" si="46"/>
        <v>0.32954260728906182</v>
      </c>
      <c r="AB39" s="31">
        <f t="shared" si="46"/>
        <v>0.35248564949146671</v>
      </c>
      <c r="AC39" s="32">
        <f>AC37/AB11</f>
        <v>0.37724115757636545</v>
      </c>
      <c r="AE39" s="152"/>
      <c r="AF39" s="152"/>
      <c r="AG39" s="152"/>
      <c r="AH39" s="152"/>
      <c r="AI39" s="152"/>
      <c r="AJ39" s="152"/>
      <c r="AK39" s="152"/>
      <c r="AL39" s="152"/>
      <c r="AM39" s="152"/>
      <c r="AN39" s="152"/>
      <c r="AO39" s="152"/>
      <c r="AP39" s="152"/>
      <c r="AQ39" s="152"/>
      <c r="AR39" s="152"/>
      <c r="BW39" s="24" t="s">
        <v>24</v>
      </c>
      <c r="CA39" s="31">
        <f>CA37/BZ11</f>
        <v>0.3867368152634667</v>
      </c>
      <c r="CB39" s="31">
        <f t="shared" ref="CB39:CK39" si="47">CB37/CA11</f>
        <v>0.41344500601056255</v>
      </c>
      <c r="CC39" s="31">
        <f t="shared" si="47"/>
        <v>0.4418722784887219</v>
      </c>
      <c r="CD39" s="31">
        <f t="shared" si="47"/>
        <v>0.47221080818133881</v>
      </c>
      <c r="CE39" s="31">
        <f t="shared" si="47"/>
        <v>0.50462885274251013</v>
      </c>
      <c r="CF39" s="31">
        <f t="shared" si="47"/>
        <v>0.53932012684739383</v>
      </c>
      <c r="CG39" s="31">
        <f t="shared" si="47"/>
        <v>0.57647993066509162</v>
      </c>
      <c r="CH39" s="31">
        <f t="shared" si="47"/>
        <v>0.61635682625826638</v>
      </c>
      <c r="CI39" s="31">
        <f t="shared" si="47"/>
        <v>0.65908521457812363</v>
      </c>
      <c r="CJ39" s="31">
        <f t="shared" si="47"/>
        <v>0.70497129898293343</v>
      </c>
      <c r="CK39" s="32">
        <f t="shared" si="47"/>
        <v>0.7544823151527309</v>
      </c>
      <c r="CN39" s="152"/>
      <c r="CO39" s="152"/>
      <c r="CP39" s="152"/>
      <c r="CQ39" s="152"/>
      <c r="CR39" s="152"/>
      <c r="CS39" s="152"/>
      <c r="CT39" s="152"/>
      <c r="CU39" s="152"/>
      <c r="CV39" s="152"/>
      <c r="CW39" s="152"/>
      <c r="CX39" s="152"/>
      <c r="CY39" s="152"/>
      <c r="CZ39" s="152"/>
      <c r="DA39" s="152"/>
      <c r="DB39" s="152"/>
    </row>
    <row r="40" spans="3:106" x14ac:dyDescent="0.3">
      <c r="K40" s="17">
        <v>41</v>
      </c>
      <c r="L40" s="17">
        <v>1.9895579999999999</v>
      </c>
      <c r="O40" s="24"/>
      <c r="S40" s="3"/>
      <c r="T40" s="3"/>
      <c r="U40" s="3"/>
      <c r="V40" s="3"/>
      <c r="W40" s="3"/>
      <c r="X40" s="3"/>
      <c r="Y40" s="3"/>
      <c r="Z40" s="3"/>
      <c r="AA40" s="3"/>
      <c r="AB40" s="3"/>
      <c r="AC40" s="51"/>
      <c r="AE40" s="152"/>
      <c r="AF40" s="152"/>
      <c r="AG40" s="152"/>
      <c r="AH40" s="152"/>
      <c r="AI40" s="152"/>
      <c r="AJ40" s="152"/>
      <c r="AK40" s="152"/>
      <c r="AL40" s="152"/>
      <c r="AM40" s="152"/>
      <c r="AN40" s="152"/>
      <c r="AO40" s="152"/>
      <c r="AP40" s="152"/>
      <c r="AQ40" s="152"/>
      <c r="AR40" s="152"/>
      <c r="BW40" s="24"/>
      <c r="CA40" s="3"/>
      <c r="CB40" s="3"/>
      <c r="CC40" s="3"/>
      <c r="CD40" s="3"/>
      <c r="CE40" s="3"/>
      <c r="CF40" s="3"/>
      <c r="CG40" s="3"/>
      <c r="CH40" s="3"/>
      <c r="CI40" s="3"/>
      <c r="CJ40" s="3"/>
      <c r="CK40" s="51"/>
      <c r="CN40" s="152"/>
      <c r="CO40" s="152"/>
      <c r="CP40" s="152"/>
      <c r="CQ40" s="152"/>
      <c r="CR40" s="152"/>
      <c r="CS40" s="152"/>
      <c r="CT40" s="152"/>
      <c r="CU40" s="152"/>
      <c r="CV40" s="152"/>
      <c r="CW40" s="152"/>
      <c r="CX40" s="152"/>
      <c r="CY40" s="152"/>
      <c r="CZ40" s="152"/>
      <c r="DA40" s="152"/>
      <c r="DB40" s="152"/>
    </row>
    <row r="41" spans="3:106" x14ac:dyDescent="0.3">
      <c r="K41" s="17">
        <v>42</v>
      </c>
      <c r="L41" s="17">
        <v>2.1300409999999999</v>
      </c>
      <c r="O41" s="24"/>
      <c r="AC41" s="25"/>
      <c r="AE41" s="152"/>
      <c r="AF41" s="152"/>
      <c r="AG41" s="152"/>
      <c r="AH41" s="152"/>
      <c r="AI41" s="152"/>
      <c r="AJ41" s="152"/>
      <c r="AK41" s="152"/>
      <c r="AL41" s="152"/>
      <c r="AM41" s="152"/>
      <c r="AN41" s="152"/>
      <c r="AO41" s="152"/>
      <c r="AP41" s="152"/>
      <c r="AQ41" s="152"/>
      <c r="AR41" s="152"/>
      <c r="BW41" s="24"/>
      <c r="CK41" s="25"/>
      <c r="CN41" s="152"/>
      <c r="CO41" s="152"/>
      <c r="CP41" s="152"/>
      <c r="CQ41" s="152"/>
      <c r="CR41" s="152"/>
      <c r="CS41" s="152"/>
      <c r="CT41" s="152"/>
      <c r="CU41" s="152"/>
      <c r="CV41" s="152"/>
      <c r="CW41" s="152"/>
      <c r="CX41" s="152"/>
      <c r="CY41" s="152"/>
      <c r="CZ41" s="152"/>
      <c r="DA41" s="152"/>
      <c r="DB41" s="152"/>
    </row>
    <row r="42" spans="3:106" x14ac:dyDescent="0.3">
      <c r="K42" s="17">
        <v>43</v>
      </c>
      <c r="L42" s="17">
        <v>2.2804899999999999</v>
      </c>
      <c r="O42" s="35" t="s">
        <v>41</v>
      </c>
      <c r="AC42" s="25"/>
      <c r="AE42" s="152"/>
      <c r="AF42" s="152"/>
      <c r="AG42" s="152"/>
      <c r="AH42" s="152"/>
      <c r="AI42" s="152"/>
      <c r="AJ42" s="152"/>
      <c r="AK42" s="152"/>
      <c r="AL42" s="152"/>
      <c r="AM42" s="152"/>
      <c r="AN42" s="152"/>
      <c r="AO42" s="152"/>
      <c r="AP42" s="152"/>
      <c r="AQ42" s="152"/>
      <c r="AR42" s="152"/>
      <c r="BW42" s="35" t="s">
        <v>42</v>
      </c>
      <c r="CK42" s="25"/>
      <c r="CN42" s="152"/>
      <c r="CO42" s="152"/>
      <c r="CP42" s="152"/>
      <c r="CQ42" s="152"/>
      <c r="CR42" s="152"/>
      <c r="CS42" s="152"/>
      <c r="CT42" s="152"/>
      <c r="CU42" s="152"/>
      <c r="CV42" s="152"/>
      <c r="CW42" s="152"/>
      <c r="CX42" s="152"/>
      <c r="CY42" s="152"/>
      <c r="CZ42" s="152"/>
      <c r="DA42" s="152"/>
      <c r="DB42" s="152"/>
    </row>
    <row r="43" spans="3:106" x14ac:dyDescent="0.3">
      <c r="K43" s="17">
        <v>44</v>
      </c>
      <c r="L43" s="17">
        <v>2.4416129999999998</v>
      </c>
      <c r="O43" s="24" t="s">
        <v>37</v>
      </c>
      <c r="S43">
        <v>55</v>
      </c>
      <c r="T43">
        <v>56</v>
      </c>
      <c r="U43">
        <v>57</v>
      </c>
      <c r="V43">
        <v>58</v>
      </c>
      <c r="W43">
        <v>59</v>
      </c>
      <c r="X43">
        <v>60</v>
      </c>
      <c r="Y43">
        <v>61</v>
      </c>
      <c r="Z43">
        <v>62</v>
      </c>
      <c r="AA43">
        <v>63</v>
      </c>
      <c r="AB43">
        <v>64</v>
      </c>
      <c r="AC43" s="25">
        <v>65</v>
      </c>
      <c r="AE43" s="152"/>
      <c r="AF43" s="152"/>
      <c r="AG43" s="152"/>
      <c r="AH43" s="152"/>
      <c r="AI43" s="152"/>
      <c r="AJ43" s="152"/>
      <c r="AK43" s="152"/>
      <c r="AL43" s="152"/>
      <c r="AM43" s="152"/>
      <c r="AN43" s="152"/>
      <c r="AO43" s="152"/>
      <c r="AP43" s="152"/>
      <c r="AQ43" s="152"/>
      <c r="AR43" s="152"/>
      <c r="BW43" s="24" t="s">
        <v>37</v>
      </c>
      <c r="CA43">
        <v>55</v>
      </c>
      <c r="CB43">
        <v>56</v>
      </c>
      <c r="CC43">
        <v>57</v>
      </c>
      <c r="CD43">
        <v>58</v>
      </c>
      <c r="CE43">
        <v>59</v>
      </c>
      <c r="CF43">
        <v>60</v>
      </c>
      <c r="CG43">
        <v>61</v>
      </c>
      <c r="CH43">
        <v>62</v>
      </c>
      <c r="CI43">
        <v>63</v>
      </c>
      <c r="CJ43">
        <v>64</v>
      </c>
      <c r="CK43" s="25">
        <v>65</v>
      </c>
      <c r="CN43" s="152"/>
      <c r="CO43" s="152"/>
      <c r="CP43" s="152"/>
      <c r="CQ43" s="152"/>
      <c r="CR43" s="152"/>
      <c r="CS43" s="152"/>
      <c r="CT43" s="152"/>
      <c r="CU43" s="152"/>
      <c r="CV43" s="152"/>
      <c r="CW43" s="152"/>
      <c r="CX43" s="152"/>
      <c r="CY43" s="152"/>
      <c r="CZ43" s="152"/>
      <c r="DA43" s="152"/>
      <c r="DB43" s="152"/>
    </row>
    <row r="44" spans="3:106" x14ac:dyDescent="0.3">
      <c r="K44" s="17">
        <v>45</v>
      </c>
      <c r="L44" s="17">
        <v>2.6141730000000001</v>
      </c>
      <c r="O44" s="24" t="s">
        <v>38</v>
      </c>
      <c r="S44" s="20">
        <v>15.235161</v>
      </c>
      <c r="T44" s="20">
        <v>14.996418</v>
      </c>
      <c r="U44" s="20">
        <v>14.7514</v>
      </c>
      <c r="V44" s="20">
        <v>14.498680999999999</v>
      </c>
      <c r="W44" s="20">
        <v>14.238417</v>
      </c>
      <c r="X44" s="20">
        <v>13.970582</v>
      </c>
      <c r="Y44" s="20">
        <v>13.695671000000001</v>
      </c>
      <c r="Z44" s="20">
        <v>13.413436000000001</v>
      </c>
      <c r="AA44" s="20">
        <v>13.126579</v>
      </c>
      <c r="AB44" s="20">
        <v>12.834384999999999</v>
      </c>
      <c r="AC44" s="36">
        <v>12.534252</v>
      </c>
      <c r="AE44" s="152"/>
      <c r="AF44" s="152"/>
      <c r="AG44" s="152"/>
      <c r="AH44" s="152"/>
      <c r="AI44" s="152"/>
      <c r="AJ44" s="152"/>
      <c r="AK44" s="152"/>
      <c r="AL44" s="152"/>
      <c r="AM44" s="152"/>
      <c r="AN44" s="152"/>
      <c r="AO44" s="152"/>
      <c r="AP44" s="152"/>
      <c r="AQ44" s="152"/>
      <c r="AR44" s="152"/>
      <c r="BW44" s="24" t="s">
        <v>38</v>
      </c>
      <c r="CA44" s="20">
        <v>12.391836</v>
      </c>
      <c r="CB44" s="20">
        <v>12.243194000000001</v>
      </c>
      <c r="CC44" s="20">
        <v>12.088901</v>
      </c>
      <c r="CD44" s="20">
        <v>11.927676999999999</v>
      </c>
      <c r="CE44" s="20">
        <v>11.759518999999999</v>
      </c>
      <c r="CF44" s="20">
        <v>11.584268</v>
      </c>
      <c r="CG44" s="20">
        <v>11.402202000000001</v>
      </c>
      <c r="CH44" s="20">
        <v>11.212975999999999</v>
      </c>
      <c r="CI44" s="20">
        <v>11.01873</v>
      </c>
      <c r="CJ44" s="20">
        <v>10.818771999999999</v>
      </c>
      <c r="CK44" s="36">
        <v>10.610783</v>
      </c>
      <c r="CN44" s="152"/>
      <c r="CO44" s="152"/>
      <c r="CP44" s="152"/>
      <c r="CQ44" s="152"/>
      <c r="CR44" s="152"/>
      <c r="CS44" s="152"/>
      <c r="CT44" s="152"/>
      <c r="CU44" s="152"/>
      <c r="CV44" s="152"/>
      <c r="CW44" s="152"/>
      <c r="CX44" s="152"/>
      <c r="CY44" s="152"/>
      <c r="CZ44" s="152"/>
      <c r="DA44" s="152"/>
      <c r="DB44" s="152"/>
    </row>
    <row r="45" spans="3:106" x14ac:dyDescent="0.3">
      <c r="K45" s="17">
        <v>46</v>
      </c>
      <c r="L45" s="17">
        <v>2.799013</v>
      </c>
      <c r="O45" s="24" t="s">
        <v>39</v>
      </c>
      <c r="S45" s="3">
        <f>$D$10*0.06*(1+$D$21)^(S43-$D$9-1)*PV(((1+$D$21)/(1+$D$14)-1),S43-$D$9,-1,,1)</f>
        <v>400387.46329239663</v>
      </c>
      <c r="T45" s="3">
        <f t="shared" ref="T45:AC45" si="48">$D$10*0.06*(1+$D$21)^(T43-$D$9-1)*PV(((1+$D$21)/(1+$D$14)-1),T43-$D$9,-1,,1)</f>
        <v>429845.89056288439</v>
      </c>
      <c r="U45" s="3">
        <f t="shared" si="48"/>
        <v>461013.2155495435</v>
      </c>
      <c r="V45" s="3">
        <f t="shared" si="48"/>
        <v>493980.78254699823</v>
      </c>
      <c r="W45" s="3">
        <f t="shared" si="48"/>
        <v>528844.65054982528</v>
      </c>
      <c r="X45" s="3">
        <f t="shared" si="48"/>
        <v>565705.83267468039</v>
      </c>
      <c r="Y45" s="3">
        <f t="shared" si="48"/>
        <v>604670.5476457125</v>
      </c>
      <c r="Z45" s="3">
        <f t="shared" si="48"/>
        <v>645850.48394872877</v>
      </c>
      <c r="AA45" s="3">
        <f t="shared" si="48"/>
        <v>689363.07728991413</v>
      </c>
      <c r="AB45" s="3">
        <f t="shared" si="48"/>
        <v>735331.80202675215</v>
      </c>
      <c r="AC45" s="51">
        <f t="shared" si="48"/>
        <v>783886.47727224103</v>
      </c>
      <c r="AE45" s="152"/>
      <c r="AF45" s="152"/>
      <c r="AG45" s="152"/>
      <c r="AH45" s="152"/>
      <c r="AI45" s="152"/>
      <c r="AJ45" s="152"/>
      <c r="AK45" s="152"/>
      <c r="AL45" s="152"/>
      <c r="AM45" s="152"/>
      <c r="AN45" s="152"/>
      <c r="AO45" s="152"/>
      <c r="AP45" s="152"/>
      <c r="AQ45" s="152"/>
      <c r="AR45" s="152"/>
      <c r="BW45" s="24" t="s">
        <v>39</v>
      </c>
      <c r="CA45" s="3">
        <f>$D$10*0.12*(1+$E$21)^(CA43-$D$9-1)*PV(((1+$E$21)/(1+$D$14)-1),CA43-$D$9,-1,,1)</f>
        <v>1102937.4927160449</v>
      </c>
      <c r="CB45" s="3">
        <f t="shared" ref="CB45:CK45" si="49">$D$10*0.12*(1+$E$21)^(CB43-$D$9-1)*PV(((1+$E$21)/(1+$D$14)-1),CB43-$D$9,-1,,1)</f>
        <v>1199021.2254179043</v>
      </c>
      <c r="CC45" s="3">
        <f t="shared" si="49"/>
        <v>1302302.772114187</v>
      </c>
      <c r="CD45" s="3">
        <f t="shared" si="49"/>
        <v>1413297.7786021349</v>
      </c>
      <c r="CE45" s="3">
        <f t="shared" si="49"/>
        <v>1532558.2808552389</v>
      </c>
      <c r="CF45" s="3">
        <f t="shared" si="49"/>
        <v>1660675.2597098332</v>
      </c>
      <c r="CG45" s="3">
        <f t="shared" si="49"/>
        <v>1798281.3745641173</v>
      </c>
      <c r="CH45" s="3">
        <f t="shared" si="49"/>
        <v>1946053.8886250665</v>
      </c>
      <c r="CI45" s="3">
        <f t="shared" si="49"/>
        <v>2104717.799116319</v>
      </c>
      <c r="CJ45" s="3">
        <f t="shared" si="49"/>
        <v>2275049.1867991462</v>
      </c>
      <c r="CK45" s="51">
        <f t="shared" si="49"/>
        <v>2457878.8001633883</v>
      </c>
      <c r="CN45" s="152"/>
      <c r="CO45" s="152"/>
      <c r="CP45" s="152"/>
      <c r="CQ45" s="152"/>
      <c r="CR45" s="152"/>
      <c r="CS45" s="152"/>
      <c r="CT45" s="152"/>
      <c r="CU45" s="152"/>
      <c r="CV45" s="152"/>
      <c r="CW45" s="152"/>
      <c r="CX45" s="152"/>
      <c r="CY45" s="152"/>
      <c r="CZ45" s="152"/>
      <c r="DA45" s="152"/>
      <c r="DB45" s="152"/>
    </row>
    <row r="46" spans="3:106" x14ac:dyDescent="0.3">
      <c r="K46" s="17">
        <v>47</v>
      </c>
      <c r="L46" s="17">
        <v>2.9970409999999998</v>
      </c>
      <c r="O46" s="24" t="s">
        <v>40</v>
      </c>
      <c r="S46" s="3">
        <f t="shared" ref="S46:AC46" si="50">S45/S44</f>
        <v>26280.487832875322</v>
      </c>
      <c r="T46" s="3">
        <f t="shared" si="50"/>
        <v>28663.237485303784</v>
      </c>
      <c r="U46" s="3">
        <f t="shared" si="50"/>
        <v>31252.166950224622</v>
      </c>
      <c r="V46" s="3">
        <f t="shared" si="50"/>
        <v>34070.739438090837</v>
      </c>
      <c r="W46" s="3">
        <f t="shared" si="50"/>
        <v>37142.095961217128</v>
      </c>
      <c r="X46" s="3">
        <f t="shared" si="50"/>
        <v>40492.646095537064</v>
      </c>
      <c r="Y46" s="3">
        <f t="shared" si="50"/>
        <v>44150.487233937827</v>
      </c>
      <c r="Z46" s="3">
        <f t="shared" si="50"/>
        <v>48149.518434257167</v>
      </c>
      <c r="AA46" s="3">
        <f t="shared" si="50"/>
        <v>52516.58313182088</v>
      </c>
      <c r="AB46" s="3">
        <f t="shared" si="50"/>
        <v>57293.88685369437</v>
      </c>
      <c r="AC46" s="51">
        <f t="shared" si="50"/>
        <v>62539.54980897472</v>
      </c>
      <c r="BW46" s="24" t="s">
        <v>40</v>
      </c>
      <c r="CA46" s="3">
        <f t="shared" ref="CA46:CK46" si="51">CA45/CA44</f>
        <v>89005.171849921593</v>
      </c>
      <c r="CB46" s="3">
        <f t="shared" si="51"/>
        <v>97933.694868994498</v>
      </c>
      <c r="CC46" s="3">
        <f t="shared" si="51"/>
        <v>107727.14344456846</v>
      </c>
      <c r="CD46" s="3">
        <f t="shared" si="51"/>
        <v>118488.9378377814</v>
      </c>
      <c r="CE46" s="3">
        <f t="shared" si="51"/>
        <v>130324.91217159809</v>
      </c>
      <c r="CF46" s="3">
        <f t="shared" si="51"/>
        <v>143356.08082529111</v>
      </c>
      <c r="CG46" s="3">
        <f t="shared" si="51"/>
        <v>157713.51661408183</v>
      </c>
      <c r="CH46" s="3">
        <f t="shared" si="51"/>
        <v>173553.73708327446</v>
      </c>
      <c r="CI46" s="3">
        <f t="shared" si="51"/>
        <v>191012.73913747945</v>
      </c>
      <c r="CJ46" s="3">
        <f t="shared" si="51"/>
        <v>210287.19218772207</v>
      </c>
      <c r="CK46" s="51">
        <f t="shared" si="51"/>
        <v>231639.71972317106</v>
      </c>
      <c r="CN46" s="152"/>
      <c r="CO46" s="152"/>
      <c r="CP46" s="152"/>
      <c r="CQ46" s="152"/>
      <c r="CR46" s="152"/>
      <c r="CS46" s="152"/>
      <c r="CT46" s="152"/>
      <c r="CU46" s="152"/>
      <c r="CV46" s="152"/>
      <c r="CW46" s="152"/>
      <c r="CX46" s="152"/>
      <c r="CY46" s="152"/>
      <c r="CZ46" s="152"/>
      <c r="DA46" s="152"/>
      <c r="DB46" s="152"/>
    </row>
    <row r="47" spans="3:106" x14ac:dyDescent="0.3">
      <c r="K47" s="17">
        <v>48</v>
      </c>
      <c r="L47" s="17">
        <v>3.209209</v>
      </c>
      <c r="O47" s="24"/>
      <c r="S47" s="52"/>
      <c r="AC47" s="25"/>
      <c r="BW47" s="24"/>
      <c r="CA47" s="52"/>
      <c r="CK47" s="25"/>
      <c r="CN47" s="152"/>
      <c r="CO47" s="152"/>
      <c r="CP47" s="152"/>
      <c r="CQ47" s="152"/>
      <c r="CR47" s="152"/>
      <c r="CS47" s="152"/>
      <c r="CT47" s="152"/>
      <c r="CU47" s="152"/>
      <c r="CV47" s="152"/>
      <c r="CW47" s="152"/>
      <c r="CX47" s="152"/>
      <c r="CY47" s="152"/>
      <c r="CZ47" s="152"/>
      <c r="DA47" s="152"/>
      <c r="DB47" s="152"/>
    </row>
    <row r="48" spans="3:106" x14ac:dyDescent="0.3">
      <c r="K48" s="17">
        <v>49</v>
      </c>
      <c r="L48" s="17">
        <v>3.436569</v>
      </c>
      <c r="O48" s="24" t="s">
        <v>24</v>
      </c>
      <c r="S48" s="31">
        <f t="shared" ref="S48:AC48" si="52">S46/R23</f>
        <v>0.17123008127658107</v>
      </c>
      <c r="T48" s="31">
        <f t="shared" si="52"/>
        <v>0.18219985072964778</v>
      </c>
      <c r="U48" s="31">
        <f t="shared" si="52"/>
        <v>0.19381127791315869</v>
      </c>
      <c r="V48" s="31">
        <f t="shared" si="52"/>
        <v>0.2061373094531557</v>
      </c>
      <c r="W48" s="31">
        <f t="shared" si="52"/>
        <v>0.21923888586549753</v>
      </c>
      <c r="X48" s="31">
        <f t="shared" si="52"/>
        <v>0.23318653603496725</v>
      </c>
      <c r="Y48" s="31">
        <f t="shared" si="52"/>
        <v>0.24804983849497628</v>
      </c>
      <c r="Z48" s="31">
        <f t="shared" si="52"/>
        <v>0.26391953077727959</v>
      </c>
      <c r="AA48" s="31">
        <f t="shared" si="52"/>
        <v>0.28083561228896825</v>
      </c>
      <c r="AB48" s="31">
        <f t="shared" si="52"/>
        <v>0.29890978886002567</v>
      </c>
      <c r="AC48" s="32">
        <f t="shared" si="52"/>
        <v>0.31831912839553139</v>
      </c>
      <c r="BW48" s="47" t="s">
        <v>24</v>
      </c>
      <c r="BX48" s="48"/>
      <c r="BY48" s="48"/>
      <c r="BZ48" s="48"/>
      <c r="CA48" s="53">
        <f t="shared" ref="CA48:CK48" si="53">CA46/BZ23</f>
        <v>0.57991171651058004</v>
      </c>
      <c r="CB48" s="53">
        <f t="shared" si="53"/>
        <v>0.62252230215384408</v>
      </c>
      <c r="CC48" s="53">
        <f t="shared" si="53"/>
        <v>0.66807320497742018</v>
      </c>
      <c r="CD48" s="53">
        <f t="shared" si="53"/>
        <v>0.71689054152242759</v>
      </c>
      <c r="CE48" s="53">
        <f t="shared" si="53"/>
        <v>0.76926968728028888</v>
      </c>
      <c r="CF48" s="53">
        <f t="shared" si="53"/>
        <v>0.82555009688247571</v>
      </c>
      <c r="CG48" s="53">
        <f t="shared" si="53"/>
        <v>0.88607883571726853</v>
      </c>
      <c r="CH48" s="53">
        <f t="shared" si="53"/>
        <v>0.95129135960522082</v>
      </c>
      <c r="CI48" s="53">
        <f t="shared" si="53"/>
        <v>1.021452203316775</v>
      </c>
      <c r="CJ48" s="53">
        <f t="shared" si="53"/>
        <v>1.0970961069077227</v>
      </c>
      <c r="CK48" s="54">
        <f t="shared" si="53"/>
        <v>1.1790195789590354</v>
      </c>
      <c r="CN48" s="152"/>
      <c r="CO48" s="152"/>
      <c r="CP48" s="152"/>
      <c r="CQ48" s="152"/>
      <c r="CR48" s="152"/>
      <c r="CS48" s="152"/>
      <c r="CT48" s="152"/>
      <c r="CU48" s="152"/>
      <c r="CV48" s="152"/>
      <c r="CW48" s="152"/>
      <c r="CX48" s="152"/>
      <c r="CY48" s="152"/>
      <c r="CZ48" s="152"/>
      <c r="DA48" s="152"/>
      <c r="DB48" s="152"/>
    </row>
    <row r="49" spans="11:106" x14ac:dyDescent="0.3">
      <c r="K49" s="17">
        <v>50</v>
      </c>
      <c r="L49" s="17">
        <v>3.6802199999999998</v>
      </c>
      <c r="O49" s="24"/>
      <c r="AC49" s="25"/>
      <c r="BW49" s="22"/>
      <c r="CK49" s="22"/>
      <c r="CN49" s="152"/>
      <c r="CO49" s="152"/>
      <c r="CP49" s="152"/>
      <c r="CQ49" s="152"/>
      <c r="CR49" s="152"/>
      <c r="CS49" s="152"/>
      <c r="CT49" s="152"/>
      <c r="CU49" s="152"/>
      <c r="CV49" s="152"/>
      <c r="CW49" s="152"/>
      <c r="CX49" s="152"/>
      <c r="CY49" s="152"/>
      <c r="CZ49" s="152"/>
      <c r="DA49" s="152"/>
      <c r="DB49" s="152"/>
    </row>
    <row r="50" spans="11:106" x14ac:dyDescent="0.3">
      <c r="K50" s="17">
        <v>51</v>
      </c>
      <c r="L50" s="17">
        <v>3.9414609999999999</v>
      </c>
      <c r="O50" s="24"/>
      <c r="AC50" s="25"/>
      <c r="BW50" s="152" t="s">
        <v>43</v>
      </c>
      <c r="BX50" s="152"/>
      <c r="BY50" s="152"/>
      <c r="BZ50" s="152"/>
      <c r="CA50" s="152"/>
      <c r="CB50" s="152"/>
      <c r="CC50" s="152"/>
      <c r="CD50" s="152"/>
      <c r="CE50" s="152"/>
      <c r="CF50" s="152"/>
      <c r="CG50" s="152"/>
      <c r="CH50" s="152"/>
      <c r="CI50" s="152"/>
      <c r="CJ50" s="152"/>
      <c r="CK50" s="152"/>
      <c r="CR50" s="3"/>
      <c r="CS50" s="3"/>
      <c r="CT50" s="3"/>
      <c r="CU50" s="3"/>
      <c r="CV50" s="3"/>
      <c r="CW50" s="3"/>
      <c r="CX50" s="3"/>
      <c r="CY50" s="3"/>
      <c r="CZ50" s="3"/>
      <c r="DA50" s="3"/>
      <c r="DB50" s="3"/>
    </row>
    <row r="51" spans="11:106" x14ac:dyDescent="0.3">
      <c r="K51" s="17">
        <v>52</v>
      </c>
      <c r="L51" s="17">
        <v>4.2216699999999996</v>
      </c>
      <c r="O51" s="35" t="s">
        <v>42</v>
      </c>
      <c r="AC51" s="25"/>
      <c r="BW51" s="152"/>
      <c r="BX51" s="152"/>
      <c r="BY51" s="152"/>
      <c r="BZ51" s="152"/>
      <c r="CA51" s="152"/>
      <c r="CB51" s="152"/>
      <c r="CC51" s="152"/>
      <c r="CD51" s="152"/>
      <c r="CE51" s="152"/>
      <c r="CF51" s="152"/>
      <c r="CG51" s="152"/>
      <c r="CH51" s="152"/>
      <c r="CI51" s="152"/>
      <c r="CJ51" s="152"/>
      <c r="CK51" s="152"/>
      <c r="CR51" s="31"/>
      <c r="CS51" s="31"/>
      <c r="CT51" s="31"/>
      <c r="CU51" s="31"/>
      <c r="CV51" s="31"/>
      <c r="CW51" s="31"/>
      <c r="CX51" s="31"/>
      <c r="CY51" s="31"/>
      <c r="CZ51" s="31"/>
      <c r="DA51" s="31"/>
      <c r="DB51" s="31"/>
    </row>
    <row r="52" spans="11:106" x14ac:dyDescent="0.3">
      <c r="K52" s="17">
        <v>53</v>
      </c>
      <c r="L52" s="17">
        <v>4.5223420000000001</v>
      </c>
      <c r="O52" s="24" t="s">
        <v>37</v>
      </c>
      <c r="S52">
        <v>55</v>
      </c>
      <c r="T52">
        <v>56</v>
      </c>
      <c r="U52">
        <v>57</v>
      </c>
      <c r="V52">
        <v>58</v>
      </c>
      <c r="W52">
        <v>59</v>
      </c>
      <c r="X52">
        <v>60</v>
      </c>
      <c r="Y52">
        <v>61</v>
      </c>
      <c r="Z52">
        <v>62</v>
      </c>
      <c r="AA52">
        <v>63</v>
      </c>
      <c r="AB52">
        <v>64</v>
      </c>
      <c r="AC52" s="25">
        <v>65</v>
      </c>
      <c r="BW52" s="152"/>
      <c r="BX52" s="152"/>
      <c r="BY52" s="152"/>
      <c r="BZ52" s="152"/>
      <c r="CA52" s="152"/>
      <c r="CB52" s="152"/>
      <c r="CC52" s="152"/>
      <c r="CD52" s="152"/>
      <c r="CE52" s="152"/>
      <c r="CF52" s="152"/>
      <c r="CG52" s="152"/>
      <c r="CH52" s="152"/>
      <c r="CI52" s="152"/>
      <c r="CJ52" s="152"/>
      <c r="CK52" s="152"/>
    </row>
    <row r="53" spans="11:106" x14ac:dyDescent="0.3">
      <c r="K53" s="17">
        <v>54</v>
      </c>
      <c r="L53" s="17">
        <v>4.845059</v>
      </c>
      <c r="O53" s="24" t="s">
        <v>38</v>
      </c>
      <c r="S53" s="20">
        <v>12.391836</v>
      </c>
      <c r="T53" s="20">
        <v>12.243194000000001</v>
      </c>
      <c r="U53" s="20">
        <v>12.088901</v>
      </c>
      <c r="V53" s="20">
        <v>11.927676999999999</v>
      </c>
      <c r="W53" s="20">
        <v>11.759518999999999</v>
      </c>
      <c r="X53" s="20">
        <v>11.584268</v>
      </c>
      <c r="Y53" s="20">
        <v>11.402202000000001</v>
      </c>
      <c r="Z53" s="20">
        <v>11.212975999999999</v>
      </c>
      <c r="AA53" s="20">
        <v>11.01873</v>
      </c>
      <c r="AB53" s="20">
        <v>10.818771999999999</v>
      </c>
      <c r="AC53" s="36">
        <v>10.610783</v>
      </c>
      <c r="BW53" s="152"/>
      <c r="BX53" s="152"/>
      <c r="BY53" s="152"/>
      <c r="BZ53" s="152"/>
      <c r="CA53" s="152"/>
      <c r="CB53" s="152"/>
      <c r="CC53" s="152"/>
      <c r="CD53" s="152"/>
      <c r="CE53" s="152"/>
      <c r="CF53" s="152"/>
      <c r="CG53" s="152"/>
      <c r="CH53" s="152"/>
      <c r="CI53" s="152"/>
      <c r="CJ53" s="152"/>
      <c r="CK53" s="152"/>
    </row>
    <row r="54" spans="11:106" x14ac:dyDescent="0.3">
      <c r="K54" s="17">
        <v>55</v>
      </c>
      <c r="L54" s="17">
        <v>5.1916890000000002</v>
      </c>
      <c r="O54" s="24" t="s">
        <v>39</v>
      </c>
      <c r="S54" s="3">
        <f>$D$10*0.06*(1+$E$21)^(S52-$D$9-1)*PV(((1+$E$21)/(1+$D$14)-1),S52-$D$9,-1,,1)</f>
        <v>551468.74635802244</v>
      </c>
      <c r="T54" s="3">
        <f t="shared" ref="T54:AC54" si="54">$D$10*0.06*(1+$E$21)^(T52-$D$9-1)*PV(((1+$E$21)/(1+$D$14)-1),T52-$D$9,-1,,1)</f>
        <v>599510.61270895216</v>
      </c>
      <c r="U54" s="3">
        <f t="shared" si="54"/>
        <v>651151.38605709351</v>
      </c>
      <c r="V54" s="3">
        <f t="shared" si="54"/>
        <v>706648.88930106745</v>
      </c>
      <c r="W54" s="3">
        <f t="shared" si="54"/>
        <v>766279.14042761945</v>
      </c>
      <c r="X54" s="3">
        <f t="shared" si="54"/>
        <v>830337.62985491659</v>
      </c>
      <c r="Y54" s="3">
        <f t="shared" si="54"/>
        <v>899140.68728205864</v>
      </c>
      <c r="Z54" s="3">
        <f t="shared" si="54"/>
        <v>973026.94431253325</v>
      </c>
      <c r="AA54" s="3">
        <f t="shared" si="54"/>
        <v>1052358.8995581595</v>
      </c>
      <c r="AB54" s="3">
        <f t="shared" si="54"/>
        <v>1137524.5933995731</v>
      </c>
      <c r="AC54" s="51">
        <f t="shared" si="54"/>
        <v>1228939.4000816941</v>
      </c>
      <c r="BW54" s="152"/>
      <c r="BX54" s="152"/>
      <c r="BY54" s="152"/>
      <c r="BZ54" s="152"/>
      <c r="CA54" s="152"/>
      <c r="CB54" s="152"/>
      <c r="CC54" s="152"/>
      <c r="CD54" s="152"/>
      <c r="CE54" s="152"/>
      <c r="CF54" s="152"/>
      <c r="CG54" s="152"/>
      <c r="CH54" s="152"/>
      <c r="CI54" s="152"/>
      <c r="CJ54" s="152"/>
      <c r="CK54" s="152"/>
    </row>
    <row r="55" spans="11:106" x14ac:dyDescent="0.3">
      <c r="K55" s="17">
        <v>56</v>
      </c>
      <c r="L55" s="17">
        <v>5.5646789999999999</v>
      </c>
      <c r="O55" s="24" t="s">
        <v>40</v>
      </c>
      <c r="S55" s="3">
        <f t="shared" ref="S55:AC55" si="55">S54/S53</f>
        <v>44502.585924960797</v>
      </c>
      <c r="T55" s="3">
        <f t="shared" si="55"/>
        <v>48966.847434497249</v>
      </c>
      <c r="U55" s="3">
        <f t="shared" si="55"/>
        <v>53863.571722284229</v>
      </c>
      <c r="V55" s="3">
        <f t="shared" si="55"/>
        <v>59244.4689188907</v>
      </c>
      <c r="W55" s="3">
        <f t="shared" si="55"/>
        <v>65162.456085799044</v>
      </c>
      <c r="X55" s="3">
        <f t="shared" si="55"/>
        <v>71678.040412645554</v>
      </c>
      <c r="Y55" s="3">
        <f t="shared" si="55"/>
        <v>78856.758307040916</v>
      </c>
      <c r="Z55" s="3">
        <f t="shared" si="55"/>
        <v>86776.868541637232</v>
      </c>
      <c r="AA55" s="3">
        <f t="shared" si="55"/>
        <v>95506.369568739727</v>
      </c>
      <c r="AB55" s="3">
        <f t="shared" si="55"/>
        <v>105143.59609386104</v>
      </c>
      <c r="AC55" s="51">
        <f t="shared" si="55"/>
        <v>115819.85986158553</v>
      </c>
      <c r="BW55" s="152"/>
      <c r="BX55" s="152"/>
      <c r="BY55" s="152"/>
      <c r="BZ55" s="152"/>
      <c r="CA55" s="152"/>
      <c r="CB55" s="152"/>
      <c r="CC55" s="152"/>
      <c r="CD55" s="152"/>
      <c r="CE55" s="152"/>
      <c r="CF55" s="152"/>
      <c r="CG55" s="152"/>
      <c r="CH55" s="152"/>
      <c r="CI55" s="152"/>
      <c r="CJ55" s="152"/>
      <c r="CK55" s="152"/>
    </row>
    <row r="56" spans="11:106" x14ac:dyDescent="0.3">
      <c r="K56" s="17">
        <v>57</v>
      </c>
      <c r="L56" s="17">
        <v>5.9668559999999999</v>
      </c>
      <c r="O56" s="24"/>
      <c r="S56" s="52"/>
      <c r="AC56" s="25"/>
      <c r="BW56" s="152"/>
      <c r="BX56" s="152"/>
      <c r="BY56" s="152"/>
      <c r="BZ56" s="152"/>
      <c r="CA56" s="152"/>
      <c r="CB56" s="152"/>
      <c r="CC56" s="152"/>
      <c r="CD56" s="152"/>
      <c r="CE56" s="152"/>
      <c r="CF56" s="152"/>
      <c r="CG56" s="152"/>
      <c r="CH56" s="152"/>
      <c r="CI56" s="152"/>
      <c r="CJ56" s="152"/>
      <c r="CK56" s="152"/>
    </row>
    <row r="57" spans="11:106" x14ac:dyDescent="0.3">
      <c r="K57" s="17">
        <v>58</v>
      </c>
      <c r="L57" s="17">
        <v>6.4002809999999997</v>
      </c>
      <c r="O57" s="47" t="s">
        <v>24</v>
      </c>
      <c r="P57" s="48"/>
      <c r="Q57" s="48"/>
      <c r="R57" s="48"/>
      <c r="S57" s="53">
        <f t="shared" ref="S57:AC57" si="56">S55/R23</f>
        <v>0.28995585825529002</v>
      </c>
      <c r="T57" s="53">
        <f t="shared" si="56"/>
        <v>0.31126115107692204</v>
      </c>
      <c r="U57" s="53">
        <f t="shared" si="56"/>
        <v>0.33403660248871009</v>
      </c>
      <c r="V57" s="53">
        <f t="shared" si="56"/>
        <v>0.3584452707612138</v>
      </c>
      <c r="W57" s="53">
        <f t="shared" si="56"/>
        <v>0.38463484364014444</v>
      </c>
      <c r="X57" s="53">
        <f t="shared" si="56"/>
        <v>0.41277504844123786</v>
      </c>
      <c r="Y57" s="53">
        <f t="shared" si="56"/>
        <v>0.44303941785863427</v>
      </c>
      <c r="Z57" s="53">
        <f t="shared" si="56"/>
        <v>0.47564567980261041</v>
      </c>
      <c r="AA57" s="53">
        <f t="shared" si="56"/>
        <v>0.5107261016583875</v>
      </c>
      <c r="AB57" s="53">
        <f t="shared" si="56"/>
        <v>0.54854805345386137</v>
      </c>
      <c r="AC57" s="54">
        <f t="shared" si="56"/>
        <v>0.58950978947951771</v>
      </c>
      <c r="BW57" s="152"/>
      <c r="BX57" s="152"/>
      <c r="BY57" s="152"/>
      <c r="BZ57" s="152"/>
      <c r="CA57" s="152"/>
      <c r="CB57" s="152"/>
      <c r="CC57" s="152"/>
      <c r="CD57" s="152"/>
      <c r="CE57" s="152"/>
      <c r="CF57" s="152"/>
      <c r="CG57" s="152"/>
      <c r="CH57" s="152"/>
      <c r="CI57" s="152"/>
      <c r="CJ57" s="152"/>
      <c r="CK57" s="152"/>
    </row>
    <row r="58" spans="11:106" x14ac:dyDescent="0.3">
      <c r="K58" s="17">
        <v>59</v>
      </c>
      <c r="L58" s="17">
        <v>6.8678739999999996</v>
      </c>
      <c r="BW58" s="152"/>
      <c r="BX58" s="152"/>
      <c r="BY58" s="152"/>
      <c r="BZ58" s="152"/>
      <c r="CA58" s="152"/>
      <c r="CB58" s="152"/>
      <c r="CC58" s="152"/>
      <c r="CD58" s="152"/>
      <c r="CE58" s="152"/>
      <c r="CF58" s="152"/>
      <c r="CG58" s="152"/>
      <c r="CH58" s="152"/>
      <c r="CI58" s="152"/>
      <c r="CJ58" s="152"/>
      <c r="CK58" s="152"/>
    </row>
    <row r="59" spans="11:106" x14ac:dyDescent="0.3">
      <c r="K59" s="17">
        <v>60</v>
      </c>
      <c r="L59" s="17">
        <v>7.372808</v>
      </c>
      <c r="BW59" s="152"/>
      <c r="BX59" s="152"/>
      <c r="BY59" s="152"/>
      <c r="BZ59" s="152"/>
      <c r="CA59" s="152"/>
      <c r="CB59" s="152"/>
      <c r="CC59" s="152"/>
      <c r="CD59" s="152"/>
      <c r="CE59" s="152"/>
      <c r="CF59" s="152"/>
      <c r="CG59" s="152"/>
      <c r="CH59" s="152"/>
      <c r="CI59" s="152"/>
      <c r="CJ59" s="152"/>
      <c r="CK59" s="152"/>
    </row>
    <row r="60" spans="11:106" x14ac:dyDescent="0.3">
      <c r="K60" s="17">
        <v>61</v>
      </c>
      <c r="L60" s="17">
        <v>7.9189170000000004</v>
      </c>
      <c r="O60" s="152" t="s">
        <v>44</v>
      </c>
      <c r="P60" s="152"/>
      <c r="Q60" s="152"/>
      <c r="R60" s="152"/>
      <c r="S60" s="152"/>
      <c r="T60" s="152"/>
      <c r="U60" s="152"/>
      <c r="V60" s="152"/>
      <c r="W60" s="152"/>
      <c r="X60" s="152"/>
      <c r="Y60" s="152"/>
      <c r="Z60" s="152"/>
      <c r="AA60" s="152"/>
      <c r="AB60" s="152"/>
      <c r="AC60" s="152"/>
      <c r="BW60" s="152"/>
      <c r="BX60" s="152"/>
      <c r="BY60" s="152"/>
      <c r="BZ60" s="152"/>
      <c r="CA60" s="152"/>
      <c r="CB60" s="152"/>
      <c r="CC60" s="152"/>
      <c r="CD60" s="152"/>
      <c r="CE60" s="152"/>
      <c r="CF60" s="152"/>
      <c r="CG60" s="152"/>
      <c r="CH60" s="152"/>
      <c r="CI60" s="152"/>
      <c r="CJ60" s="152"/>
      <c r="CK60" s="152"/>
    </row>
    <row r="61" spans="11:106" x14ac:dyDescent="0.3">
      <c r="K61" s="17">
        <v>62</v>
      </c>
      <c r="L61" s="17">
        <v>8.5100899999999999</v>
      </c>
      <c r="O61" s="152"/>
      <c r="P61" s="152"/>
      <c r="Q61" s="152"/>
      <c r="R61" s="152"/>
      <c r="S61" s="152"/>
      <c r="T61" s="152"/>
      <c r="U61" s="152"/>
      <c r="V61" s="152"/>
      <c r="W61" s="152"/>
      <c r="X61" s="152"/>
      <c r="Y61" s="152"/>
      <c r="Z61" s="152"/>
      <c r="AA61" s="152"/>
      <c r="AB61" s="152"/>
      <c r="AC61" s="152"/>
      <c r="BW61" s="152"/>
      <c r="BX61" s="152"/>
      <c r="BY61" s="152"/>
      <c r="BZ61" s="152"/>
      <c r="CA61" s="152"/>
      <c r="CB61" s="152"/>
      <c r="CC61" s="152"/>
      <c r="CD61" s="152"/>
      <c r="CE61" s="152"/>
      <c r="CF61" s="152"/>
      <c r="CG61" s="152"/>
      <c r="CH61" s="152"/>
      <c r="CI61" s="152"/>
      <c r="CJ61" s="152"/>
      <c r="CK61" s="152"/>
    </row>
    <row r="62" spans="11:106" x14ac:dyDescent="0.3">
      <c r="K62" s="17">
        <v>63</v>
      </c>
      <c r="L62" s="17">
        <v>9.1526580000000006</v>
      </c>
      <c r="O62" s="152"/>
      <c r="P62" s="152"/>
      <c r="Q62" s="152"/>
      <c r="R62" s="152"/>
      <c r="S62" s="152"/>
      <c r="T62" s="152"/>
      <c r="U62" s="152"/>
      <c r="V62" s="152"/>
      <c r="W62" s="152"/>
      <c r="X62" s="152"/>
      <c r="Y62" s="152"/>
      <c r="Z62" s="152"/>
      <c r="AA62" s="152"/>
      <c r="AB62" s="152"/>
      <c r="AC62" s="152"/>
      <c r="BW62" s="152"/>
      <c r="BX62" s="152"/>
      <c r="BY62" s="152"/>
      <c r="BZ62" s="152"/>
      <c r="CA62" s="152"/>
      <c r="CB62" s="152"/>
      <c r="CC62" s="152"/>
      <c r="CD62" s="152"/>
      <c r="CE62" s="152"/>
      <c r="CF62" s="152"/>
      <c r="CG62" s="152"/>
      <c r="CH62" s="152"/>
      <c r="CI62" s="152"/>
      <c r="CJ62" s="152"/>
      <c r="CK62" s="152"/>
    </row>
    <row r="63" spans="11:106" x14ac:dyDescent="0.3">
      <c r="K63" s="17">
        <v>64</v>
      </c>
      <c r="L63" s="17">
        <v>9.8515669999999993</v>
      </c>
      <c r="O63" s="152"/>
      <c r="P63" s="152"/>
      <c r="Q63" s="152"/>
      <c r="R63" s="152"/>
      <c r="S63" s="152"/>
      <c r="T63" s="152"/>
      <c r="U63" s="152"/>
      <c r="V63" s="152"/>
      <c r="W63" s="152"/>
      <c r="X63" s="152"/>
      <c r="Y63" s="152"/>
      <c r="Z63" s="152"/>
      <c r="AA63" s="152"/>
      <c r="AB63" s="152"/>
      <c r="AC63" s="152"/>
      <c r="BW63" s="152"/>
      <c r="BX63" s="152"/>
      <c r="BY63" s="152"/>
      <c r="BZ63" s="152"/>
      <c r="CA63" s="152"/>
      <c r="CB63" s="152"/>
      <c r="CC63" s="152"/>
      <c r="CD63" s="152"/>
      <c r="CE63" s="152"/>
      <c r="CF63" s="152"/>
      <c r="CG63" s="152"/>
      <c r="CH63" s="152"/>
      <c r="CI63" s="152"/>
      <c r="CJ63" s="152"/>
      <c r="CK63" s="152"/>
    </row>
    <row r="64" spans="11:106" x14ac:dyDescent="0.3">
      <c r="K64" s="17">
        <v>65</v>
      </c>
      <c r="L64" s="17">
        <v>10.610783</v>
      </c>
      <c r="O64" s="152"/>
      <c r="P64" s="152"/>
      <c r="Q64" s="152"/>
      <c r="R64" s="152"/>
      <c r="S64" s="152"/>
      <c r="T64" s="152"/>
      <c r="U64" s="152"/>
      <c r="V64" s="152"/>
      <c r="W64" s="152"/>
      <c r="X64" s="152"/>
      <c r="Y64" s="152"/>
      <c r="Z64" s="152"/>
      <c r="AA64" s="152"/>
      <c r="AB64" s="152"/>
      <c r="AC64" s="152"/>
      <c r="BW64" s="152"/>
      <c r="BX64" s="152"/>
      <c r="BY64" s="152"/>
      <c r="BZ64" s="152"/>
      <c r="CA64" s="152"/>
      <c r="CB64" s="152"/>
      <c r="CC64" s="152"/>
      <c r="CD64" s="152"/>
      <c r="CE64" s="152"/>
      <c r="CF64" s="152"/>
      <c r="CG64" s="152"/>
      <c r="CH64" s="152"/>
      <c r="CI64" s="152"/>
      <c r="CJ64" s="152"/>
      <c r="CK64" s="152"/>
    </row>
    <row r="65" spans="15:89" x14ac:dyDescent="0.3">
      <c r="O65" s="152"/>
      <c r="P65" s="152"/>
      <c r="Q65" s="152"/>
      <c r="R65" s="152"/>
      <c r="S65" s="152"/>
      <c r="T65" s="152"/>
      <c r="U65" s="152"/>
      <c r="V65" s="152"/>
      <c r="W65" s="152"/>
      <c r="X65" s="152"/>
      <c r="Y65" s="152"/>
      <c r="Z65" s="152"/>
      <c r="AA65" s="152"/>
      <c r="AB65" s="152"/>
      <c r="AC65" s="152"/>
      <c r="BW65" s="152"/>
      <c r="BX65" s="152"/>
      <c r="BY65" s="152"/>
      <c r="BZ65" s="152"/>
      <c r="CA65" s="152"/>
      <c r="CB65" s="152"/>
      <c r="CC65" s="152"/>
      <c r="CD65" s="152"/>
      <c r="CE65" s="152"/>
      <c r="CF65" s="152"/>
      <c r="CG65" s="152"/>
      <c r="CH65" s="152"/>
      <c r="CI65" s="152"/>
      <c r="CJ65" s="152"/>
      <c r="CK65" s="152"/>
    </row>
    <row r="66" spans="15:89" x14ac:dyDescent="0.3">
      <c r="O66" s="152"/>
      <c r="P66" s="152"/>
      <c r="Q66" s="152"/>
      <c r="R66" s="152"/>
      <c r="S66" s="152"/>
      <c r="T66" s="152"/>
      <c r="U66" s="152"/>
      <c r="V66" s="152"/>
      <c r="W66" s="152"/>
      <c r="X66" s="152"/>
      <c r="Y66" s="152"/>
      <c r="Z66" s="152"/>
      <c r="AA66" s="152"/>
      <c r="AB66" s="152"/>
      <c r="AC66" s="152"/>
    </row>
    <row r="67" spans="15:89" x14ac:dyDescent="0.3">
      <c r="O67" s="152"/>
      <c r="P67" s="152"/>
      <c r="Q67" s="152"/>
      <c r="R67" s="152"/>
      <c r="S67" s="152"/>
      <c r="T67" s="152"/>
      <c r="U67" s="152"/>
      <c r="V67" s="152"/>
      <c r="W67" s="152"/>
      <c r="X67" s="152"/>
      <c r="Y67" s="152"/>
      <c r="Z67" s="152"/>
      <c r="AA67" s="152"/>
      <c r="AB67" s="152"/>
      <c r="AC67" s="152"/>
    </row>
    <row r="68" spans="15:89" x14ac:dyDescent="0.3">
      <c r="O68" s="152"/>
      <c r="P68" s="152"/>
      <c r="Q68" s="152"/>
      <c r="R68" s="152"/>
      <c r="S68" s="152"/>
      <c r="T68" s="152"/>
      <c r="U68" s="152"/>
      <c r="V68" s="152"/>
      <c r="W68" s="152"/>
      <c r="X68" s="152"/>
      <c r="Y68" s="152"/>
      <c r="Z68" s="152"/>
      <c r="AA68" s="152"/>
      <c r="AB68" s="152"/>
      <c r="AC68" s="152"/>
    </row>
    <row r="69" spans="15:89" x14ac:dyDescent="0.3">
      <c r="O69" s="152"/>
      <c r="P69" s="152"/>
      <c r="Q69" s="152"/>
      <c r="R69" s="152"/>
      <c r="S69" s="152"/>
      <c r="T69" s="152"/>
      <c r="U69" s="152"/>
      <c r="V69" s="152"/>
      <c r="W69" s="152"/>
      <c r="X69" s="152"/>
      <c r="Y69" s="152"/>
      <c r="Z69" s="152"/>
      <c r="AA69" s="152"/>
      <c r="AB69" s="152"/>
      <c r="AC69" s="152"/>
    </row>
    <row r="70" spans="15:89" x14ac:dyDescent="0.3">
      <c r="O70" s="152"/>
      <c r="P70" s="152"/>
      <c r="Q70" s="152"/>
      <c r="R70" s="152"/>
      <c r="S70" s="152"/>
      <c r="T70" s="152"/>
      <c r="U70" s="152"/>
      <c r="V70" s="152"/>
      <c r="W70" s="152"/>
      <c r="X70" s="152"/>
      <c r="Y70" s="152"/>
      <c r="Z70" s="152"/>
      <c r="AA70" s="152"/>
      <c r="AB70" s="152"/>
      <c r="AC70" s="152"/>
    </row>
    <row r="71" spans="15:89" x14ac:dyDescent="0.3">
      <c r="O71" s="152"/>
      <c r="P71" s="152"/>
      <c r="Q71" s="152"/>
      <c r="R71" s="152"/>
      <c r="S71" s="152"/>
      <c r="T71" s="152"/>
      <c r="U71" s="152"/>
      <c r="V71" s="152"/>
      <c r="W71" s="152"/>
      <c r="X71" s="152"/>
      <c r="Y71" s="152"/>
      <c r="Z71" s="152"/>
      <c r="AA71" s="152"/>
      <c r="AB71" s="152"/>
      <c r="AC71" s="152"/>
    </row>
    <row r="72" spans="15:89" x14ac:dyDescent="0.3">
      <c r="O72" s="152"/>
      <c r="P72" s="152"/>
      <c r="Q72" s="152"/>
      <c r="R72" s="152"/>
      <c r="S72" s="152"/>
      <c r="T72" s="152"/>
      <c r="U72" s="152"/>
      <c r="V72" s="152"/>
      <c r="W72" s="152"/>
      <c r="X72" s="152"/>
      <c r="Y72" s="152"/>
      <c r="Z72" s="152"/>
      <c r="AA72" s="152"/>
      <c r="AB72" s="152"/>
      <c r="AC72" s="152"/>
    </row>
    <row r="73" spans="15:89" x14ac:dyDescent="0.3">
      <c r="O73" s="152"/>
      <c r="P73" s="152"/>
      <c r="Q73" s="152"/>
      <c r="R73" s="152"/>
      <c r="S73" s="152"/>
      <c r="T73" s="152"/>
      <c r="U73" s="152"/>
      <c r="V73" s="152"/>
      <c r="W73" s="152"/>
      <c r="X73" s="152"/>
      <c r="Y73" s="152"/>
      <c r="Z73" s="152"/>
      <c r="AA73" s="152"/>
      <c r="AB73" s="152"/>
      <c r="AC73" s="152"/>
    </row>
    <row r="74" spans="15:89" x14ac:dyDescent="0.3">
      <c r="O74" s="152"/>
      <c r="P74" s="152"/>
      <c r="Q74" s="152"/>
      <c r="R74" s="152"/>
      <c r="S74" s="152"/>
      <c r="T74" s="152"/>
      <c r="U74" s="152"/>
      <c r="V74" s="152"/>
      <c r="W74" s="152"/>
      <c r="X74" s="152"/>
      <c r="Y74" s="152"/>
      <c r="Z74" s="152"/>
      <c r="AA74" s="152"/>
      <c r="AB74" s="152"/>
      <c r="AC74" s="152"/>
    </row>
    <row r="75" spans="15:89" x14ac:dyDescent="0.3">
      <c r="O75" s="152"/>
      <c r="P75" s="152"/>
      <c r="Q75" s="152"/>
      <c r="R75" s="152"/>
      <c r="S75" s="152"/>
      <c r="T75" s="152"/>
      <c r="U75" s="152"/>
      <c r="V75" s="152"/>
      <c r="W75" s="152"/>
      <c r="X75" s="152"/>
      <c r="Y75" s="152"/>
      <c r="Z75" s="152"/>
      <c r="AA75" s="152"/>
      <c r="AB75" s="152"/>
      <c r="AC75" s="152"/>
    </row>
    <row r="76" spans="15:89" x14ac:dyDescent="0.3">
      <c r="O76" s="152"/>
      <c r="P76" s="152"/>
      <c r="Q76" s="152"/>
      <c r="R76" s="152"/>
      <c r="S76" s="152"/>
      <c r="T76" s="152"/>
      <c r="U76" s="152"/>
      <c r="V76" s="152"/>
      <c r="W76" s="152"/>
      <c r="X76" s="152"/>
      <c r="Y76" s="152"/>
      <c r="Z76" s="152"/>
      <c r="AA76" s="152"/>
      <c r="AB76" s="152"/>
      <c r="AC76" s="152"/>
    </row>
    <row r="77" spans="15:89" x14ac:dyDescent="0.3">
      <c r="O77" s="152"/>
      <c r="P77" s="152"/>
      <c r="Q77" s="152"/>
      <c r="R77" s="152"/>
      <c r="S77" s="152"/>
      <c r="T77" s="152"/>
      <c r="U77" s="152"/>
      <c r="V77" s="152"/>
      <c r="W77" s="152"/>
      <c r="X77" s="152"/>
      <c r="Y77" s="152"/>
      <c r="Z77" s="152"/>
      <c r="AA77" s="152"/>
      <c r="AB77" s="152"/>
      <c r="AC77" s="152"/>
    </row>
    <row r="78" spans="15:89" x14ac:dyDescent="0.3">
      <c r="O78" s="152"/>
      <c r="P78" s="152"/>
      <c r="Q78" s="152"/>
      <c r="R78" s="152"/>
      <c r="S78" s="152"/>
      <c r="T78" s="152"/>
      <c r="U78" s="152"/>
      <c r="V78" s="152"/>
      <c r="W78" s="152"/>
      <c r="X78" s="152"/>
      <c r="Y78" s="152"/>
      <c r="Z78" s="152"/>
      <c r="AA78" s="152"/>
      <c r="AB78" s="152"/>
      <c r="AC78" s="152"/>
    </row>
    <row r="79" spans="15:89" x14ac:dyDescent="0.3">
      <c r="O79" s="152"/>
      <c r="P79" s="152"/>
      <c r="Q79" s="152"/>
      <c r="R79" s="152"/>
      <c r="S79" s="152"/>
      <c r="T79" s="152"/>
      <c r="U79" s="152"/>
      <c r="V79" s="152"/>
      <c r="W79" s="152"/>
      <c r="X79" s="152"/>
      <c r="Y79" s="152"/>
      <c r="Z79" s="152"/>
      <c r="AA79" s="152"/>
      <c r="AB79" s="152"/>
      <c r="AC79" s="152"/>
    </row>
    <row r="80" spans="15:89" x14ac:dyDescent="0.3">
      <c r="O80" s="152"/>
      <c r="P80" s="152"/>
      <c r="Q80" s="152"/>
      <c r="R80" s="152"/>
      <c r="S80" s="152"/>
      <c r="T80" s="152"/>
      <c r="U80" s="152"/>
      <c r="V80" s="152"/>
      <c r="W80" s="152"/>
      <c r="X80" s="152"/>
      <c r="Y80" s="152"/>
      <c r="Z80" s="152"/>
      <c r="AA80" s="152"/>
      <c r="AB80" s="152"/>
      <c r="AC80" s="152"/>
    </row>
  </sheetData>
  <mergeCells count="4">
    <mergeCell ref="AE30:AR45"/>
    <mergeCell ref="CN30:DB49"/>
    <mergeCell ref="BW50:CK65"/>
    <mergeCell ref="O60:AC8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3607-F835-4967-8035-FC9EC3EFDDD1}">
  <sheetPr>
    <tabColor theme="5" tint="0.39997558519241921"/>
  </sheetPr>
  <dimension ref="A1:AE65"/>
  <sheetViews>
    <sheetView zoomScale="115" zoomScaleNormal="115" workbookViewId="0"/>
  </sheetViews>
  <sheetFormatPr defaultRowHeight="14.4" x14ac:dyDescent="0.3"/>
  <cols>
    <col min="1" max="1" width="4.6640625" customWidth="1"/>
    <col min="15" max="15" width="11.88671875" bestFit="1" customWidth="1"/>
    <col min="16" max="16" width="11.109375" bestFit="1" customWidth="1"/>
    <col min="17" max="18" width="9.88671875" bestFit="1" customWidth="1"/>
    <col min="31" max="31" width="15.33203125" bestFit="1" customWidth="1"/>
  </cols>
  <sheetData>
    <row r="1" spans="1:31" x14ac:dyDescent="0.3">
      <c r="A1" s="177" t="s">
        <v>209</v>
      </c>
    </row>
    <row r="3" spans="1:31" x14ac:dyDescent="0.3">
      <c r="A3" s="4" t="s">
        <v>1</v>
      </c>
    </row>
    <row r="4" spans="1:31" x14ac:dyDescent="0.3">
      <c r="A4" t="s">
        <v>68</v>
      </c>
    </row>
    <row r="6" spans="1:31" x14ac:dyDescent="0.3">
      <c r="B6" s="152" t="s">
        <v>196</v>
      </c>
      <c r="C6" s="152"/>
      <c r="D6" s="152"/>
      <c r="E6" s="152"/>
      <c r="F6" s="152"/>
      <c r="G6" s="152"/>
      <c r="H6" s="152"/>
      <c r="I6" s="152"/>
      <c r="J6" s="152"/>
      <c r="K6" s="152"/>
      <c r="L6" s="152"/>
      <c r="M6" s="152"/>
      <c r="O6" s="66" t="s">
        <v>5</v>
      </c>
      <c r="P6" s="67">
        <v>0.05</v>
      </c>
    </row>
    <row r="7" spans="1:31" x14ac:dyDescent="0.3">
      <c r="B7" s="152"/>
      <c r="C7" s="152"/>
      <c r="D7" s="152"/>
      <c r="E7" s="152"/>
      <c r="F7" s="152"/>
      <c r="G7" s="152"/>
      <c r="H7" s="152"/>
      <c r="I7" s="152"/>
      <c r="J7" s="152"/>
      <c r="K7" s="152"/>
      <c r="L7" s="152"/>
      <c r="M7" s="152"/>
      <c r="O7" s="66" t="s">
        <v>45</v>
      </c>
      <c r="P7" s="66">
        <f>ROUND(SUM(AE10:AE64),2)</f>
        <v>12.53</v>
      </c>
    </row>
    <row r="8" spans="1:31" x14ac:dyDescent="0.3">
      <c r="B8" s="152"/>
      <c r="C8" s="152"/>
      <c r="D8" s="152"/>
      <c r="E8" s="152"/>
      <c r="F8" s="152"/>
      <c r="G8" s="152"/>
      <c r="H8" s="152"/>
      <c r="I8" s="152"/>
      <c r="J8" s="152"/>
      <c r="K8" s="152"/>
      <c r="L8" s="152"/>
      <c r="M8" s="152"/>
    </row>
    <row r="9" spans="1:31" x14ac:dyDescent="0.3">
      <c r="B9" s="152"/>
      <c r="C9" s="152"/>
      <c r="D9" s="152"/>
      <c r="E9" s="152"/>
      <c r="F9" s="152"/>
      <c r="G9" s="152"/>
      <c r="H9" s="152"/>
      <c r="I9" s="152"/>
      <c r="J9" s="152"/>
      <c r="K9" s="152"/>
      <c r="L9" s="152"/>
      <c r="M9" s="152"/>
      <c r="P9" s="6" t="s">
        <v>46</v>
      </c>
      <c r="Q9" t="s">
        <v>47</v>
      </c>
      <c r="R9" t="s">
        <v>48</v>
      </c>
      <c r="S9">
        <v>1</v>
      </c>
      <c r="T9">
        <v>2</v>
      </c>
      <c r="U9">
        <v>3</v>
      </c>
      <c r="V9">
        <v>4</v>
      </c>
      <c r="W9">
        <v>5</v>
      </c>
      <c r="X9">
        <v>6</v>
      </c>
      <c r="Y9">
        <v>7</v>
      </c>
      <c r="Z9">
        <v>8</v>
      </c>
      <c r="AA9">
        <v>9</v>
      </c>
      <c r="AB9">
        <v>10</v>
      </c>
      <c r="AC9">
        <v>11</v>
      </c>
      <c r="AD9">
        <v>12</v>
      </c>
      <c r="AE9" t="s">
        <v>49</v>
      </c>
    </row>
    <row r="10" spans="1:31" x14ac:dyDescent="0.3">
      <c r="B10" s="152"/>
      <c r="C10" s="152"/>
      <c r="D10" s="152"/>
      <c r="E10" s="152"/>
      <c r="F10" s="152"/>
      <c r="G10" s="152"/>
      <c r="H10" s="152"/>
      <c r="I10" s="152"/>
      <c r="J10" s="152"/>
      <c r="K10" s="152"/>
      <c r="L10" s="152"/>
      <c r="M10" s="152"/>
      <c r="O10" s="6">
        <v>65</v>
      </c>
      <c r="P10" s="68">
        <v>7.4000000000000003E-3</v>
      </c>
      <c r="Q10" s="6">
        <v>1</v>
      </c>
      <c r="R10" s="6">
        <f>Q10</f>
        <v>1</v>
      </c>
      <c r="S10">
        <f>1/12*$R10*((1-$P10)/(1+$P$6))^((S$9-1)/12)</f>
        <v>8.3333333333333329E-2</v>
      </c>
      <c r="T10">
        <f t="shared" ref="T10:AD25" si="0">1/12*$R10*((1-$P10)/(1+$P$6))^((T$9-1)/12)</f>
        <v>8.2943845826976587E-2</v>
      </c>
      <c r="U10">
        <f t="shared" si="0"/>
        <v>8.2556178726831131E-2</v>
      </c>
      <c r="V10">
        <f t="shared" si="0"/>
        <v>8.2170323524591263E-2</v>
      </c>
      <c r="W10">
        <f t="shared" si="0"/>
        <v>8.1786271751717821E-2</v>
      </c>
      <c r="X10">
        <f t="shared" si="0"/>
        <v>8.1404014979252315E-2</v>
      </c>
      <c r="Y10">
        <f t="shared" si="0"/>
        <v>8.1023544817631965E-2</v>
      </c>
      <c r="Z10">
        <f t="shared" si="0"/>
        <v>8.0644852916505513E-2</v>
      </c>
      <c r="AA10">
        <f t="shared" si="0"/>
        <v>8.0267930964550038E-2</v>
      </c>
      <c r="AB10">
        <f t="shared" si="0"/>
        <v>7.9892770689288461E-2</v>
      </c>
      <c r="AC10">
        <f t="shared" si="0"/>
        <v>7.9519363856908026E-2</v>
      </c>
      <c r="AD10">
        <f t="shared" si="0"/>
        <v>7.9147702272079595E-2</v>
      </c>
      <c r="AE10">
        <f t="shared" ref="AE10:AE64" si="1">SUM(S10:AD10)*(1+$P$6)^-(O10-65)</f>
        <v>0.97469013365966595</v>
      </c>
    </row>
    <row r="11" spans="1:31" x14ac:dyDescent="0.3">
      <c r="B11" s="152"/>
      <c r="C11" s="152"/>
      <c r="D11" s="152"/>
      <c r="E11" s="152"/>
      <c r="F11" s="152"/>
      <c r="G11" s="152"/>
      <c r="H11" s="152"/>
      <c r="I11" s="152"/>
      <c r="J11" s="152"/>
      <c r="K11" s="152"/>
      <c r="L11" s="152"/>
      <c r="M11" s="152"/>
      <c r="O11" s="6">
        <v>66</v>
      </c>
      <c r="P11" s="68">
        <v>8.3199999999999993E-3</v>
      </c>
      <c r="Q11" s="69">
        <f t="shared" ref="Q11:Q65" si="2">1-P10</f>
        <v>0.99260000000000004</v>
      </c>
      <c r="R11" s="69">
        <f>R10*Q11</f>
        <v>0.99260000000000004</v>
      </c>
      <c r="S11">
        <f t="shared" ref="S11:AD42" si="3">1/12*$R11*((1-$P11)/(1+$P$6))^((S$9-1)/12)</f>
        <v>8.2716666666666661E-2</v>
      </c>
      <c r="T11">
        <f t="shared" si="0"/>
        <v>8.2323699636695724E-2</v>
      </c>
      <c r="U11">
        <f t="shared" si="0"/>
        <v>8.1932599498765607E-2</v>
      </c>
      <c r="V11">
        <f t="shared" si="0"/>
        <v>8.1543357383720344E-2</v>
      </c>
      <c r="W11">
        <f t="shared" si="0"/>
        <v>8.1155964464539113E-2</v>
      </c>
      <c r="X11">
        <f t="shared" si="0"/>
        <v>8.0770411956136254E-2</v>
      </c>
      <c r="Y11">
        <f t="shared" si="0"/>
        <v>8.0386691115161862E-2</v>
      </c>
      <c r="Z11">
        <f t="shared" si="0"/>
        <v>8.0004793239803612E-2</v>
      </c>
      <c r="AA11">
        <f t="shared" si="0"/>
        <v>7.9624709669589414E-2</v>
      </c>
      <c r="AB11">
        <f t="shared" si="0"/>
        <v>7.9246431785190974E-2</v>
      </c>
      <c r="AC11">
        <f t="shared" si="0"/>
        <v>7.8869951008228398E-2</v>
      </c>
      <c r="AD11">
        <f t="shared" si="0"/>
        <v>7.8495258801075579E-2</v>
      </c>
      <c r="AE11">
        <f t="shared" si="1"/>
        <v>0.92101955735768903</v>
      </c>
    </row>
    <row r="12" spans="1:31" x14ac:dyDescent="0.3">
      <c r="B12" s="152"/>
      <c r="C12" s="152"/>
      <c r="D12" s="152"/>
      <c r="E12" s="152"/>
      <c r="F12" s="152"/>
      <c r="G12" s="152"/>
      <c r="H12" s="152"/>
      <c r="I12" s="152"/>
      <c r="J12" s="152"/>
      <c r="K12" s="152"/>
      <c r="L12" s="152"/>
      <c r="M12" s="152"/>
      <c r="O12" s="6">
        <v>67</v>
      </c>
      <c r="P12" s="68">
        <v>9.1999999999999998E-3</v>
      </c>
      <c r="Q12" s="69">
        <f t="shared" si="2"/>
        <v>0.99168000000000001</v>
      </c>
      <c r="R12" s="69">
        <f>R11*Q12</f>
        <v>0.98434156800000006</v>
      </c>
      <c r="S12">
        <f t="shared" si="3"/>
        <v>8.2028463999999995E-2</v>
      </c>
      <c r="T12">
        <f t="shared" si="0"/>
        <v>8.1632726927637914E-2</v>
      </c>
      <c r="U12">
        <f t="shared" si="0"/>
        <v>8.1238899044145205E-2</v>
      </c>
      <c r="V12">
        <f t="shared" si="0"/>
        <v>8.0846971138855542E-2</v>
      </c>
      <c r="W12">
        <f t="shared" si="0"/>
        <v>8.0456934045538359E-2</v>
      </c>
      <c r="X12">
        <f t="shared" si="0"/>
        <v>8.0068778642184577E-2</v>
      </c>
      <c r="Y12">
        <f t="shared" si="0"/>
        <v>7.968249585079322E-2</v>
      </c>
      <c r="Z12">
        <f t="shared" si="0"/>
        <v>7.9298076637159071E-2</v>
      </c>
      <c r="AA12">
        <f t="shared" si="0"/>
        <v>7.8915512010661437E-2</v>
      </c>
      <c r="AB12">
        <f t="shared" si="0"/>
        <v>7.8534793024053889E-2</v>
      </c>
      <c r="AC12">
        <f t="shared" si="0"/>
        <v>7.8155910773254927E-2</v>
      </c>
      <c r="AD12">
        <f t="shared" si="0"/>
        <v>7.7778856397139814E-2</v>
      </c>
      <c r="AE12">
        <f t="shared" si="1"/>
        <v>0.8695133047541258</v>
      </c>
    </row>
    <row r="13" spans="1:31" x14ac:dyDescent="0.3">
      <c r="B13" s="152"/>
      <c r="C13" s="152"/>
      <c r="D13" s="152"/>
      <c r="E13" s="152"/>
      <c r="F13" s="152"/>
      <c r="G13" s="152"/>
      <c r="H13" s="152"/>
      <c r="I13" s="152"/>
      <c r="J13" s="152"/>
      <c r="K13" s="152"/>
      <c r="L13" s="152"/>
      <c r="M13" s="152"/>
      <c r="O13" s="6">
        <v>68</v>
      </c>
      <c r="P13" s="68">
        <v>1.017E-2</v>
      </c>
      <c r="Q13" s="69">
        <f t="shared" si="2"/>
        <v>0.99080000000000001</v>
      </c>
      <c r="R13" s="69">
        <f t="shared" ref="R13:R65" si="4">R12*Q13</f>
        <v>0.97528562557440002</v>
      </c>
      <c r="S13">
        <f t="shared" si="3"/>
        <v>8.1273802131200001E-2</v>
      </c>
      <c r="T13">
        <f t="shared" si="0"/>
        <v>8.0875104231735759E-2</v>
      </c>
      <c r="U13">
        <f t="shared" si="0"/>
        <v>8.0478362190258571E-2</v>
      </c>
      <c r="V13">
        <f t="shared" si="0"/>
        <v>8.0083566412084181E-2</v>
      </c>
      <c r="W13">
        <f t="shared" si="0"/>
        <v>7.9690707349596115E-2</v>
      </c>
      <c r="X13">
        <f t="shared" si="0"/>
        <v>7.9299775502014863E-2</v>
      </c>
      <c r="Y13">
        <f t="shared" si="0"/>
        <v>7.8910761415168021E-2</v>
      </c>
      <c r="Z13">
        <f t="shared" si="0"/>
        <v>7.8523655681261739E-2</v>
      </c>
      <c r="AA13">
        <f t="shared" si="0"/>
        <v>7.8138448938653182E-2</v>
      </c>
      <c r="AB13">
        <f t="shared" si="0"/>
        <v>7.775513187162407E-2</v>
      </c>
      <c r="AC13">
        <f t="shared" si="0"/>
        <v>7.737369521015551E-2</v>
      </c>
      <c r="AD13">
        <f t="shared" si="0"/>
        <v>7.6994129729703681E-2</v>
      </c>
      <c r="AE13">
        <f t="shared" si="1"/>
        <v>0.8201249460433695</v>
      </c>
    </row>
    <row r="14" spans="1:31" x14ac:dyDescent="0.3">
      <c r="B14" s="152"/>
      <c r="C14" s="152"/>
      <c r="D14" s="152"/>
      <c r="E14" s="152"/>
      <c r="F14" s="152"/>
      <c r="G14" s="152"/>
      <c r="H14" s="152"/>
      <c r="I14" s="152"/>
      <c r="J14" s="152"/>
      <c r="K14" s="152"/>
      <c r="L14" s="152"/>
      <c r="M14" s="152"/>
      <c r="O14" s="6">
        <v>69</v>
      </c>
      <c r="P14" s="68">
        <v>1.1259999999999999E-2</v>
      </c>
      <c r="Q14" s="69">
        <f t="shared" si="2"/>
        <v>0.98982999999999999</v>
      </c>
      <c r="R14" s="69">
        <f t="shared" si="4"/>
        <v>0.96536697076230837</v>
      </c>
      <c r="S14">
        <f t="shared" si="3"/>
        <v>8.0447247563525698E-2</v>
      </c>
      <c r="T14">
        <f t="shared" si="0"/>
        <v>8.0045254556063011E-2</v>
      </c>
      <c r="U14">
        <f t="shared" si="0"/>
        <v>7.9645270298221243E-2</v>
      </c>
      <c r="V14">
        <f t="shared" si="0"/>
        <v>7.9247284752325731E-2</v>
      </c>
      <c r="W14">
        <f t="shared" si="0"/>
        <v>7.8851287930859798E-2</v>
      </c>
      <c r="X14">
        <f t="shared" si="0"/>
        <v>7.8457269896214141E-2</v>
      </c>
      <c r="Y14">
        <f t="shared" si="0"/>
        <v>7.8065220760437468E-2</v>
      </c>
      <c r="Z14">
        <f t="shared" si="0"/>
        <v>7.767513068498838E-2</v>
      </c>
      <c r="AA14">
        <f t="shared" si="0"/>
        <v>7.7286989880488391E-2</v>
      </c>
      <c r="AB14">
        <f t="shared" si="0"/>
        <v>7.6900788606476353E-2</v>
      </c>
      <c r="AC14">
        <f t="shared" si="0"/>
        <v>7.6516517171163909E-2</v>
      </c>
      <c r="AD14">
        <f t="shared" si="0"/>
        <v>7.6134165931192432E-2</v>
      </c>
      <c r="AE14">
        <f t="shared" si="1"/>
        <v>0.77274175104567056</v>
      </c>
    </row>
    <row r="15" spans="1:31" x14ac:dyDescent="0.3">
      <c r="B15" s="152"/>
      <c r="C15" s="152"/>
      <c r="D15" s="152"/>
      <c r="E15" s="152"/>
      <c r="F15" s="152"/>
      <c r="G15" s="152"/>
      <c r="H15" s="152"/>
      <c r="I15" s="152"/>
      <c r="J15" s="152"/>
      <c r="K15" s="152"/>
      <c r="L15" s="152"/>
      <c r="M15" s="152"/>
      <c r="O15" s="6">
        <v>70</v>
      </c>
      <c r="P15" s="68">
        <v>1.251E-2</v>
      </c>
      <c r="Q15" s="69">
        <f t="shared" si="2"/>
        <v>0.98873999999999995</v>
      </c>
      <c r="R15" s="69">
        <f t="shared" si="4"/>
        <v>0.95449693867152474</v>
      </c>
      <c r="S15">
        <f t="shared" si="3"/>
        <v>7.9541411555960395E-2</v>
      </c>
      <c r="T15">
        <f t="shared" si="0"/>
        <v>7.9135602107098232E-2</v>
      </c>
      <c r="U15">
        <f t="shared" si="0"/>
        <v>7.8731863042776212E-2</v>
      </c>
      <c r="V15">
        <f t="shared" si="0"/>
        <v>7.8330183800174369E-2</v>
      </c>
      <c r="W15">
        <f t="shared" si="0"/>
        <v>7.7930553870362809E-2</v>
      </c>
      <c r="X15">
        <f t="shared" si="0"/>
        <v>7.7532962798026794E-2</v>
      </c>
      <c r="Y15">
        <f t="shared" si="0"/>
        <v>7.7137400181193139E-2</v>
      </c>
      <c r="Z15">
        <f t="shared" si="0"/>
        <v>7.6743855670958164E-2</v>
      </c>
      <c r="AA15">
        <f t="shared" si="0"/>
        <v>7.6352318971216818E-2</v>
      </c>
      <c r="AB15">
        <f t="shared" si="0"/>
        <v>7.5962779838393418E-2</v>
      </c>
      <c r="AC15">
        <f t="shared" si="0"/>
        <v>7.5575228081173618E-2</v>
      </c>
      <c r="AD15">
        <f t="shared" si="0"/>
        <v>7.518965356023774E-2</v>
      </c>
      <c r="AE15">
        <f t="shared" si="1"/>
        <v>0.7272406346288276</v>
      </c>
    </row>
    <row r="16" spans="1:31" x14ac:dyDescent="0.3">
      <c r="B16" s="152"/>
      <c r="C16" s="152"/>
      <c r="D16" s="152"/>
      <c r="E16" s="152"/>
      <c r="F16" s="152"/>
      <c r="G16" s="152"/>
      <c r="H16" s="152"/>
      <c r="I16" s="152"/>
      <c r="J16" s="152"/>
      <c r="K16" s="152"/>
      <c r="L16" s="152"/>
      <c r="M16" s="152"/>
      <c r="O16" s="6">
        <v>71</v>
      </c>
      <c r="P16" s="68">
        <v>1.396E-2</v>
      </c>
      <c r="Q16" s="69">
        <f t="shared" si="2"/>
        <v>0.98748999999999998</v>
      </c>
      <c r="R16" s="69">
        <f t="shared" si="4"/>
        <v>0.94255618196874391</v>
      </c>
      <c r="S16">
        <f t="shared" si="3"/>
        <v>7.8546348497395321E-2</v>
      </c>
      <c r="T16">
        <f t="shared" si="0"/>
        <v>7.8136047064708877E-2</v>
      </c>
      <c r="U16">
        <f t="shared" si="0"/>
        <v>7.7727888917724253E-2</v>
      </c>
      <c r="V16">
        <f t="shared" si="0"/>
        <v>7.7321862860590701E-2</v>
      </c>
      <c r="W16">
        <f t="shared" si="0"/>
        <v>7.6917957755941097E-2</v>
      </c>
      <c r="X16">
        <f t="shared" si="0"/>
        <v>7.6516162524586387E-2</v>
      </c>
      <c r="Y16">
        <f t="shared" si="0"/>
        <v>7.6116466145211767E-2</v>
      </c>
      <c r="Z16">
        <f t="shared" si="0"/>
        <v>7.5718857654074267E-2</v>
      </c>
      <c r="AA16">
        <f t="shared" si="0"/>
        <v>7.5323326144702094E-2</v>
      </c>
      <c r="AB16">
        <f t="shared" si="0"/>
        <v>7.4929860767595433E-2</v>
      </c>
      <c r="AC16">
        <f t="shared" si="0"/>
        <v>7.4538450729928818E-2</v>
      </c>
      <c r="AD16">
        <f t="shared" si="0"/>
        <v>7.4149085295255143E-2</v>
      </c>
      <c r="AE16">
        <f t="shared" si="1"/>
        <v>0.68349025740471225</v>
      </c>
    </row>
    <row r="17" spans="2:31" x14ac:dyDescent="0.3">
      <c r="B17" s="152"/>
      <c r="C17" s="152"/>
      <c r="D17" s="152"/>
      <c r="E17" s="152"/>
      <c r="F17" s="152"/>
      <c r="G17" s="152"/>
      <c r="H17" s="152"/>
      <c r="I17" s="152"/>
      <c r="J17" s="152"/>
      <c r="K17" s="152"/>
      <c r="L17" s="152"/>
      <c r="M17" s="152"/>
      <c r="O17" s="6">
        <v>72</v>
      </c>
      <c r="P17" s="68">
        <v>1.559E-2</v>
      </c>
      <c r="Q17" s="69">
        <f t="shared" si="2"/>
        <v>0.98604000000000003</v>
      </c>
      <c r="R17" s="69">
        <f t="shared" si="4"/>
        <v>0.92939809766846027</v>
      </c>
      <c r="S17">
        <f t="shared" si="3"/>
        <v>7.7449841472371689E-2</v>
      </c>
      <c r="T17">
        <f t="shared" si="0"/>
        <v>7.7034646318044284E-2</v>
      </c>
      <c r="U17">
        <f t="shared" si="0"/>
        <v>7.6621676952858611E-2</v>
      </c>
      <c r="V17">
        <f t="shared" si="0"/>
        <v>7.6210921444745464E-2</v>
      </c>
      <c r="W17">
        <f t="shared" si="0"/>
        <v>7.5802367925601438E-2</v>
      </c>
      <c r="X17">
        <f t="shared" si="0"/>
        <v>7.5396004590945934E-2</v>
      </c>
      <c r="Y17">
        <f t="shared" si="0"/>
        <v>7.4991819699580159E-2</v>
      </c>
      <c r="Z17">
        <f t="shared" si="0"/>
        <v>7.4589801573247821E-2</v>
      </c>
      <c r="AA17">
        <f t="shared" si="0"/>
        <v>7.418993859629773E-2</v>
      </c>
      <c r="AB17">
        <f t="shared" si="0"/>
        <v>7.3792219215348218E-2</v>
      </c>
      <c r="AC17">
        <f t="shared" si="0"/>
        <v>7.3396631938953252E-2</v>
      </c>
      <c r="AD17">
        <f t="shared" si="0"/>
        <v>7.3003165337270456E-2</v>
      </c>
      <c r="AE17">
        <f t="shared" si="1"/>
        <v>0.64137500105473111</v>
      </c>
    </row>
    <row r="18" spans="2:31" x14ac:dyDescent="0.3">
      <c r="B18" s="152"/>
      <c r="C18" s="152"/>
      <c r="D18" s="152"/>
      <c r="E18" s="152"/>
      <c r="F18" s="152"/>
      <c r="G18" s="152"/>
      <c r="H18" s="152"/>
      <c r="I18" s="152"/>
      <c r="J18" s="152"/>
      <c r="K18" s="152"/>
      <c r="L18" s="152"/>
      <c r="M18" s="152"/>
      <c r="O18" s="6">
        <v>73</v>
      </c>
      <c r="P18" s="68">
        <v>1.745E-2</v>
      </c>
      <c r="Q18" s="69">
        <f t="shared" si="2"/>
        <v>0.98441000000000001</v>
      </c>
      <c r="R18" s="69">
        <f t="shared" si="4"/>
        <v>0.914908781325809</v>
      </c>
      <c r="S18">
        <f t="shared" si="3"/>
        <v>7.6242398443817416E-2</v>
      </c>
      <c r="T18">
        <f t="shared" si="0"/>
        <v>7.5821725458895067E-2</v>
      </c>
      <c r="U18">
        <f t="shared" si="0"/>
        <v>7.5403373567797902E-2</v>
      </c>
      <c r="V18">
        <f t="shared" si="0"/>
        <v>7.4987329963721691E-2</v>
      </c>
      <c r="W18">
        <f t="shared" si="0"/>
        <v>7.4573581910524739E-2</v>
      </c>
      <c r="X18">
        <f t="shared" si="0"/>
        <v>7.4162116742337927E-2</v>
      </c>
      <c r="Y18">
        <f t="shared" si="0"/>
        <v>7.3752921863176987E-2</v>
      </c>
      <c r="Z18">
        <f t="shared" si="0"/>
        <v>7.3345984746556903E-2</v>
      </c>
      <c r="AA18">
        <f t="shared" si="0"/>
        <v>7.2941292935108454E-2</v>
      </c>
      <c r="AB18">
        <f t="shared" si="0"/>
        <v>7.253883404019687E-2</v>
      </c>
      <c r="AC18">
        <f t="shared" si="0"/>
        <v>7.2138595741542591E-2</v>
      </c>
      <c r="AD18">
        <f t="shared" si="0"/>
        <v>7.1740565786844041E-2</v>
      </c>
      <c r="AE18">
        <f t="shared" si="1"/>
        <v>0.60079559416294048</v>
      </c>
    </row>
    <row r="19" spans="2:31" x14ac:dyDescent="0.3">
      <c r="B19" s="152"/>
      <c r="C19" s="152"/>
      <c r="D19" s="152"/>
      <c r="E19" s="152"/>
      <c r="F19" s="152"/>
      <c r="G19" s="152"/>
      <c r="H19" s="152"/>
      <c r="I19" s="152"/>
      <c r="J19" s="152"/>
      <c r="K19" s="152"/>
      <c r="L19" s="152"/>
      <c r="M19" s="152"/>
      <c r="O19" s="6">
        <v>74</v>
      </c>
      <c r="P19" s="68">
        <v>1.959E-2</v>
      </c>
      <c r="Q19" s="69">
        <f t="shared" si="2"/>
        <v>0.98255000000000003</v>
      </c>
      <c r="R19" s="69">
        <f t="shared" si="4"/>
        <v>0.89894362309167364</v>
      </c>
      <c r="S19">
        <f t="shared" si="3"/>
        <v>7.4911968590972794E-2</v>
      </c>
      <c r="T19">
        <f t="shared" si="0"/>
        <v>7.4485101291868069E-2</v>
      </c>
      <c r="U19">
        <f t="shared" si="0"/>
        <v>7.4060666390342436E-2</v>
      </c>
      <c r="V19">
        <f t="shared" si="0"/>
        <v>7.3638650025980718E-2</v>
      </c>
      <c r="W19">
        <f t="shared" si="0"/>
        <v>7.321903841734792E-2</v>
      </c>
      <c r="X19">
        <f t="shared" si="0"/>
        <v>7.2801817861539109E-2</v>
      </c>
      <c r="Y19">
        <f t="shared" si="0"/>
        <v>7.2386974733731971E-2</v>
      </c>
      <c r="Z19">
        <f t="shared" si="0"/>
        <v>7.1974495486741882E-2</v>
      </c>
      <c r="AA19">
        <f t="shared" si="0"/>
        <v>7.156436665057947E-2</v>
      </c>
      <c r="AB19">
        <f t="shared" si="0"/>
        <v>7.1156574832010794E-2</v>
      </c>
      <c r="AC19">
        <f t="shared" si="0"/>
        <v>7.0751106714119896E-2</v>
      </c>
      <c r="AD19">
        <f t="shared" si="0"/>
        <v>7.0347949055874007E-2</v>
      </c>
      <c r="AE19">
        <f t="shared" si="1"/>
        <v>0.56164691718801008</v>
      </c>
    </row>
    <row r="20" spans="2:31" x14ac:dyDescent="0.3">
      <c r="B20" s="152"/>
      <c r="C20" s="152"/>
      <c r="D20" s="152"/>
      <c r="E20" s="152"/>
      <c r="F20" s="152"/>
      <c r="G20" s="152"/>
      <c r="H20" s="152"/>
      <c r="I20" s="152"/>
      <c r="J20" s="152"/>
      <c r="K20" s="152"/>
      <c r="L20" s="152"/>
      <c r="M20" s="152"/>
      <c r="O20" s="6">
        <v>75</v>
      </c>
      <c r="P20" s="68">
        <v>2.2040000000000001E-2</v>
      </c>
      <c r="Q20" s="69">
        <f t="shared" si="2"/>
        <v>0.98041</v>
      </c>
      <c r="R20" s="69">
        <f t="shared" si="4"/>
        <v>0.88133331751530775</v>
      </c>
      <c r="S20">
        <f t="shared" si="3"/>
        <v>7.3444443126275641E-2</v>
      </c>
      <c r="T20">
        <f t="shared" si="0"/>
        <v>7.3010713337024052E-2</v>
      </c>
      <c r="U20">
        <f t="shared" si="0"/>
        <v>7.2579544960482217E-2</v>
      </c>
      <c r="V20">
        <f t="shared" si="0"/>
        <v>7.2150922870100748E-2</v>
      </c>
      <c r="W20">
        <f t="shared" si="0"/>
        <v>7.1724832028660895E-2</v>
      </c>
      <c r="X20">
        <f t="shared" si="0"/>
        <v>7.1301257487746891E-2</v>
      </c>
      <c r="Y20">
        <f t="shared" si="0"/>
        <v>7.0880184387221601E-2</v>
      </c>
      <c r="Z20">
        <f t="shared" si="0"/>
        <v>7.0461597954705177E-2</v>
      </c>
      <c r="AA20">
        <f t="shared" si="0"/>
        <v>7.0045483505056752E-2</v>
      </c>
      <c r="AB20">
        <f t="shared" si="0"/>
        <v>6.9631826439859337E-2</v>
      </c>
      <c r="AC20">
        <f t="shared" si="0"/>
        <v>6.9220612246907565E-2</v>
      </c>
      <c r="AD20">
        <f t="shared" si="0"/>
        <v>6.881182649969865E-2</v>
      </c>
      <c r="AE20">
        <f t="shared" si="1"/>
        <v>0.52382961476876566</v>
      </c>
    </row>
    <row r="21" spans="2:31" x14ac:dyDescent="0.3">
      <c r="B21" s="152"/>
      <c r="C21" s="152"/>
      <c r="D21" s="152"/>
      <c r="E21" s="152"/>
      <c r="F21" s="152"/>
      <c r="G21" s="152"/>
      <c r="H21" s="152"/>
      <c r="I21" s="152"/>
      <c r="J21" s="152"/>
      <c r="K21" s="152"/>
      <c r="L21" s="152"/>
      <c r="M21" s="152"/>
      <c r="O21" s="6">
        <v>76</v>
      </c>
      <c r="P21" s="68">
        <v>2.4850000000000001E-2</v>
      </c>
      <c r="Q21" s="69">
        <f t="shared" si="2"/>
        <v>0.97796000000000005</v>
      </c>
      <c r="R21" s="69">
        <f t="shared" si="4"/>
        <v>0.86190873119727041</v>
      </c>
      <c r="S21">
        <f t="shared" si="3"/>
        <v>7.1825727599772529E-2</v>
      </c>
      <c r="T21">
        <f t="shared" si="0"/>
        <v>7.1384437982952881E-2</v>
      </c>
      <c r="U21">
        <f t="shared" si="0"/>
        <v>7.0945859602516342E-2</v>
      </c>
      <c r="V21">
        <f t="shared" si="0"/>
        <v>7.0509975800915503E-2</v>
      </c>
      <c r="W21">
        <f t="shared" si="0"/>
        <v>7.0076770022945101E-2</v>
      </c>
      <c r="X21">
        <f t="shared" si="0"/>
        <v>6.964622581511333E-2</v>
      </c>
      <c r="Y21">
        <f t="shared" si="0"/>
        <v>6.9218326825016871E-2</v>
      </c>
      <c r="Z21">
        <f t="shared" si="0"/>
        <v>6.8793056800719801E-2</v>
      </c>
      <c r="AA21">
        <f t="shared" si="0"/>
        <v>6.837039959013641E-2</v>
      </c>
      <c r="AB21">
        <f t="shared" si="0"/>
        <v>6.7950339140417648E-2</v>
      </c>
      <c r="AC21">
        <f t="shared" si="0"/>
        <v>6.753285949734146E-2</v>
      </c>
      <c r="AD21">
        <f t="shared" si="0"/>
        <v>6.7117944804706842E-2</v>
      </c>
      <c r="AE21">
        <f t="shared" si="1"/>
        <v>0.48725530376637699</v>
      </c>
    </row>
    <row r="22" spans="2:31" x14ac:dyDescent="0.3">
      <c r="B22" s="152"/>
      <c r="C22" s="152"/>
      <c r="D22" s="152"/>
      <c r="E22" s="152"/>
      <c r="F22" s="152"/>
      <c r="G22" s="152"/>
      <c r="H22" s="152"/>
      <c r="I22" s="152"/>
      <c r="J22" s="152"/>
      <c r="K22" s="152"/>
      <c r="L22" s="152"/>
      <c r="M22" s="152"/>
      <c r="O22" s="6">
        <v>77</v>
      </c>
      <c r="P22" s="68">
        <v>2.8049999999999999E-2</v>
      </c>
      <c r="Q22" s="69">
        <f t="shared" si="2"/>
        <v>0.97514999999999996</v>
      </c>
      <c r="R22" s="69">
        <f t="shared" si="4"/>
        <v>0.84049029922701823</v>
      </c>
      <c r="S22">
        <f t="shared" si="3"/>
        <v>7.0040858268918177E-2</v>
      </c>
      <c r="T22">
        <f t="shared" si="0"/>
        <v>6.9591470158057903E-2</v>
      </c>
      <c r="U22">
        <f t="shared" si="0"/>
        <v>6.9144965359583754E-2</v>
      </c>
      <c r="V22">
        <f t="shared" si="0"/>
        <v>6.870132537391796E-2</v>
      </c>
      <c r="W22">
        <f t="shared" si="0"/>
        <v>6.8260531820177592E-2</v>
      </c>
      <c r="X22">
        <f t="shared" si="0"/>
        <v>6.7822566435413026E-2</v>
      </c>
      <c r="Y22">
        <f t="shared" si="0"/>
        <v>6.738741107385128E-2</v>
      </c>
      <c r="Z22">
        <f t="shared" si="0"/>
        <v>6.6955047706144202E-2</v>
      </c>
      <c r="AA22">
        <f t="shared" si="0"/>
        <v>6.6525458418621494E-2</v>
      </c>
      <c r="AB22">
        <f t="shared" si="0"/>
        <v>6.6098625412548448E-2</v>
      </c>
      <c r="AC22">
        <f t="shared" si="0"/>
        <v>6.5674531003388589E-2</v>
      </c>
      <c r="AD22">
        <f t="shared" si="0"/>
        <v>6.5253157620070917E-2</v>
      </c>
      <c r="AE22">
        <f t="shared" si="1"/>
        <v>0.45184903541147431</v>
      </c>
    </row>
    <row r="23" spans="2:31" x14ac:dyDescent="0.3">
      <c r="B23" s="152"/>
      <c r="C23" s="152"/>
      <c r="D23" s="152"/>
      <c r="E23" s="152"/>
      <c r="F23" s="152"/>
      <c r="G23" s="152"/>
      <c r="H23" s="152"/>
      <c r="I23" s="152"/>
      <c r="J23" s="152"/>
      <c r="K23" s="152"/>
      <c r="L23" s="152"/>
      <c r="M23" s="152"/>
      <c r="O23" s="6">
        <v>78</v>
      </c>
      <c r="P23" s="68">
        <v>3.1690000000000003E-2</v>
      </c>
      <c r="Q23" s="69">
        <f t="shared" si="2"/>
        <v>0.97194999999999998</v>
      </c>
      <c r="R23" s="69">
        <f t="shared" si="4"/>
        <v>0.81691454633370031</v>
      </c>
      <c r="S23">
        <f t="shared" si="3"/>
        <v>6.8076212194475016E-2</v>
      </c>
      <c r="T23">
        <f t="shared" si="0"/>
        <v>6.761828368667902E-2</v>
      </c>
      <c r="U23">
        <f t="shared" si="0"/>
        <v>6.7163435528266355E-2</v>
      </c>
      <c r="V23">
        <f t="shared" si="0"/>
        <v>6.6711646998639434E-2</v>
      </c>
      <c r="W23">
        <f t="shared" si="0"/>
        <v>6.6262897516582028E-2</v>
      </c>
      <c r="X23">
        <f t="shared" si="0"/>
        <v>6.5817166639321648E-2</v>
      </c>
      <c r="Y23">
        <f t="shared" si="0"/>
        <v>6.5374434061598249E-2</v>
      </c>
      <c r="Z23">
        <f t="shared" si="0"/>
        <v>6.4934679614739282E-2</v>
      </c>
      <c r="AA23">
        <f t="shared" si="0"/>
        <v>6.4497883265740852E-2</v>
      </c>
      <c r="AB23">
        <f t="shared" si="0"/>
        <v>6.4064025116355186E-2</v>
      </c>
      <c r="AC23">
        <f t="shared" si="0"/>
        <v>6.3633085402184084E-2</v>
      </c>
      <c r="AD23">
        <f t="shared" si="0"/>
        <v>6.3205044491778647E-2</v>
      </c>
      <c r="AE23">
        <f t="shared" si="1"/>
        <v>0.41755317935036701</v>
      </c>
    </row>
    <row r="24" spans="2:31" x14ac:dyDescent="0.3">
      <c r="B24" s="152"/>
      <c r="C24" s="152"/>
      <c r="D24" s="152"/>
      <c r="E24" s="152"/>
      <c r="F24" s="152"/>
      <c r="G24" s="152"/>
      <c r="H24" s="152"/>
      <c r="I24" s="152"/>
      <c r="J24" s="152"/>
      <c r="K24" s="152"/>
      <c r="L24" s="152"/>
      <c r="M24" s="152"/>
      <c r="O24" s="6">
        <v>79</v>
      </c>
      <c r="P24" s="68">
        <v>3.5830000000000001E-2</v>
      </c>
      <c r="Q24" s="69">
        <f t="shared" si="2"/>
        <v>0.96831</v>
      </c>
      <c r="R24" s="69">
        <f t="shared" si="4"/>
        <v>0.79102652436038534</v>
      </c>
      <c r="S24">
        <f t="shared" si="3"/>
        <v>6.5918877030032103E-2</v>
      </c>
      <c r="T24">
        <f t="shared" si="0"/>
        <v>6.5452086129369119E-2</v>
      </c>
      <c r="U24">
        <f t="shared" si="0"/>
        <v>6.4988600711972225E-2</v>
      </c>
      <c r="V24">
        <f t="shared" si="0"/>
        <v>6.4528397370744978E-2</v>
      </c>
      <c r="W24">
        <f t="shared" si="0"/>
        <v>6.4071452864343487E-2</v>
      </c>
      <c r="X24">
        <f t="shared" si="0"/>
        <v>6.36177441160026E-2</v>
      </c>
      <c r="Y24">
        <f t="shared" si="0"/>
        <v>6.3167248212370519E-2</v>
      </c>
      <c r="Z24">
        <f t="shared" si="0"/>
        <v>6.2719942402351625E-2</v>
      </c>
      <c r="AA24">
        <f t="shared" si="0"/>
        <v>6.2275804095957461E-2</v>
      </c>
      <c r="AB24">
        <f t="shared" si="0"/>
        <v>6.1834810863165897E-2</v>
      </c>
      <c r="AC24">
        <f t="shared" si="0"/>
        <v>6.1396940432788386E-2</v>
      </c>
      <c r="AD24">
        <f t="shared" si="0"/>
        <v>6.0962170691345192E-2</v>
      </c>
      <c r="AE24">
        <f t="shared" si="1"/>
        <v>0.38432341558460731</v>
      </c>
    </row>
    <row r="25" spans="2:31" x14ac:dyDescent="0.3">
      <c r="B25" s="152"/>
      <c r="C25" s="152"/>
      <c r="D25" s="152"/>
      <c r="E25" s="152"/>
      <c r="F25" s="152"/>
      <c r="G25" s="152"/>
      <c r="H25" s="152"/>
      <c r="I25" s="152"/>
      <c r="J25" s="152"/>
      <c r="K25" s="152"/>
      <c r="L25" s="152"/>
      <c r="M25" s="152"/>
      <c r="O25" s="6">
        <v>80</v>
      </c>
      <c r="P25" s="68">
        <v>4.079E-2</v>
      </c>
      <c r="Q25" s="69">
        <f t="shared" si="2"/>
        <v>0.96416999999999997</v>
      </c>
      <c r="R25" s="69">
        <f t="shared" si="4"/>
        <v>0.76268404399255274</v>
      </c>
      <c r="S25">
        <f t="shared" si="3"/>
        <v>6.3557003666046052E-2</v>
      </c>
      <c r="T25">
        <f t="shared" si="0"/>
        <v>6.307982035680075E-2</v>
      </c>
      <c r="U25">
        <f t="shared" si="0"/>
        <v>6.2606219719762879E-2</v>
      </c>
      <c r="V25">
        <f t="shared" si="0"/>
        <v>6.2136174856380261E-2</v>
      </c>
      <c r="W25">
        <f t="shared" si="0"/>
        <v>6.1669659070053909E-2</v>
      </c>
      <c r="X25">
        <f t="shared" si="0"/>
        <v>6.1206645864621767E-2</v>
      </c>
      <c r="Y25">
        <f t="shared" si="0"/>
        <v>6.0747108942853872E-2</v>
      </c>
      <c r="Z25">
        <f t="shared" si="0"/>
        <v>6.0291022204958737E-2</v>
      </c>
      <c r="AA25">
        <f t="shared" si="0"/>
        <v>5.9838359747101028E-2</v>
      </c>
      <c r="AB25">
        <f t="shared" si="0"/>
        <v>5.9389095859930283E-2</v>
      </c>
      <c r="AC25">
        <f t="shared" si="0"/>
        <v>5.8943205027120811E-2</v>
      </c>
      <c r="AD25">
        <f t="shared" si="0"/>
        <v>5.8500661923922379E-2</v>
      </c>
      <c r="AE25">
        <f t="shared" si="1"/>
        <v>0.35208766925599266</v>
      </c>
    </row>
    <row r="26" spans="2:31" x14ac:dyDescent="0.3">
      <c r="B26" s="152"/>
      <c r="C26" s="152"/>
      <c r="D26" s="152"/>
      <c r="E26" s="152"/>
      <c r="F26" s="152"/>
      <c r="G26" s="152"/>
      <c r="H26" s="152"/>
      <c r="I26" s="152"/>
      <c r="J26" s="152"/>
      <c r="K26" s="152"/>
      <c r="L26" s="152"/>
      <c r="M26" s="152"/>
      <c r="O26" s="6">
        <v>81</v>
      </c>
      <c r="P26" s="68">
        <v>4.5830000000000003E-2</v>
      </c>
      <c r="Q26" s="69">
        <f t="shared" si="2"/>
        <v>0.95921000000000001</v>
      </c>
      <c r="R26" s="69">
        <f t="shared" si="4"/>
        <v>0.73157416183809654</v>
      </c>
      <c r="S26">
        <f t="shared" si="3"/>
        <v>6.096451348650804E-2</v>
      </c>
      <c r="T26">
        <f t="shared" si="3"/>
        <v>6.0480236942344758E-2</v>
      </c>
      <c r="U26">
        <f t="shared" si="3"/>
        <v>5.9999807288082081E-2</v>
      </c>
      <c r="V26">
        <f t="shared" si="3"/>
        <v>5.9523193965638925E-2</v>
      </c>
      <c r="W26">
        <f t="shared" si="3"/>
        <v>5.905036665967478E-2</v>
      </c>
      <c r="X26">
        <f t="shared" si="3"/>
        <v>5.8581295295661508E-2</v>
      </c>
      <c r="Y26">
        <f t="shared" si="3"/>
        <v>5.8115950037970404E-2</v>
      </c>
      <c r="Z26">
        <f t="shared" si="3"/>
        <v>5.765430128797451E-2</v>
      </c>
      <c r="AA26">
        <f t="shared" si="3"/>
        <v>5.7196319682165944E-2</v>
      </c>
      <c r="AB26">
        <f t="shared" si="3"/>
        <v>5.6741976090288228E-2</v>
      </c>
      <c r="AC26">
        <f t="shared" si="3"/>
        <v>5.6291241613483423E-2</v>
      </c>
      <c r="AD26">
        <f t="shared" si="3"/>
        <v>5.584408758245403E-2</v>
      </c>
      <c r="AE26">
        <f t="shared" si="1"/>
        <v>0.32088114161952508</v>
      </c>
    </row>
    <row r="27" spans="2:31" x14ac:dyDescent="0.3">
      <c r="B27" s="152"/>
      <c r="C27" s="152"/>
      <c r="D27" s="152"/>
      <c r="E27" s="152"/>
      <c r="F27" s="152"/>
      <c r="G27" s="152"/>
      <c r="H27" s="152"/>
      <c r="I27" s="152"/>
      <c r="J27" s="152"/>
      <c r="K27" s="152"/>
      <c r="L27" s="152"/>
      <c r="M27" s="152"/>
      <c r="O27" s="6">
        <v>82</v>
      </c>
      <c r="P27" s="68">
        <v>5.1499999999999997E-2</v>
      </c>
      <c r="Q27" s="69">
        <f t="shared" si="2"/>
        <v>0.95416999999999996</v>
      </c>
      <c r="R27" s="69">
        <f t="shared" si="4"/>
        <v>0.69804611800105654</v>
      </c>
      <c r="S27">
        <f t="shared" si="3"/>
        <v>5.8170509833421376E-2</v>
      </c>
      <c r="T27">
        <f t="shared" si="3"/>
        <v>5.7679772643293256E-2</v>
      </c>
      <c r="U27">
        <f t="shared" si="3"/>
        <v>5.7193175402951796E-2</v>
      </c>
      <c r="V27">
        <f t="shared" si="3"/>
        <v>5.6710683187014166E-2</v>
      </c>
      <c r="W27">
        <f t="shared" si="3"/>
        <v>5.6232261364734519E-2</v>
      </c>
      <c r="X27">
        <f t="shared" si="3"/>
        <v>5.5757875597518408E-2</v>
      </c>
      <c r="Y27">
        <f t="shared" si="3"/>
        <v>5.5287491836458112E-2</v>
      </c>
      <c r="Z27">
        <f t="shared" si="3"/>
        <v>5.4821076319888813E-2</v>
      </c>
      <c r="AA27">
        <f t="shared" si="3"/>
        <v>5.4358595570965333E-2</v>
      </c>
      <c r="AB27">
        <f t="shared" si="3"/>
        <v>5.3900016395259362E-2</v>
      </c>
      <c r="AC27">
        <f t="shared" si="3"/>
        <v>5.3445305878376939E-2</v>
      </c>
      <c r="AD27">
        <f t="shared" si="3"/>
        <v>5.2994431383596011E-2</v>
      </c>
      <c r="AE27">
        <f t="shared" si="1"/>
        <v>0.29081407868195769</v>
      </c>
    </row>
    <row r="28" spans="2:31" x14ac:dyDescent="0.3">
      <c r="B28" s="152"/>
      <c r="C28" s="152"/>
      <c r="D28" s="152"/>
      <c r="E28" s="152"/>
      <c r="F28" s="152"/>
      <c r="G28" s="152"/>
      <c r="H28" s="152"/>
      <c r="I28" s="152"/>
      <c r="J28" s="152"/>
      <c r="K28" s="152"/>
      <c r="L28" s="152"/>
      <c r="M28" s="152"/>
      <c r="O28" s="6">
        <v>83</v>
      </c>
      <c r="P28" s="68">
        <v>5.7869999999999998E-2</v>
      </c>
      <c r="Q28" s="69">
        <f t="shared" si="2"/>
        <v>0.94850000000000001</v>
      </c>
      <c r="R28" s="69">
        <f t="shared" si="4"/>
        <v>0.66209674292400211</v>
      </c>
      <c r="S28">
        <f t="shared" si="3"/>
        <v>5.5174728577000176E-2</v>
      </c>
      <c r="T28">
        <f t="shared" si="3"/>
        <v>5.467855135330419E-2</v>
      </c>
      <c r="U28">
        <f t="shared" si="3"/>
        <v>5.4186836169452607E-2</v>
      </c>
      <c r="V28">
        <f t="shared" si="3"/>
        <v>5.3699542899057873E-2</v>
      </c>
      <c r="W28">
        <f t="shared" si="3"/>
        <v>5.3216631776582403E-2</v>
      </c>
      <c r="X28">
        <f t="shared" si="3"/>
        <v>5.2738063394093558E-2</v>
      </c>
      <c r="Y28">
        <f t="shared" si="3"/>
        <v>5.2263798698047682E-2</v>
      </c>
      <c r="Z28">
        <f t="shared" si="3"/>
        <v>5.1793798986103236E-2</v>
      </c>
      <c r="AA28">
        <f t="shared" si="3"/>
        <v>5.1328025903962411E-2</v>
      </c>
      <c r="AB28">
        <f t="shared" si="3"/>
        <v>5.0866441442241284E-2</v>
      </c>
      <c r="AC28">
        <f t="shared" si="3"/>
        <v>5.0409007933368048E-2</v>
      </c>
      <c r="AD28">
        <f t="shared" si="3"/>
        <v>4.9955688048509139E-2</v>
      </c>
      <c r="AE28">
        <f t="shared" si="1"/>
        <v>0.26190728735056296</v>
      </c>
    </row>
    <row r="29" spans="2:31" x14ac:dyDescent="0.3">
      <c r="B29" s="152"/>
      <c r="C29" s="152"/>
      <c r="D29" s="152"/>
      <c r="E29" s="152"/>
      <c r="F29" s="152"/>
      <c r="G29" s="152"/>
      <c r="H29" s="152"/>
      <c r="I29" s="152"/>
      <c r="J29" s="152"/>
      <c r="K29" s="152"/>
      <c r="L29" s="152"/>
      <c r="M29" s="152"/>
      <c r="O29" s="6">
        <v>84</v>
      </c>
      <c r="P29" s="68">
        <v>6.5079999999999999E-2</v>
      </c>
      <c r="Q29" s="69">
        <f t="shared" si="2"/>
        <v>0.94213000000000002</v>
      </c>
      <c r="R29" s="69">
        <f t="shared" si="4"/>
        <v>0.62378120441099016</v>
      </c>
      <c r="S29">
        <f t="shared" si="3"/>
        <v>5.1981767034249178E-2</v>
      </c>
      <c r="T29">
        <f t="shared" si="3"/>
        <v>5.1481335090634718E-2</v>
      </c>
      <c r="U29">
        <f t="shared" si="3"/>
        <v>5.0985720838770225E-2</v>
      </c>
      <c r="V29">
        <f t="shared" si="3"/>
        <v>5.0494877898415405E-2</v>
      </c>
      <c r="W29">
        <f t="shared" si="3"/>
        <v>5.0008760335835629E-2</v>
      </c>
      <c r="X29">
        <f t="shared" si="3"/>
        <v>4.9527322659503402E-2</v>
      </c>
      <c r="Y29">
        <f t="shared" si="3"/>
        <v>4.9050519815841208E-2</v>
      </c>
      <c r="Z29">
        <f t="shared" si="3"/>
        <v>4.8578307185005318E-2</v>
      </c>
      <c r="AA29">
        <f t="shared" si="3"/>
        <v>4.8110640576710231E-2</v>
      </c>
      <c r="AB29">
        <f t="shared" si="3"/>
        <v>4.764747622609327E-2</v>
      </c>
      <c r="AC29">
        <f t="shared" si="3"/>
        <v>4.7188770789619035E-2</v>
      </c>
      <c r="AD29">
        <f t="shared" si="3"/>
        <v>4.673448134102319E-2</v>
      </c>
      <c r="AE29">
        <f t="shared" si="1"/>
        <v>0.23419139042577344</v>
      </c>
    </row>
    <row r="30" spans="2:31" x14ac:dyDescent="0.3">
      <c r="B30" s="152"/>
      <c r="C30" s="152"/>
      <c r="D30" s="152"/>
      <c r="E30" s="152"/>
      <c r="F30" s="152"/>
      <c r="G30" s="152"/>
      <c r="H30" s="152"/>
      <c r="I30" s="152"/>
      <c r="J30" s="152"/>
      <c r="K30" s="152"/>
      <c r="L30" s="152"/>
      <c r="M30" s="152"/>
      <c r="O30" s="6">
        <v>85</v>
      </c>
      <c r="P30" s="68">
        <v>7.3270000000000002E-2</v>
      </c>
      <c r="Q30" s="69">
        <f t="shared" si="2"/>
        <v>0.93491999999999997</v>
      </c>
      <c r="R30" s="69">
        <f t="shared" si="4"/>
        <v>0.58318552362792286</v>
      </c>
      <c r="S30">
        <f t="shared" si="3"/>
        <v>4.8598793635660234E-2</v>
      </c>
      <c r="T30">
        <f t="shared" si="3"/>
        <v>4.8095651924290168E-2</v>
      </c>
      <c r="U30">
        <f t="shared" si="3"/>
        <v>4.7597719222502083E-2</v>
      </c>
      <c r="V30">
        <f t="shared" si="3"/>
        <v>4.7104941601591156E-2</v>
      </c>
      <c r="W30">
        <f t="shared" si="3"/>
        <v>4.6617265691174713E-2</v>
      </c>
      <c r="X30">
        <f t="shared" si="3"/>
        <v>4.6134638673411874E-2</v>
      </c>
      <c r="Y30">
        <f t="shared" si="3"/>
        <v>4.5657008277283112E-2</v>
      </c>
      <c r="Z30">
        <f t="shared" si="3"/>
        <v>4.5184322772929088E-2</v>
      </c>
      <c r="AA30">
        <f t="shared" si="3"/>
        <v>4.4716530966047954E-2</v>
      </c>
      <c r="AB30">
        <f t="shared" si="3"/>
        <v>4.4253582192350802E-2</v>
      </c>
      <c r="AC30">
        <f t="shared" si="3"/>
        <v>4.3795426312074441E-2</v>
      </c>
      <c r="AD30">
        <f t="shared" si="3"/>
        <v>4.3342013704550993E-2</v>
      </c>
      <c r="AE30">
        <f t="shared" si="1"/>
        <v>0.2077030006490998</v>
      </c>
    </row>
    <row r="31" spans="2:31" x14ac:dyDescent="0.3">
      <c r="B31" s="152"/>
      <c r="C31" s="152"/>
      <c r="D31" s="152"/>
      <c r="E31" s="152"/>
      <c r="F31" s="152"/>
      <c r="G31" s="152"/>
      <c r="H31" s="152"/>
      <c r="I31" s="152"/>
      <c r="J31" s="152"/>
      <c r="K31" s="152"/>
      <c r="L31" s="152"/>
      <c r="M31" s="152"/>
      <c r="O31" s="6">
        <v>86</v>
      </c>
      <c r="P31" s="68">
        <v>8.2589999999999997E-2</v>
      </c>
      <c r="Q31" s="69">
        <f t="shared" si="2"/>
        <v>0.92673000000000005</v>
      </c>
      <c r="R31" s="69">
        <f t="shared" si="4"/>
        <v>0.54045552031170496</v>
      </c>
      <c r="S31">
        <f t="shared" si="3"/>
        <v>4.5037960025975411E-2</v>
      </c>
      <c r="T31">
        <f t="shared" si="3"/>
        <v>4.4534155922901691E-2</v>
      </c>
      <c r="U31">
        <f t="shared" si="3"/>
        <v>4.40359874785951E-2</v>
      </c>
      <c r="V31">
        <f t="shared" si="3"/>
        <v>4.3543391651390144E-2</v>
      </c>
      <c r="W31">
        <f t="shared" si="3"/>
        <v>4.305630610481867E-2</v>
      </c>
      <c r="X31">
        <f t="shared" si="3"/>
        <v>4.2574669199721395E-2</v>
      </c>
      <c r="Y31">
        <f t="shared" si="3"/>
        <v>4.209841998644763E-2</v>
      </c>
      <c r="Z31">
        <f t="shared" si="3"/>
        <v>4.1627498197142329E-2</v>
      </c>
      <c r="AA31">
        <f t="shared" si="3"/>
        <v>4.1161844238119347E-2</v>
      </c>
      <c r="AB31">
        <f t="shared" si="3"/>
        <v>4.0701399182320068E-2</v>
      </c>
      <c r="AC31">
        <f t="shared" si="3"/>
        <v>4.0246104761856361E-2</v>
      </c>
      <c r="AD31">
        <f t="shared" si="3"/>
        <v>3.9795903360636951E-2</v>
      </c>
      <c r="AE31">
        <f t="shared" si="1"/>
        <v>0.18249119419677098</v>
      </c>
    </row>
    <row r="32" spans="2:31" x14ac:dyDescent="0.3">
      <c r="B32" s="152"/>
      <c r="C32" s="152"/>
      <c r="D32" s="152"/>
      <c r="E32" s="152"/>
      <c r="F32" s="152"/>
      <c r="G32" s="152"/>
      <c r="H32" s="152"/>
      <c r="I32" s="152"/>
      <c r="J32" s="152"/>
      <c r="K32" s="152"/>
      <c r="L32" s="152"/>
      <c r="M32" s="152"/>
      <c r="O32" s="6">
        <v>87</v>
      </c>
      <c r="P32" s="68">
        <v>9.3100000000000002E-2</v>
      </c>
      <c r="Q32" s="69">
        <f t="shared" si="2"/>
        <v>0.91741000000000006</v>
      </c>
      <c r="R32" s="69">
        <f t="shared" si="4"/>
        <v>0.49581929888916126</v>
      </c>
      <c r="S32">
        <f t="shared" si="3"/>
        <v>4.1318274907430105E-2</v>
      </c>
      <c r="T32">
        <f t="shared" si="3"/>
        <v>4.0816869172808704E-2</v>
      </c>
      <c r="U32">
        <f t="shared" si="3"/>
        <v>4.0321548099545371E-2</v>
      </c>
      <c r="V32">
        <f t="shared" si="3"/>
        <v>3.9832237849027403E-2</v>
      </c>
      <c r="W32">
        <f t="shared" si="3"/>
        <v>3.9348865478688815E-2</v>
      </c>
      <c r="X32">
        <f t="shared" si="3"/>
        <v>3.8871358931136593E-2</v>
      </c>
      <c r="Y32">
        <f t="shared" si="3"/>
        <v>3.8399647023408964E-2</v>
      </c>
      <c r="Z32">
        <f t="shared" si="3"/>
        <v>3.7933659436363974E-2</v>
      </c>
      <c r="AA32">
        <f t="shared" si="3"/>
        <v>3.747332670419689E-2</v>
      </c>
      <c r="AB32">
        <f t="shared" si="3"/>
        <v>3.7018580204084738E-2</v>
      </c>
      <c r="AC32">
        <f t="shared" si="3"/>
        <v>3.6569352145956573E-2</v>
      </c>
      <c r="AD32">
        <f t="shared" si="3"/>
        <v>3.6125575562387865E-2</v>
      </c>
      <c r="AE32">
        <f t="shared" si="1"/>
        <v>0.15862835485223103</v>
      </c>
    </row>
    <row r="33" spans="2:31" x14ac:dyDescent="0.3">
      <c r="B33" s="152"/>
      <c r="C33" s="152"/>
      <c r="D33" s="152"/>
      <c r="E33" s="152"/>
      <c r="F33" s="152"/>
      <c r="G33" s="152"/>
      <c r="H33" s="152"/>
      <c r="I33" s="152"/>
      <c r="J33" s="152"/>
      <c r="K33" s="152"/>
      <c r="L33" s="152"/>
      <c r="M33" s="152"/>
      <c r="O33" s="6">
        <v>88</v>
      </c>
      <c r="P33" s="68">
        <v>0.10496999999999999</v>
      </c>
      <c r="Q33" s="69">
        <f t="shared" si="2"/>
        <v>0.90690000000000004</v>
      </c>
      <c r="R33" s="69">
        <f t="shared" si="4"/>
        <v>0.44965852216258034</v>
      </c>
      <c r="S33">
        <f t="shared" si="3"/>
        <v>3.747154351354836E-2</v>
      </c>
      <c r="T33">
        <f t="shared" si="3"/>
        <v>3.6976199717183071E-2</v>
      </c>
      <c r="U33">
        <f t="shared" si="3"/>
        <v>3.6487403969112327E-2</v>
      </c>
      <c r="V33">
        <f t="shared" si="3"/>
        <v>3.600506970938163E-2</v>
      </c>
      <c r="W33">
        <f t="shared" si="3"/>
        <v>3.552911152228979E-2</v>
      </c>
      <c r="X33">
        <f t="shared" si="3"/>
        <v>3.5059445121262738E-2</v>
      </c>
      <c r="Y33">
        <f t="shared" si="3"/>
        <v>3.4595987333927464E-2</v>
      </c>
      <c r="Z33">
        <f t="shared" si="3"/>
        <v>3.413865608738309E-2</v>
      </c>
      <c r="AA33">
        <f t="shared" si="3"/>
        <v>3.3687370393666767E-2</v>
      </c>
      <c r="AB33">
        <f t="shared" si="3"/>
        <v>3.3242050335411652E-2</v>
      </c>
      <c r="AC33">
        <f t="shared" si="3"/>
        <v>3.2802617051694502E-2</v>
      </c>
      <c r="AD33">
        <f t="shared" si="3"/>
        <v>3.236899272407031E-2</v>
      </c>
      <c r="AE33">
        <f t="shared" si="1"/>
        <v>0.13620745946466531</v>
      </c>
    </row>
    <row r="34" spans="2:31" x14ac:dyDescent="0.3">
      <c r="B34" s="152"/>
      <c r="C34" s="152"/>
      <c r="D34" s="152"/>
      <c r="E34" s="152"/>
      <c r="F34" s="152"/>
      <c r="G34" s="152"/>
      <c r="H34" s="152"/>
      <c r="I34" s="152"/>
      <c r="J34" s="152"/>
      <c r="K34" s="152"/>
      <c r="L34" s="152"/>
      <c r="M34" s="152"/>
      <c r="O34" s="6">
        <v>89</v>
      </c>
      <c r="P34" s="68">
        <v>0.11814</v>
      </c>
      <c r="Q34" s="69">
        <f t="shared" si="2"/>
        <v>0.89502999999999999</v>
      </c>
      <c r="R34" s="69">
        <f t="shared" si="4"/>
        <v>0.40245786709117426</v>
      </c>
      <c r="S34">
        <f t="shared" si="3"/>
        <v>3.3538155590931186E-2</v>
      </c>
      <c r="T34">
        <f t="shared" si="3"/>
        <v>3.3053950364386873E-2</v>
      </c>
      <c r="U34">
        <f t="shared" si="3"/>
        <v>3.2576735823444732E-2</v>
      </c>
      <c r="V34">
        <f t="shared" si="3"/>
        <v>3.2106411040476332E-2</v>
      </c>
      <c r="W34">
        <f t="shared" si="3"/>
        <v>3.1642876544990171E-2</v>
      </c>
      <c r="X34">
        <f t="shared" si="3"/>
        <v>3.1186034302594361E-2</v>
      </c>
      <c r="Y34">
        <f t="shared" si="3"/>
        <v>3.0735787694262995E-2</v>
      </c>
      <c r="Z34">
        <f t="shared" si="3"/>
        <v>3.0292041495901905E-2</v>
      </c>
      <c r="AA34">
        <f t="shared" si="3"/>
        <v>2.9854701858209397E-2</v>
      </c>
      <c r="AB34">
        <f t="shared" si="3"/>
        <v>2.9423676286827762E-2</v>
      </c>
      <c r="AC34">
        <f t="shared" si="3"/>
        <v>2.8998873622781373E-2</v>
      </c>
      <c r="AD34">
        <f t="shared" si="3"/>
        <v>2.8580204023197144E-2</v>
      </c>
      <c r="AE34">
        <f t="shared" si="1"/>
        <v>0.11534199098948189</v>
      </c>
    </row>
    <row r="35" spans="2:31" x14ac:dyDescent="0.3">
      <c r="B35" s="152"/>
      <c r="C35" s="152"/>
      <c r="D35" s="152"/>
      <c r="E35" s="152"/>
      <c r="F35" s="152"/>
      <c r="G35" s="152"/>
      <c r="H35" s="152"/>
      <c r="I35" s="152"/>
      <c r="J35" s="152"/>
      <c r="K35" s="152"/>
      <c r="L35" s="152"/>
      <c r="M35" s="152"/>
      <c r="O35" s="6">
        <v>90</v>
      </c>
      <c r="P35" s="68">
        <v>0.13261999999999999</v>
      </c>
      <c r="Q35" s="69">
        <f t="shared" si="2"/>
        <v>0.88185999999999998</v>
      </c>
      <c r="R35" s="69">
        <f t="shared" si="4"/>
        <v>0.35491149467302291</v>
      </c>
      <c r="S35">
        <f t="shared" si="3"/>
        <v>2.9575957889418573E-2</v>
      </c>
      <c r="T35">
        <f t="shared" si="3"/>
        <v>2.9108768215476491E-2</v>
      </c>
      <c r="U35">
        <f t="shared" si="3"/>
        <v>2.8648958393516017E-2</v>
      </c>
      <c r="V35">
        <f t="shared" si="3"/>
        <v>2.8196411849438212E-2</v>
      </c>
      <c r="W35">
        <f t="shared" si="3"/>
        <v>2.7751013850579532E-2</v>
      </c>
      <c r="X35">
        <f t="shared" si="3"/>
        <v>2.7312651476623998E-2</v>
      </c>
      <c r="Y35">
        <f t="shared" si="3"/>
        <v>2.6881213590974895E-2</v>
      </c>
      <c r="Z35">
        <f t="shared" si="3"/>
        <v>2.6456590812578659E-2</v>
      </c>
      <c r="AA35">
        <f t="shared" si="3"/>
        <v>2.6038675488193854E-2</v>
      </c>
      <c r="AB35">
        <f t="shared" si="3"/>
        <v>2.5627361665098197E-2</v>
      </c>
      <c r="AC35">
        <f t="shared" si="3"/>
        <v>2.5222545064226696E-2</v>
      </c>
      <c r="AD35">
        <f t="shared" si="3"/>
        <v>2.4824123053734132E-2</v>
      </c>
      <c r="AE35">
        <f t="shared" si="1"/>
        <v>9.6163655917111582E-2</v>
      </c>
    </row>
    <row r="36" spans="2:31" x14ac:dyDescent="0.3">
      <c r="B36" s="152"/>
      <c r="C36" s="152"/>
      <c r="D36" s="152"/>
      <c r="E36" s="152"/>
      <c r="F36" s="152"/>
      <c r="G36" s="152"/>
      <c r="H36" s="152"/>
      <c r="I36" s="152"/>
      <c r="J36" s="152"/>
      <c r="K36" s="152"/>
      <c r="L36" s="152"/>
      <c r="M36" s="152"/>
      <c r="O36" s="6">
        <v>91</v>
      </c>
      <c r="P36" s="68">
        <v>0.14773</v>
      </c>
      <c r="Q36" s="69">
        <f t="shared" si="2"/>
        <v>0.86738000000000004</v>
      </c>
      <c r="R36" s="69">
        <f t="shared" si="4"/>
        <v>0.30784313224948662</v>
      </c>
      <c r="S36">
        <f t="shared" si="3"/>
        <v>2.5653594354123885E-2</v>
      </c>
      <c r="T36">
        <f t="shared" si="3"/>
        <v>2.5211414638458964E-2</v>
      </c>
      <c r="U36">
        <f t="shared" si="3"/>
        <v>2.4776856579948461E-2</v>
      </c>
      <c r="V36">
        <f t="shared" si="3"/>
        <v>2.4349788807442312E-2</v>
      </c>
      <c r="W36">
        <f t="shared" si="3"/>
        <v>2.3930082214177154E-2</v>
      </c>
      <c r="X36">
        <f t="shared" si="3"/>
        <v>2.3517609918746085E-2</v>
      </c>
      <c r="Y36">
        <f t="shared" si="3"/>
        <v>2.3112247226741173E-2</v>
      </c>
      <c r="Z36">
        <f t="shared" si="3"/>
        <v>2.2713871593057124E-2</v>
      </c>
      <c r="AA36">
        <f t="shared" si="3"/>
        <v>2.2322362584844678E-2</v>
      </c>
      <c r="AB36">
        <f t="shared" si="3"/>
        <v>2.19376018451026E-2</v>
      </c>
      <c r="AC36">
        <f t="shared" si="3"/>
        <v>2.1559473056897208E-2</v>
      </c>
      <c r="AD36">
        <f t="shared" si="3"/>
        <v>2.1187861908198592E-2</v>
      </c>
      <c r="AE36">
        <f t="shared" si="1"/>
        <v>7.8824118338567506E-2</v>
      </c>
    </row>
    <row r="37" spans="2:31" x14ac:dyDescent="0.3">
      <c r="B37" s="152"/>
      <c r="C37" s="152"/>
      <c r="D37" s="152"/>
      <c r="E37" s="152"/>
      <c r="F37" s="152"/>
      <c r="G37" s="152"/>
      <c r="H37" s="152"/>
      <c r="I37" s="152"/>
      <c r="J37" s="152"/>
      <c r="K37" s="152"/>
      <c r="L37" s="152"/>
      <c r="M37" s="152"/>
      <c r="O37" s="6">
        <v>92</v>
      </c>
      <c r="P37" s="68">
        <v>0.16328999999999999</v>
      </c>
      <c r="Q37" s="69">
        <f t="shared" si="2"/>
        <v>0.85226999999999997</v>
      </c>
      <c r="R37" s="69">
        <f t="shared" si="4"/>
        <v>0.26236546632226992</v>
      </c>
      <c r="S37">
        <f t="shared" si="3"/>
        <v>2.1863788860189158E-2</v>
      </c>
      <c r="T37">
        <f t="shared" si="3"/>
        <v>2.1453964767376058E-2</v>
      </c>
      <c r="U37">
        <f t="shared" si="3"/>
        <v>2.1051822590452476E-2</v>
      </c>
      <c r="V37">
        <f t="shared" si="3"/>
        <v>2.0657218336342428E-2</v>
      </c>
      <c r="W37">
        <f t="shared" si="3"/>
        <v>2.0270010711036977E-2</v>
      </c>
      <c r="X37">
        <f t="shared" si="3"/>
        <v>1.9890061069001756E-2</v>
      </c>
      <c r="Y37">
        <f t="shared" si="3"/>
        <v>1.9517233363532855E-2</v>
      </c>
      <c r="Z37">
        <f t="shared" si="3"/>
        <v>1.9151394098043253E-2</v>
      </c>
      <c r="AA37">
        <f t="shared" si="3"/>
        <v>1.8792412278262324E-2</v>
      </c>
      <c r="AB37">
        <f t="shared" si="3"/>
        <v>1.8440159365331388E-2</v>
      </c>
      <c r="AC37">
        <f t="shared" si="3"/>
        <v>1.8094509229778417E-2</v>
      </c>
      <c r="AD37">
        <f t="shared" si="3"/>
        <v>1.7755338106355482E-2</v>
      </c>
      <c r="AE37">
        <f t="shared" si="1"/>
        <v>6.3463421644396889E-2</v>
      </c>
    </row>
    <row r="38" spans="2:31" x14ac:dyDescent="0.3">
      <c r="B38" s="152"/>
      <c r="C38" s="152"/>
      <c r="D38" s="152"/>
      <c r="E38" s="152"/>
      <c r="F38" s="152"/>
      <c r="G38" s="152"/>
      <c r="H38" s="152"/>
      <c r="I38" s="152"/>
      <c r="J38" s="152"/>
      <c r="K38" s="152"/>
      <c r="L38" s="152"/>
      <c r="M38" s="152"/>
      <c r="O38" s="6">
        <v>93</v>
      </c>
      <c r="P38" s="68">
        <v>0.17927000000000001</v>
      </c>
      <c r="Q38" s="69">
        <f t="shared" si="2"/>
        <v>0.83671000000000006</v>
      </c>
      <c r="R38" s="69">
        <f t="shared" si="4"/>
        <v>0.21952380932650647</v>
      </c>
      <c r="S38">
        <f t="shared" si="3"/>
        <v>1.8293650777208872E-2</v>
      </c>
      <c r="T38">
        <f t="shared" si="3"/>
        <v>1.7921924151864929E-2</v>
      </c>
      <c r="U38">
        <f t="shared" si="3"/>
        <v>1.7557751004264297E-2</v>
      </c>
      <c r="V38">
        <f t="shared" si="3"/>
        <v>1.7200977847887239E-2</v>
      </c>
      <c r="W38">
        <f t="shared" si="3"/>
        <v>1.685145431505709E-2</v>
      </c>
      <c r="X38">
        <f t="shared" si="3"/>
        <v>1.6509033093565422E-2</v>
      </c>
      <c r="Y38">
        <f t="shared" si="3"/>
        <v>1.6173569864585007E-2</v>
      </c>
      <c r="Z38">
        <f t="shared" si="3"/>
        <v>1.584492324184435E-2</v>
      </c>
      <c r="AA38">
        <f t="shared" si="3"/>
        <v>1.5522954712038226E-2</v>
      </c>
      <c r="AB38">
        <f t="shared" si="3"/>
        <v>1.5207528576449053E-2</v>
      </c>
      <c r="AC38">
        <f t="shared" si="3"/>
        <v>1.4898511893754539E-2</v>
      </c>
      <c r="AD38">
        <f t="shared" si="3"/>
        <v>1.4595774423997452E-2</v>
      </c>
      <c r="AE38">
        <f t="shared" si="1"/>
        <v>5.0145810752502067E-2</v>
      </c>
    </row>
    <row r="39" spans="2:31" x14ac:dyDescent="0.3">
      <c r="B39" s="152"/>
      <c r="C39" s="152"/>
      <c r="D39" s="152"/>
      <c r="E39" s="152"/>
      <c r="F39" s="152"/>
      <c r="G39" s="152"/>
      <c r="H39" s="152"/>
      <c r="I39" s="152"/>
      <c r="J39" s="152"/>
      <c r="K39" s="152"/>
      <c r="L39" s="152"/>
      <c r="M39" s="152"/>
      <c r="O39" s="6">
        <v>94</v>
      </c>
      <c r="P39" s="68">
        <v>0.19542000000000001</v>
      </c>
      <c r="Q39" s="69">
        <f t="shared" si="2"/>
        <v>0.82072999999999996</v>
      </c>
      <c r="R39" s="69">
        <f t="shared" si="4"/>
        <v>0.18016977602854364</v>
      </c>
      <c r="S39">
        <f t="shared" si="3"/>
        <v>1.5014148002378637E-2</v>
      </c>
      <c r="T39">
        <f t="shared" si="3"/>
        <v>1.4684720576356738E-2</v>
      </c>
      <c r="U39">
        <f t="shared" si="3"/>
        <v>1.4362521161474615E-2</v>
      </c>
      <c r="V39">
        <f t="shared" si="3"/>
        <v>1.4047391166974758E-2</v>
      </c>
      <c r="W39">
        <f t="shared" si="3"/>
        <v>1.3739175481760643E-2</v>
      </c>
      <c r="X39">
        <f t="shared" si="3"/>
        <v>1.343772239804903E-2</v>
      </c>
      <c r="Y39">
        <f t="shared" si="3"/>
        <v>1.3142883536697406E-2</v>
      </c>
      <c r="Z39">
        <f t="shared" si="3"/>
        <v>1.285451377416983E-2</v>
      </c>
      <c r="AA39">
        <f t="shared" si="3"/>
        <v>1.2572471171105246E-2</v>
      </c>
      <c r="AB39">
        <f t="shared" si="3"/>
        <v>1.2296616902453067E-2</v>
      </c>
      <c r="AC39">
        <f t="shared" si="3"/>
        <v>1.2026815189141681E-2</v>
      </c>
      <c r="AD39">
        <f t="shared" si="3"/>
        <v>1.1762933231246213E-2</v>
      </c>
      <c r="AE39">
        <f t="shared" si="1"/>
        <v>3.8857299252062293E-2</v>
      </c>
    </row>
    <row r="40" spans="2:31" x14ac:dyDescent="0.3">
      <c r="B40" s="152"/>
      <c r="C40" s="152"/>
      <c r="D40" s="152"/>
      <c r="E40" s="152"/>
      <c r="F40" s="152"/>
      <c r="G40" s="152"/>
      <c r="H40" s="152"/>
      <c r="I40" s="152"/>
      <c r="J40" s="152"/>
      <c r="K40" s="152"/>
      <c r="L40" s="152"/>
      <c r="M40" s="152"/>
      <c r="O40" s="6">
        <v>95</v>
      </c>
      <c r="P40" s="68">
        <v>0.2117</v>
      </c>
      <c r="Q40" s="69">
        <f t="shared" si="2"/>
        <v>0.80457999999999996</v>
      </c>
      <c r="R40" s="69">
        <f t="shared" si="4"/>
        <v>0.14496099839704563</v>
      </c>
      <c r="S40">
        <f t="shared" si="3"/>
        <v>1.2080083199753802E-2</v>
      </c>
      <c r="T40">
        <f t="shared" si="3"/>
        <v>1.1794923027217508E-2</v>
      </c>
      <c r="U40">
        <f t="shared" si="3"/>
        <v>1.1516494292094044E-2</v>
      </c>
      <c r="V40">
        <f t="shared" si="3"/>
        <v>1.1244638093337589E-2</v>
      </c>
      <c r="W40">
        <f t="shared" si="3"/>
        <v>1.0979199280890528E-2</v>
      </c>
      <c r="X40">
        <f t="shared" si="3"/>
        <v>1.0720026367138334E-2</v>
      </c>
      <c r="Y40">
        <f t="shared" si="3"/>
        <v>1.0466971440454626E-2</v>
      </c>
      <c r="Z40">
        <f t="shared" si="3"/>
        <v>1.021989008078706E-2</v>
      </c>
      <c r="AA40">
        <f t="shared" si="3"/>
        <v>9.9786412772358887E-3</v>
      </c>
      <c r="AB40">
        <f t="shared" si="3"/>
        <v>9.7430873475781565E-3</v>
      </c>
      <c r="AC40">
        <f t="shared" si="3"/>
        <v>9.5130938596915664E-3</v>
      </c>
      <c r="AD40">
        <f t="shared" si="3"/>
        <v>9.2885295548332265E-3</v>
      </c>
      <c r="AE40">
        <f t="shared" si="1"/>
        <v>2.9511170383563039E-2</v>
      </c>
    </row>
    <row r="41" spans="2:31" x14ac:dyDescent="0.3">
      <c r="B41" s="152"/>
      <c r="C41" s="152"/>
      <c r="D41" s="152"/>
      <c r="E41" s="152"/>
      <c r="F41" s="152"/>
      <c r="G41" s="152"/>
      <c r="H41" s="152"/>
      <c r="I41" s="152"/>
      <c r="J41" s="152"/>
      <c r="K41" s="152"/>
      <c r="L41" s="152"/>
      <c r="M41" s="152"/>
      <c r="O41" s="6">
        <v>96</v>
      </c>
      <c r="P41" s="68">
        <v>0.22903999999999999</v>
      </c>
      <c r="Q41" s="69">
        <f t="shared" si="2"/>
        <v>0.7883</v>
      </c>
      <c r="R41" s="69">
        <f t="shared" si="4"/>
        <v>0.11427275503639106</v>
      </c>
      <c r="S41">
        <f t="shared" si="3"/>
        <v>9.5227295863659217E-3</v>
      </c>
      <c r="T41">
        <f t="shared" si="3"/>
        <v>9.280719873170775E-3</v>
      </c>
      <c r="U41">
        <f t="shared" si="3"/>
        <v>9.0448605710263252E-3</v>
      </c>
      <c r="V41">
        <f t="shared" si="3"/>
        <v>8.8149953739909952E-3</v>
      </c>
      <c r="W41">
        <f t="shared" si="3"/>
        <v>8.5909719484670299E-3</v>
      </c>
      <c r="X41">
        <f t="shared" si="3"/>
        <v>8.3726418322477483E-3</v>
      </c>
      <c r="Y41">
        <f t="shared" si="3"/>
        <v>8.1598603361303923E-3</v>
      </c>
      <c r="Z41">
        <f t="shared" si="3"/>
        <v>7.9524864480293653E-3</v>
      </c>
      <c r="AA41">
        <f t="shared" si="3"/>
        <v>7.7503827395263569E-3</v>
      </c>
      <c r="AB41">
        <f t="shared" si="3"/>
        <v>7.5534152747953557E-3</v>
      </c>
      <c r="AC41">
        <f t="shared" si="3"/>
        <v>7.3614535218422643E-3</v>
      </c>
      <c r="AD41">
        <f t="shared" si="3"/>
        <v>7.1743702660002464E-3</v>
      </c>
      <c r="AE41">
        <f t="shared" si="1"/>
        <v>2.1943151421503965E-2</v>
      </c>
    </row>
    <row r="42" spans="2:31" x14ac:dyDescent="0.3">
      <c r="B42" s="152"/>
      <c r="C42" s="152"/>
      <c r="D42" s="152"/>
      <c r="E42" s="152"/>
      <c r="F42" s="152"/>
      <c r="G42" s="152"/>
      <c r="H42" s="152"/>
      <c r="I42" s="152"/>
      <c r="J42" s="152"/>
      <c r="K42" s="152"/>
      <c r="L42" s="152"/>
      <c r="M42" s="152"/>
      <c r="O42" s="6">
        <v>97</v>
      </c>
      <c r="P42" s="68">
        <v>0.24682000000000001</v>
      </c>
      <c r="Q42" s="69">
        <f t="shared" si="2"/>
        <v>0.77095999999999998</v>
      </c>
      <c r="R42" s="69">
        <f t="shared" si="4"/>
        <v>8.8099723222856044E-2</v>
      </c>
      <c r="S42">
        <f t="shared" si="3"/>
        <v>7.3416436019046703E-3</v>
      </c>
      <c r="T42">
        <f t="shared" si="3"/>
        <v>7.1411653323667093E-3</v>
      </c>
      <c r="U42">
        <f t="shared" si="3"/>
        <v>6.9461615231453059E-3</v>
      </c>
      <c r="V42">
        <f t="shared" si="3"/>
        <v>6.7564826831468527E-3</v>
      </c>
      <c r="W42">
        <f t="shared" si="3"/>
        <v>6.5719834034311947E-3</v>
      </c>
      <c r="X42">
        <f t="shared" si="3"/>
        <v>6.3925222457402557E-3</v>
      </c>
      <c r="Y42">
        <f t="shared" si="3"/>
        <v>6.2179616340706234E-3</v>
      </c>
      <c r="Z42">
        <f t="shared" si="3"/>
        <v>6.0481677492069518E-3</v>
      </c>
      <c r="AA42">
        <f t="shared" si="3"/>
        <v>5.883010426135352E-3</v>
      </c>
      <c r="AB42">
        <f t="shared" si="3"/>
        <v>5.7223630542581035E-3</v>
      </c>
      <c r="AC42">
        <f t="shared" si="3"/>
        <v>5.5661024803332132E-3</v>
      </c>
      <c r="AD42">
        <f t="shared" si="3"/>
        <v>5.4141089140643936E-3</v>
      </c>
      <c r="AE42">
        <f t="shared" si="1"/>
        <v>1.5950179776306115E-2</v>
      </c>
    </row>
    <row r="43" spans="2:31" x14ac:dyDescent="0.3">
      <c r="B43" s="152"/>
      <c r="C43" s="152"/>
      <c r="D43" s="152"/>
      <c r="E43" s="152"/>
      <c r="F43" s="152"/>
      <c r="G43" s="152"/>
      <c r="H43" s="152"/>
      <c r="I43" s="152"/>
      <c r="J43" s="152"/>
      <c r="K43" s="152"/>
      <c r="L43" s="152"/>
      <c r="M43" s="152"/>
      <c r="O43" s="6">
        <v>98</v>
      </c>
      <c r="P43" s="68">
        <v>0.26512999999999998</v>
      </c>
      <c r="Q43" s="69">
        <f t="shared" si="2"/>
        <v>0.75317999999999996</v>
      </c>
      <c r="R43" s="69">
        <f t="shared" si="4"/>
        <v>6.6354949536990712E-2</v>
      </c>
      <c r="S43">
        <f t="shared" ref="S43:AD64" si="5">1/12*$R43*((1-$P43)/(1+$P$6))^((S$9-1)/12)</f>
        <v>5.5295791280825591E-3</v>
      </c>
      <c r="T43">
        <f t="shared" si="5"/>
        <v>5.3675633492303691E-3</v>
      </c>
      <c r="U43">
        <f t="shared" si="5"/>
        <v>5.2102946066333927E-3</v>
      </c>
      <c r="V43">
        <f t="shared" si="5"/>
        <v>5.0576338128930573E-3</v>
      </c>
      <c r="W43">
        <f t="shared" si="5"/>
        <v>4.9094459558491907E-3</v>
      </c>
      <c r="X43">
        <f t="shared" si="5"/>
        <v>4.7655999791761964E-3</v>
      </c>
      <c r="Y43">
        <f t="shared" si="5"/>
        <v>4.6259686664777292E-3</v>
      </c>
      <c r="Z43">
        <f t="shared" si="5"/>
        <v>4.4904285287773928E-3</v>
      </c>
      <c r="AA43">
        <f t="shared" si="5"/>
        <v>4.3588596953059305E-3</v>
      </c>
      <c r="AB43">
        <f t="shared" si="5"/>
        <v>4.2311458074883431E-3</v>
      </c>
      <c r="AC43">
        <f t="shared" si="5"/>
        <v>4.1071739160371554E-3</v>
      </c>
      <c r="AD43">
        <f t="shared" si="5"/>
        <v>3.9868343810608459E-3</v>
      </c>
      <c r="AE43">
        <f t="shared" si="1"/>
        <v>1.1320886141138286E-2</v>
      </c>
    </row>
    <row r="44" spans="2:31" x14ac:dyDescent="0.3">
      <c r="B44" s="152"/>
      <c r="C44" s="152"/>
      <c r="D44" s="152"/>
      <c r="E44" s="152"/>
      <c r="F44" s="152"/>
      <c r="G44" s="152"/>
      <c r="H44" s="152"/>
      <c r="I44" s="152"/>
      <c r="J44" s="152"/>
      <c r="K44" s="152"/>
      <c r="L44" s="152"/>
      <c r="M44" s="152"/>
      <c r="O44" s="6">
        <v>99</v>
      </c>
      <c r="P44" s="68">
        <v>0.28400999999999998</v>
      </c>
      <c r="Q44" s="69">
        <f t="shared" si="2"/>
        <v>0.73487000000000002</v>
      </c>
      <c r="R44" s="69">
        <f t="shared" si="4"/>
        <v>4.8762261766248365E-2</v>
      </c>
      <c r="S44">
        <f t="shared" si="5"/>
        <v>4.0635218138540298E-3</v>
      </c>
      <c r="T44">
        <f t="shared" si="5"/>
        <v>3.9359152064266587E-3</v>
      </c>
      <c r="U44">
        <f t="shared" si="5"/>
        <v>3.812315824013709E-3</v>
      </c>
      <c r="V44">
        <f t="shared" si="5"/>
        <v>3.6925978278938166E-3</v>
      </c>
      <c r="W44">
        <f t="shared" si="5"/>
        <v>3.5766393310537807E-3</v>
      </c>
      <c r="X44">
        <f t="shared" si="5"/>
        <v>3.4643222740932322E-3</v>
      </c>
      <c r="Y44">
        <f t="shared" si="5"/>
        <v>3.3555323050262682E-3</v>
      </c>
      <c r="Z44">
        <f t="shared" si="5"/>
        <v>3.2501586628576697E-3</v>
      </c>
      <c r="AA44">
        <f t="shared" si="5"/>
        <v>3.1480940648151681E-3</v>
      </c>
      <c r="AB44">
        <f t="shared" si="5"/>
        <v>3.0492345971229544E-3</v>
      </c>
      <c r="AC44">
        <f t="shared" si="5"/>
        <v>2.9534796092052238E-3</v>
      </c>
      <c r="AD44">
        <f t="shared" si="5"/>
        <v>2.8607316112120389E-3</v>
      </c>
      <c r="AE44">
        <f t="shared" si="1"/>
        <v>7.8354876489075426E-3</v>
      </c>
    </row>
    <row r="45" spans="2:31" x14ac:dyDescent="0.3">
      <c r="B45" s="152"/>
      <c r="C45" s="152"/>
      <c r="D45" s="152"/>
      <c r="E45" s="152"/>
      <c r="F45" s="152"/>
      <c r="G45" s="152"/>
      <c r="H45" s="152"/>
      <c r="I45" s="152"/>
      <c r="J45" s="152"/>
      <c r="K45" s="152"/>
      <c r="L45" s="152"/>
      <c r="M45" s="152"/>
      <c r="O45" s="6">
        <v>100</v>
      </c>
      <c r="P45" s="68">
        <v>0.30325000000000002</v>
      </c>
      <c r="Q45" s="69">
        <f t="shared" si="2"/>
        <v>0.71599000000000002</v>
      </c>
      <c r="R45" s="69">
        <f t="shared" si="4"/>
        <v>3.4913291802016168E-2</v>
      </c>
      <c r="S45">
        <f t="shared" si="5"/>
        <v>2.9094409835013473E-3</v>
      </c>
      <c r="T45">
        <f t="shared" si="5"/>
        <v>2.8116862606146734E-3</v>
      </c>
      <c r="U45">
        <f t="shared" si="5"/>
        <v>2.7172160126153881E-3</v>
      </c>
      <c r="V45">
        <f t="shared" si="5"/>
        <v>2.6259198839629376E-3</v>
      </c>
      <c r="W45">
        <f t="shared" si="5"/>
        <v>2.5376912269683264E-3</v>
      </c>
      <c r="X45">
        <f t="shared" si="5"/>
        <v>2.4524269772134835E-3</v>
      </c>
      <c r="Y45">
        <f t="shared" si="5"/>
        <v>2.3700275331564337E-3</v>
      </c>
      <c r="Z45">
        <f t="shared" si="5"/>
        <v>2.2903966397816245E-3</v>
      </c>
      <c r="AA45">
        <f t="shared" si="5"/>
        <v>2.2134412761595124E-3</v>
      </c>
      <c r="AB45">
        <f t="shared" si="5"/>
        <v>2.139071546784041E-3</v>
      </c>
      <c r="AC45">
        <f t="shared" si="5"/>
        <v>2.0672005765610952E-3</v>
      </c>
      <c r="AD45">
        <f t="shared" si="5"/>
        <v>1.9977444093252461E-3</v>
      </c>
      <c r="AE45">
        <f t="shared" si="1"/>
        <v>5.2813963314537289E-3</v>
      </c>
    </row>
    <row r="46" spans="2:31" x14ac:dyDescent="0.3">
      <c r="B46" s="152"/>
      <c r="C46" s="152"/>
      <c r="D46" s="152"/>
      <c r="E46" s="152"/>
      <c r="F46" s="152"/>
      <c r="G46" s="152"/>
      <c r="H46" s="152"/>
      <c r="I46" s="152"/>
      <c r="J46" s="152"/>
      <c r="K46" s="152"/>
      <c r="L46" s="152"/>
      <c r="M46" s="152"/>
      <c r="O46" s="6">
        <v>101</v>
      </c>
      <c r="P46" s="68">
        <v>0.32271</v>
      </c>
      <c r="Q46" s="69">
        <f t="shared" si="2"/>
        <v>0.69674999999999998</v>
      </c>
      <c r="R46" s="69">
        <f t="shared" si="4"/>
        <v>2.4325836063054763E-2</v>
      </c>
      <c r="S46">
        <f t="shared" si="5"/>
        <v>2.0271530052545636E-3</v>
      </c>
      <c r="T46">
        <f t="shared" si="5"/>
        <v>1.9544233528669534E-3</v>
      </c>
      <c r="U46">
        <f t="shared" si="5"/>
        <v>1.8843030754612574E-3</v>
      </c>
      <c r="V46">
        <f t="shared" si="5"/>
        <v>1.8166985545810036E-3</v>
      </c>
      <c r="W46">
        <f t="shared" si="5"/>
        <v>1.7515195305876183E-3</v>
      </c>
      <c r="X46">
        <f t="shared" si="5"/>
        <v>1.6886789821536582E-3</v>
      </c>
      <c r="Y46">
        <f t="shared" si="5"/>
        <v>1.6280930100795496E-3</v>
      </c>
      <c r="Z46">
        <f t="shared" si="5"/>
        <v>1.5696807252787218E-3</v>
      </c>
      <c r="AA46">
        <f t="shared" si="5"/>
        <v>1.5133641407815805E-3</v>
      </c>
      <c r="AB46">
        <f t="shared" si="5"/>
        <v>1.45906806761413E-3</v>
      </c>
      <c r="AC46">
        <f t="shared" si="5"/>
        <v>1.4067200144122398E-3</v>
      </c>
      <c r="AD46">
        <f t="shared" si="5"/>
        <v>1.3562500906375181E-3</v>
      </c>
      <c r="AE46">
        <f t="shared" si="1"/>
        <v>3.4628089150042433E-3</v>
      </c>
    </row>
    <row r="47" spans="2:31" x14ac:dyDescent="0.3">
      <c r="B47" s="152"/>
      <c r="C47" s="152"/>
      <c r="D47" s="152"/>
      <c r="E47" s="152"/>
      <c r="F47" s="152"/>
      <c r="G47" s="152"/>
      <c r="H47" s="152"/>
      <c r="I47" s="152"/>
      <c r="J47" s="152"/>
      <c r="K47" s="152"/>
      <c r="L47" s="152"/>
      <c r="M47" s="152"/>
      <c r="O47" s="6">
        <v>102</v>
      </c>
      <c r="P47" s="68">
        <v>0.34211000000000003</v>
      </c>
      <c r="Q47" s="69">
        <f t="shared" si="2"/>
        <v>0.67728999999999995</v>
      </c>
      <c r="R47" s="69">
        <f t="shared" si="4"/>
        <v>1.647564550714636E-2</v>
      </c>
      <c r="S47">
        <f t="shared" si="5"/>
        <v>1.3729704589288633E-3</v>
      </c>
      <c r="T47">
        <f t="shared" si="5"/>
        <v>1.3205094854064055E-3</v>
      </c>
      <c r="U47">
        <f t="shared" si="5"/>
        <v>1.2700530369813567E-3</v>
      </c>
      <c r="V47">
        <f t="shared" si="5"/>
        <v>1.2215245210822042E-3</v>
      </c>
      <c r="W47">
        <f t="shared" si="5"/>
        <v>1.1748502717268895E-3</v>
      </c>
      <c r="X47">
        <f t="shared" si="5"/>
        <v>1.1299594376983112E-3</v>
      </c>
      <c r="Y47">
        <f t="shared" si="5"/>
        <v>1.0867838749926218E-3</v>
      </c>
      <c r="Z47">
        <f t="shared" si="5"/>
        <v>1.045258043377059E-3</v>
      </c>
      <c r="AA47">
        <f t="shared" si="5"/>
        <v>1.0053189069002841E-3</v>
      </c>
      <c r="AB47">
        <f t="shared" si="5"/>
        <v>9.6690583820420483E-4</v>
      </c>
      <c r="AC47">
        <f t="shared" si="5"/>
        <v>9.2996052649202562E-4</v>
      </c>
      <c r="AD47">
        <f t="shared" si="5"/>
        <v>8.9442688901282563E-4</v>
      </c>
      <c r="AE47">
        <f t="shared" si="1"/>
        <v>2.2064830420129859E-3</v>
      </c>
    </row>
    <row r="48" spans="2:31" x14ac:dyDescent="0.3">
      <c r="B48" s="152"/>
      <c r="C48" s="152"/>
      <c r="D48" s="152"/>
      <c r="E48" s="152"/>
      <c r="F48" s="152"/>
      <c r="G48" s="152"/>
      <c r="H48" s="152"/>
      <c r="I48" s="152"/>
      <c r="J48" s="152"/>
      <c r="K48" s="152"/>
      <c r="L48" s="152"/>
      <c r="M48" s="152"/>
      <c r="O48" s="6">
        <v>103</v>
      </c>
      <c r="P48" s="68">
        <v>0.3614</v>
      </c>
      <c r="Q48" s="69">
        <f t="shared" si="2"/>
        <v>0.65788999999999997</v>
      </c>
      <c r="R48" s="69">
        <f t="shared" si="4"/>
        <v>1.0839162422696518E-2</v>
      </c>
      <c r="S48">
        <f t="shared" si="5"/>
        <v>9.0326353522470978E-4</v>
      </c>
      <c r="T48">
        <f t="shared" si="5"/>
        <v>8.6659819348440157E-4</v>
      </c>
      <c r="U48">
        <f t="shared" si="5"/>
        <v>8.3142117406920441E-4</v>
      </c>
      <c r="V48">
        <f t="shared" si="5"/>
        <v>7.9767206288672786E-4</v>
      </c>
      <c r="W48">
        <f t="shared" si="5"/>
        <v>7.6529289817798911E-4</v>
      </c>
      <c r="X48">
        <f t="shared" si="5"/>
        <v>7.3422807097211031E-4</v>
      </c>
      <c r="Y48">
        <f t="shared" si="5"/>
        <v>7.0442422958176521E-4</v>
      </c>
      <c r="Z48">
        <f t="shared" si="5"/>
        <v>6.7583018797535489E-4</v>
      </c>
      <c r="AA48">
        <f t="shared" si="5"/>
        <v>6.4839683786854622E-4</v>
      </c>
      <c r="AB48">
        <f t="shared" si="5"/>
        <v>6.2207706438419856E-4</v>
      </c>
      <c r="AC48">
        <f t="shared" si="5"/>
        <v>5.9682566513582732E-4</v>
      </c>
      <c r="AD48">
        <f t="shared" si="5"/>
        <v>5.7259927259563923E-4</v>
      </c>
      <c r="AE48">
        <f t="shared" si="1"/>
        <v>1.3653841046674139E-3</v>
      </c>
    </row>
    <row r="49" spans="2:31" x14ac:dyDescent="0.3">
      <c r="B49" s="152"/>
      <c r="C49" s="152"/>
      <c r="D49" s="152"/>
      <c r="E49" s="152"/>
      <c r="F49" s="152"/>
      <c r="G49" s="152"/>
      <c r="H49" s="152"/>
      <c r="I49" s="152"/>
      <c r="J49" s="152"/>
      <c r="K49" s="152"/>
      <c r="L49" s="152"/>
      <c r="M49" s="152"/>
      <c r="O49" s="6">
        <v>104</v>
      </c>
      <c r="P49" s="68">
        <v>0.38042999999999999</v>
      </c>
      <c r="Q49" s="69">
        <f t="shared" si="2"/>
        <v>0.63860000000000006</v>
      </c>
      <c r="R49" s="69">
        <f t="shared" si="4"/>
        <v>6.9218891231339966E-3</v>
      </c>
      <c r="S49">
        <f t="shared" si="5"/>
        <v>5.7682409359449964E-4</v>
      </c>
      <c r="T49">
        <f t="shared" si="5"/>
        <v>5.520161906476459E-4</v>
      </c>
      <c r="U49">
        <f t="shared" si="5"/>
        <v>5.2827521963975715E-4</v>
      </c>
      <c r="V49">
        <f t="shared" si="5"/>
        <v>5.0555529423514361E-4</v>
      </c>
      <c r="W49">
        <f t="shared" si="5"/>
        <v>4.8381250156589306E-4</v>
      </c>
      <c r="X49">
        <f t="shared" si="5"/>
        <v>4.6300481735747526E-4</v>
      </c>
      <c r="Y49">
        <f t="shared" si="5"/>
        <v>4.4309202470460004E-4</v>
      </c>
      <c r="Z49">
        <f t="shared" si="5"/>
        <v>4.240356363403442E-4</v>
      </c>
      <c r="AA49">
        <f t="shared" si="5"/>
        <v>4.0579882024830756E-4</v>
      </c>
      <c r="AB49">
        <f t="shared" si="5"/>
        <v>3.8834632847402199E-4</v>
      </c>
      <c r="AC49">
        <f t="shared" si="5"/>
        <v>3.7164442899802137E-4</v>
      </c>
      <c r="AD49">
        <f t="shared" si="5"/>
        <v>3.5566084053889721E-4</v>
      </c>
      <c r="AE49">
        <f t="shared" si="1"/>
        <v>8.2002539240145589E-4</v>
      </c>
    </row>
    <row r="50" spans="2:31" x14ac:dyDescent="0.3">
      <c r="B50" s="152"/>
      <c r="C50" s="152"/>
      <c r="D50" s="152"/>
      <c r="E50" s="152"/>
      <c r="F50" s="152"/>
      <c r="G50" s="152"/>
      <c r="H50" s="152"/>
      <c r="I50" s="152"/>
      <c r="J50" s="152"/>
      <c r="K50" s="152"/>
      <c r="L50" s="152"/>
      <c r="M50" s="152"/>
      <c r="O50" s="6">
        <v>105</v>
      </c>
      <c r="P50" s="68">
        <v>0.39883999999999997</v>
      </c>
      <c r="Q50" s="69">
        <f t="shared" si="2"/>
        <v>0.61956999999999995</v>
      </c>
      <c r="R50" s="69">
        <f t="shared" si="4"/>
        <v>4.2885948440201296E-3</v>
      </c>
      <c r="S50">
        <f t="shared" si="5"/>
        <v>3.5738290366834409E-4</v>
      </c>
      <c r="T50">
        <f t="shared" si="5"/>
        <v>3.4115402887180282E-4</v>
      </c>
      <c r="U50">
        <f t="shared" si="5"/>
        <v>3.2566211259918199E-4</v>
      </c>
      <c r="V50">
        <f t="shared" si="5"/>
        <v>3.1087368932235416E-4</v>
      </c>
      <c r="W50">
        <f t="shared" si="5"/>
        <v>2.9675681319379352E-4</v>
      </c>
      <c r="X50">
        <f t="shared" si="5"/>
        <v>2.8328098903738114E-4</v>
      </c>
      <c r="Y50">
        <f t="shared" si="5"/>
        <v>2.7041710647294148E-4</v>
      </c>
      <c r="Z50">
        <f t="shared" si="5"/>
        <v>2.581373770322042E-4</v>
      </c>
      <c r="AA50">
        <f t="shared" si="5"/>
        <v>2.464152741303516E-4</v>
      </c>
      <c r="AB50">
        <f t="shared" si="5"/>
        <v>2.3522547576347721E-4</v>
      </c>
      <c r="AC50">
        <f t="shared" si="5"/>
        <v>2.2454380980817184E-4</v>
      </c>
      <c r="AD50">
        <f t="shared" si="5"/>
        <v>2.1434720180507342E-4</v>
      </c>
      <c r="AE50">
        <f t="shared" si="1"/>
        <v>4.7786962724969653E-4</v>
      </c>
    </row>
    <row r="51" spans="2:31" x14ac:dyDescent="0.3">
      <c r="B51" s="152"/>
      <c r="C51" s="152"/>
      <c r="D51" s="152"/>
      <c r="E51" s="152"/>
      <c r="F51" s="152"/>
      <c r="G51" s="152"/>
      <c r="H51" s="152"/>
      <c r="I51" s="152"/>
      <c r="J51" s="152"/>
      <c r="K51" s="152"/>
      <c r="L51" s="152"/>
      <c r="M51" s="152"/>
      <c r="O51" s="6">
        <v>106</v>
      </c>
      <c r="P51" s="68">
        <v>0.41675000000000001</v>
      </c>
      <c r="Q51" s="69">
        <f t="shared" si="2"/>
        <v>0.60116000000000003</v>
      </c>
      <c r="R51" s="69">
        <f t="shared" si="4"/>
        <v>2.5781316764311411E-3</v>
      </c>
      <c r="S51">
        <f t="shared" si="5"/>
        <v>2.1484430636926175E-4</v>
      </c>
      <c r="T51">
        <f t="shared" si="5"/>
        <v>2.0457189565454759E-4</v>
      </c>
      <c r="U51">
        <f t="shared" si="5"/>
        <v>1.9479064257707802E-4</v>
      </c>
      <c r="V51">
        <f t="shared" si="5"/>
        <v>1.8547706327981853E-4</v>
      </c>
      <c r="W51">
        <f t="shared" si="5"/>
        <v>1.7660879674593792E-4</v>
      </c>
      <c r="X51">
        <f t="shared" si="5"/>
        <v>1.6816455111213642E-4</v>
      </c>
      <c r="Y51">
        <f t="shared" si="5"/>
        <v>1.6012405254891009E-4</v>
      </c>
      <c r="Z51">
        <f t="shared" si="5"/>
        <v>1.5246799658501695E-4</v>
      </c>
      <c r="AA51">
        <f t="shared" si="5"/>
        <v>1.4517800175928015E-4</v>
      </c>
      <c r="AB51">
        <f t="shared" si="5"/>
        <v>1.3823656548845055E-4</v>
      </c>
      <c r="AC51">
        <f t="shared" si="5"/>
        <v>1.3162702204517126E-4</v>
      </c>
      <c r="AD51">
        <f t="shared" si="5"/>
        <v>1.2533350254515354E-4</v>
      </c>
      <c r="AE51">
        <f t="shared" si="1"/>
        <v>2.7021477264190582E-4</v>
      </c>
    </row>
    <row r="52" spans="2:31" x14ac:dyDescent="0.3">
      <c r="B52" s="152"/>
      <c r="C52" s="152"/>
      <c r="D52" s="152"/>
      <c r="E52" s="152"/>
      <c r="F52" s="152"/>
      <c r="G52" s="152"/>
      <c r="H52" s="152"/>
      <c r="I52" s="152"/>
      <c r="J52" s="152"/>
      <c r="K52" s="152"/>
      <c r="L52" s="152"/>
      <c r="M52" s="152"/>
      <c r="O52" s="6">
        <v>107</v>
      </c>
      <c r="P52" s="68">
        <v>0.434</v>
      </c>
      <c r="Q52" s="69">
        <f t="shared" si="2"/>
        <v>0.58325000000000005</v>
      </c>
      <c r="R52" s="69">
        <f t="shared" si="4"/>
        <v>1.5036953002784631E-3</v>
      </c>
      <c r="S52">
        <f t="shared" si="5"/>
        <v>1.2530794168987193E-4</v>
      </c>
      <c r="T52">
        <f t="shared" si="5"/>
        <v>1.1901842275757448E-4</v>
      </c>
      <c r="U52">
        <f t="shared" si="5"/>
        <v>1.1304459050775108E-4</v>
      </c>
      <c r="V52">
        <f t="shared" si="5"/>
        <v>1.0737059983641774E-4</v>
      </c>
      <c r="W52">
        <f t="shared" si="5"/>
        <v>1.0198140094498096E-4</v>
      </c>
      <c r="X52">
        <f t="shared" si="5"/>
        <v>9.6862699421871367E-5</v>
      </c>
      <c r="Y52">
        <f t="shared" si="5"/>
        <v>9.2000918327780193E-5</v>
      </c>
      <c r="Z52">
        <f t="shared" si="5"/>
        <v>8.7383162183932422E-5</v>
      </c>
      <c r="AA52">
        <f t="shared" si="5"/>
        <v>8.2997182767878514E-5</v>
      </c>
      <c r="AB52">
        <f t="shared" si="5"/>
        <v>7.8831346626080992E-5</v>
      </c>
      <c r="AC52">
        <f t="shared" si="5"/>
        <v>7.4874604217125485E-5</v>
      </c>
      <c r="AD52">
        <f t="shared" si="5"/>
        <v>7.1116460603711139E-5</v>
      </c>
      <c r="AE52">
        <f t="shared" si="1"/>
        <v>1.4826726126747483E-4</v>
      </c>
    </row>
    <row r="53" spans="2:31" x14ac:dyDescent="0.3">
      <c r="B53" s="152"/>
      <c r="C53" s="152"/>
      <c r="D53" s="152"/>
      <c r="E53" s="152"/>
      <c r="F53" s="152"/>
      <c r="G53" s="152"/>
      <c r="H53" s="152"/>
      <c r="I53" s="152"/>
      <c r="J53" s="152"/>
      <c r="K53" s="152"/>
      <c r="L53" s="152"/>
      <c r="M53" s="152"/>
      <c r="O53" s="6">
        <v>108</v>
      </c>
      <c r="P53" s="68">
        <v>0.45044000000000001</v>
      </c>
      <c r="Q53" s="69">
        <f t="shared" si="2"/>
        <v>0.56600000000000006</v>
      </c>
      <c r="R53" s="69">
        <f t="shared" si="4"/>
        <v>8.510915399576102E-4</v>
      </c>
      <c r="S53">
        <f t="shared" si="5"/>
        <v>7.0924294996467508E-5</v>
      </c>
      <c r="T53">
        <f t="shared" si="5"/>
        <v>6.719916017757573E-5</v>
      </c>
      <c r="U53">
        <f t="shared" si="5"/>
        <v>6.3669679463100641E-5</v>
      </c>
      <c r="V53">
        <f t="shared" si="5"/>
        <v>6.0325576573005102E-5</v>
      </c>
      <c r="W53">
        <f t="shared" si="5"/>
        <v>5.7157114965131295E-5</v>
      </c>
      <c r="X53">
        <f t="shared" si="5"/>
        <v>5.4155069486714958E-5</v>
      </c>
      <c r="Y53">
        <f t="shared" si="5"/>
        <v>5.1310699514838423E-5</v>
      </c>
      <c r="Z53">
        <f t="shared" si="5"/>
        <v>4.8615723507619201E-5</v>
      </c>
      <c r="AA53">
        <f t="shared" si="5"/>
        <v>4.6062294892038774E-5</v>
      </c>
      <c r="AB53">
        <f t="shared" si="5"/>
        <v>4.3642979218207388E-5</v>
      </c>
      <c r="AC53">
        <f t="shared" si="5"/>
        <v>4.1350732513548389E-5</v>
      </c>
      <c r="AD53">
        <f t="shared" si="5"/>
        <v>3.9178880773879046E-5</v>
      </c>
      <c r="AE53">
        <f t="shared" si="1"/>
        <v>7.8971596187087057E-5</v>
      </c>
    </row>
    <row r="54" spans="2:31" x14ac:dyDescent="0.3">
      <c r="B54" s="152"/>
      <c r="C54" s="152"/>
      <c r="D54" s="152"/>
      <c r="E54" s="152"/>
      <c r="F54" s="152"/>
      <c r="G54" s="152"/>
      <c r="H54" s="152"/>
      <c r="I54" s="152"/>
      <c r="J54" s="152"/>
      <c r="K54" s="152"/>
      <c r="L54" s="152"/>
      <c r="M54" s="152"/>
      <c r="O54" s="6">
        <v>109</v>
      </c>
      <c r="P54" s="68">
        <v>0.46615000000000001</v>
      </c>
      <c r="Q54" s="69">
        <f t="shared" si="2"/>
        <v>0.54956000000000005</v>
      </c>
      <c r="R54" s="69">
        <f t="shared" si="4"/>
        <v>4.677258666991043E-4</v>
      </c>
      <c r="S54">
        <f t="shared" si="5"/>
        <v>3.8977155558258687E-5</v>
      </c>
      <c r="T54">
        <f t="shared" si="5"/>
        <v>3.6840821405858248E-5</v>
      </c>
      <c r="U54">
        <f t="shared" si="5"/>
        <v>3.4821579523156423E-5</v>
      </c>
      <c r="V54">
        <f t="shared" si="5"/>
        <v>3.2913012094097725E-5</v>
      </c>
      <c r="W54">
        <f t="shared" si="5"/>
        <v>3.1109053062508221E-5</v>
      </c>
      <c r="X54">
        <f t="shared" si="5"/>
        <v>2.9403968852170254E-5</v>
      </c>
      <c r="Y54">
        <f t="shared" si="5"/>
        <v>2.7792340143627922E-5</v>
      </c>
      <c r="Z54">
        <f t="shared" si="5"/>
        <v>2.6269044649804191E-5</v>
      </c>
      <c r="AA54">
        <f t="shared" si="5"/>
        <v>2.4829240835684724E-5</v>
      </c>
      <c r="AB54">
        <f t="shared" si="5"/>
        <v>2.3468352530324282E-5</v>
      </c>
      <c r="AC54">
        <f t="shared" si="5"/>
        <v>2.2182054382267609E-5</v>
      </c>
      <c r="AD54">
        <f t="shared" si="5"/>
        <v>2.0966258112157253E-5</v>
      </c>
      <c r="AE54">
        <f t="shared" si="1"/>
        <v>4.0851553347926988E-5</v>
      </c>
    </row>
    <row r="55" spans="2:31" x14ac:dyDescent="0.3">
      <c r="B55" s="152"/>
      <c r="C55" s="152"/>
      <c r="D55" s="152"/>
      <c r="E55" s="152"/>
      <c r="F55" s="152"/>
      <c r="G55" s="152"/>
      <c r="H55" s="152"/>
      <c r="I55" s="152"/>
      <c r="J55" s="152"/>
      <c r="K55" s="152"/>
      <c r="L55" s="152"/>
      <c r="M55" s="152"/>
      <c r="O55" s="6">
        <v>110</v>
      </c>
      <c r="P55" s="68">
        <v>0.47865000000000002</v>
      </c>
      <c r="Q55" s="69">
        <f t="shared" si="2"/>
        <v>0.53384999999999994</v>
      </c>
      <c r="R55" s="69">
        <f t="shared" si="4"/>
        <v>2.496954539373168E-4</v>
      </c>
      <c r="S55">
        <f t="shared" si="5"/>
        <v>2.0807954494776399E-5</v>
      </c>
      <c r="T55">
        <f t="shared" si="5"/>
        <v>1.9628678542135212E-5</v>
      </c>
      <c r="U55">
        <f t="shared" si="5"/>
        <v>1.8516237211456841E-5</v>
      </c>
      <c r="V55">
        <f t="shared" si="5"/>
        <v>1.74668426982983E-5</v>
      </c>
      <c r="W55">
        <f t="shared" si="5"/>
        <v>1.6476921869326843E-5</v>
      </c>
      <c r="X55">
        <f t="shared" si="5"/>
        <v>1.5543104095988157E-5</v>
      </c>
      <c r="Y55">
        <f t="shared" si="5"/>
        <v>1.4662209777692768E-5</v>
      </c>
      <c r="Z55">
        <f t="shared" si="5"/>
        <v>1.3831239515442617E-5</v>
      </c>
      <c r="AA55">
        <f t="shared" si="5"/>
        <v>1.304736389903464E-5</v>
      </c>
      <c r="AB55">
        <f t="shared" si="5"/>
        <v>1.2307913873067269E-5</v>
      </c>
      <c r="AC55">
        <f t="shared" si="5"/>
        <v>1.1610371648946646E-5</v>
      </c>
      <c r="AD55">
        <f t="shared" si="5"/>
        <v>1.0952362131948378E-5</v>
      </c>
      <c r="AE55">
        <f t="shared" si="1"/>
        <v>2.057329320203688E-5</v>
      </c>
    </row>
    <row r="56" spans="2:31" x14ac:dyDescent="0.3">
      <c r="B56" s="152"/>
      <c r="C56" s="152"/>
      <c r="D56" s="152"/>
      <c r="E56" s="152"/>
      <c r="F56" s="152"/>
      <c r="G56" s="152"/>
      <c r="H56" s="152"/>
      <c r="I56" s="152"/>
      <c r="J56" s="152"/>
      <c r="K56" s="152"/>
      <c r="L56" s="152"/>
      <c r="M56" s="152"/>
      <c r="O56" s="6">
        <v>111</v>
      </c>
      <c r="P56" s="68">
        <v>0.48673</v>
      </c>
      <c r="Q56" s="69">
        <f t="shared" si="2"/>
        <v>0.52134999999999998</v>
      </c>
      <c r="R56" s="69">
        <f t="shared" si="4"/>
        <v>1.3017872491022012E-4</v>
      </c>
      <c r="S56">
        <f t="shared" si="5"/>
        <v>1.0848227075851676E-5</v>
      </c>
      <c r="T56">
        <f t="shared" si="5"/>
        <v>1.0220100091674299E-5</v>
      </c>
      <c r="U56">
        <f t="shared" si="5"/>
        <v>9.6283425073530509E-6</v>
      </c>
      <c r="V56">
        <f t="shared" si="5"/>
        <v>9.0708484855664796E-6</v>
      </c>
      <c r="W56">
        <f t="shared" si="5"/>
        <v>8.5456341198152444E-6</v>
      </c>
      <c r="X56">
        <f t="shared" si="5"/>
        <v>8.0508303744630165E-6</v>
      </c>
      <c r="Y56">
        <f t="shared" si="5"/>
        <v>7.5846764335585233E-6</v>
      </c>
      <c r="Z56">
        <f t="shared" si="5"/>
        <v>7.1455134347697715E-6</v>
      </c>
      <c r="AA56">
        <f t="shared" si="5"/>
        <v>6.731778566131939E-6</v>
      </c>
      <c r="AB56">
        <f t="shared" si="5"/>
        <v>6.3419995046015174E-6</v>
      </c>
      <c r="AC56">
        <f t="shared" si="5"/>
        <v>5.9747891766256859E-6</v>
      </c>
      <c r="AD56">
        <f t="shared" si="5"/>
        <v>5.6288408220817805E-6</v>
      </c>
      <c r="AE56">
        <f t="shared" si="1"/>
        <v>1.0151469117451977E-5</v>
      </c>
    </row>
    <row r="57" spans="2:31" x14ac:dyDescent="0.3">
      <c r="B57" s="152"/>
      <c r="C57" s="152"/>
      <c r="D57" s="152"/>
      <c r="E57" s="152"/>
      <c r="F57" s="152"/>
      <c r="G57" s="152"/>
      <c r="H57" s="152"/>
      <c r="I57" s="152"/>
      <c r="J57" s="152"/>
      <c r="K57" s="152"/>
      <c r="L57" s="152"/>
      <c r="M57" s="152"/>
      <c r="O57" s="6">
        <v>112</v>
      </c>
      <c r="P57" s="68">
        <v>0.49436000000000002</v>
      </c>
      <c r="Q57" s="69">
        <f t="shared" si="2"/>
        <v>0.51327</v>
      </c>
      <c r="R57" s="69">
        <f t="shared" si="4"/>
        <v>6.6816834134668677E-5</v>
      </c>
      <c r="S57">
        <f t="shared" si="5"/>
        <v>5.5680695112223895E-6</v>
      </c>
      <c r="T57">
        <f t="shared" si="5"/>
        <v>5.2391277936399697E-6</v>
      </c>
      <c r="U57">
        <f t="shared" si="5"/>
        <v>4.9296187812973082E-6</v>
      </c>
      <c r="V57">
        <f t="shared" si="5"/>
        <v>4.6383944591730495E-6</v>
      </c>
      <c r="W57">
        <f t="shared" si="5"/>
        <v>4.3643746328849609E-6</v>
      </c>
      <c r="X57">
        <f t="shared" si="5"/>
        <v>4.1065429220880982E-6</v>
      </c>
      <c r="Y57">
        <f t="shared" si="5"/>
        <v>3.8639429905687376E-6</v>
      </c>
      <c r="Z57">
        <f t="shared" si="5"/>
        <v>3.6356749990509378E-6</v>
      </c>
      <c r="AA57">
        <f t="shared" si="5"/>
        <v>3.4208922675586493E-6</v>
      </c>
      <c r="AB57">
        <f t="shared" si="5"/>
        <v>3.2187981349535908E-6</v>
      </c>
      <c r="AC57">
        <f t="shared" si="5"/>
        <v>3.0286430040004424E-6</v>
      </c>
      <c r="AD57">
        <f t="shared" si="5"/>
        <v>2.8497215609990651E-6</v>
      </c>
      <c r="AE57">
        <f t="shared" si="1"/>
        <v>4.9327623311249182E-6</v>
      </c>
    </row>
    <row r="58" spans="2:31" x14ac:dyDescent="0.3">
      <c r="B58" s="152"/>
      <c r="C58" s="152"/>
      <c r="D58" s="152"/>
      <c r="E58" s="152"/>
      <c r="F58" s="152"/>
      <c r="G58" s="152"/>
      <c r="H58" s="152"/>
      <c r="I58" s="152"/>
      <c r="J58" s="152"/>
      <c r="K58" s="152"/>
      <c r="L58" s="152"/>
      <c r="M58" s="152"/>
      <c r="O58" s="6">
        <v>113</v>
      </c>
      <c r="P58" s="68">
        <v>0.49787999999999999</v>
      </c>
      <c r="Q58" s="69">
        <f t="shared" si="2"/>
        <v>0.50563999999999998</v>
      </c>
      <c r="R58" s="69">
        <f t="shared" si="4"/>
        <v>3.3785264011853872E-5</v>
      </c>
      <c r="S58">
        <f t="shared" si="5"/>
        <v>2.8154386676544892E-6</v>
      </c>
      <c r="T58">
        <f t="shared" si="5"/>
        <v>2.6475708413714852E-6</v>
      </c>
      <c r="U58">
        <f t="shared" si="5"/>
        <v>2.4897119729907527E-6</v>
      </c>
      <c r="V58">
        <f t="shared" si="5"/>
        <v>2.34126528801114E-6</v>
      </c>
      <c r="W58">
        <f t="shared" si="5"/>
        <v>2.2016695940379145E-6</v>
      </c>
      <c r="X58">
        <f t="shared" si="5"/>
        <v>2.0703971592338455E-6</v>
      </c>
      <c r="Y58">
        <f t="shared" si="5"/>
        <v>1.9469517172656018E-6</v>
      </c>
      <c r="Z58">
        <f t="shared" si="5"/>
        <v>1.8308665912033042E-6</v>
      </c>
      <c r="AA58">
        <f t="shared" si="5"/>
        <v>1.7217029292807676E-6</v>
      </c>
      <c r="AB58">
        <f t="shared" si="5"/>
        <v>1.6190480458468404E-6</v>
      </c>
      <c r="AC58">
        <f t="shared" si="5"/>
        <v>1.52251386123593E-6</v>
      </c>
      <c r="AD58">
        <f t="shared" si="5"/>
        <v>1.4317354346597472E-6</v>
      </c>
      <c r="AE58">
        <f t="shared" si="1"/>
        <v>2.3688331270245873E-6</v>
      </c>
    </row>
    <row r="59" spans="2:31" x14ac:dyDescent="0.3">
      <c r="B59" s="152"/>
      <c r="C59" s="152"/>
      <c r="D59" s="152"/>
      <c r="E59" s="152"/>
      <c r="F59" s="152"/>
      <c r="G59" s="152"/>
      <c r="H59" s="152"/>
      <c r="I59" s="152"/>
      <c r="J59" s="152"/>
      <c r="K59" s="152"/>
      <c r="L59" s="152"/>
      <c r="M59" s="152"/>
      <c r="O59" s="6">
        <v>114</v>
      </c>
      <c r="P59" s="68">
        <v>0.49885000000000002</v>
      </c>
      <c r="Q59" s="69">
        <f t="shared" si="2"/>
        <v>0.50212000000000001</v>
      </c>
      <c r="R59" s="69">
        <f t="shared" si="4"/>
        <v>1.6964256765632067E-5</v>
      </c>
      <c r="S59">
        <f t="shared" si="5"/>
        <v>1.4136880638026723E-6</v>
      </c>
      <c r="T59">
        <f t="shared" si="5"/>
        <v>1.3291840691700241E-6</v>
      </c>
      <c r="U59">
        <f t="shared" si="5"/>
        <v>1.2497313480762261E-6</v>
      </c>
      <c r="V59">
        <f t="shared" si="5"/>
        <v>1.175027957820519E-6</v>
      </c>
      <c r="W59">
        <f t="shared" si="5"/>
        <v>1.1047900044959473E-6</v>
      </c>
      <c r="X59">
        <f t="shared" si="5"/>
        <v>1.0387505641126121E-6</v>
      </c>
      <c r="Y59">
        <f t="shared" si="5"/>
        <v>9.7665866821139242E-7</v>
      </c>
      <c r="Z59">
        <f t="shared" si="5"/>
        <v>9.1827835011316655E-7</v>
      </c>
      <c r="AA59">
        <f t="shared" si="5"/>
        <v>8.6338774817902485E-7</v>
      </c>
      <c r="AB59">
        <f t="shared" si="5"/>
        <v>8.1177826267360107E-7</v>
      </c>
      <c r="AC59">
        <f t="shared" si="5"/>
        <v>7.6325376302737235E-7</v>
      </c>
      <c r="AD59">
        <f t="shared" si="5"/>
        <v>7.176298424852969E-7</v>
      </c>
      <c r="AE59">
        <f t="shared" si="1"/>
        <v>1.131927622371904E-6</v>
      </c>
    </row>
    <row r="60" spans="2:31" x14ac:dyDescent="0.3">
      <c r="B60" s="152"/>
      <c r="C60" s="152"/>
      <c r="D60" s="152"/>
      <c r="E60" s="152"/>
      <c r="F60" s="152"/>
      <c r="G60" s="152"/>
      <c r="H60" s="152"/>
      <c r="I60" s="152"/>
      <c r="J60" s="152"/>
      <c r="K60" s="152"/>
      <c r="L60" s="152"/>
      <c r="M60" s="152"/>
      <c r="O60" s="6">
        <v>115</v>
      </c>
      <c r="P60" s="68">
        <v>0.49978</v>
      </c>
      <c r="Q60" s="69">
        <f t="shared" si="2"/>
        <v>0.50114999999999998</v>
      </c>
      <c r="R60" s="69">
        <f t="shared" si="4"/>
        <v>8.5016372780965101E-6</v>
      </c>
      <c r="S60">
        <f t="shared" si="5"/>
        <v>7.0846977317470914E-7</v>
      </c>
      <c r="T60">
        <f t="shared" si="5"/>
        <v>6.6601749677916475E-7</v>
      </c>
      <c r="U60">
        <f t="shared" si="5"/>
        <v>6.2610900677988111E-7</v>
      </c>
      <c r="V60">
        <f t="shared" si="5"/>
        <v>5.8859187673994546E-7</v>
      </c>
      <c r="W60">
        <f t="shared" si="5"/>
        <v>5.5332281377969067E-7</v>
      </c>
      <c r="X60">
        <f t="shared" si="5"/>
        <v>5.201671112840484E-7</v>
      </c>
      <c r="Y60">
        <f t="shared" si="5"/>
        <v>4.8899813440427306E-7</v>
      </c>
      <c r="Z60">
        <f t="shared" si="5"/>
        <v>4.5969683638895661E-7</v>
      </c>
      <c r="AA60">
        <f t="shared" si="5"/>
        <v>4.321513038970166E-7</v>
      </c>
      <c r="AB60">
        <f t="shared" si="5"/>
        <v>4.0625632955601965E-7</v>
      </c>
      <c r="AC60">
        <f t="shared" si="5"/>
        <v>3.8191301013327489E-7</v>
      </c>
      <c r="AD60">
        <f t="shared" si="5"/>
        <v>3.5902836878495032E-7</v>
      </c>
      <c r="AE60">
        <f t="shared" si="1"/>
        <v>5.3985403643054815E-7</v>
      </c>
    </row>
    <row r="61" spans="2:31" x14ac:dyDescent="0.3">
      <c r="B61" s="152"/>
      <c r="C61" s="152"/>
      <c r="D61" s="152"/>
      <c r="E61" s="152"/>
      <c r="F61" s="152"/>
      <c r="G61" s="152"/>
      <c r="H61" s="152"/>
      <c r="I61" s="152"/>
      <c r="J61" s="152"/>
      <c r="K61" s="152"/>
      <c r="L61" s="152"/>
      <c r="M61" s="152"/>
      <c r="O61" s="6">
        <v>116</v>
      </c>
      <c r="P61" s="68">
        <v>0.49990000000000001</v>
      </c>
      <c r="Q61" s="69">
        <f t="shared" si="2"/>
        <v>0.50022</v>
      </c>
      <c r="R61" s="69">
        <f t="shared" si="4"/>
        <v>4.2526889992494363E-6</v>
      </c>
      <c r="S61">
        <f t="shared" si="5"/>
        <v>3.5439074993745303E-7</v>
      </c>
      <c r="T61">
        <f t="shared" si="5"/>
        <v>3.3314861133149675E-7</v>
      </c>
      <c r="U61">
        <f t="shared" si="5"/>
        <v>3.1317972393944578E-7</v>
      </c>
      <c r="V61">
        <f t="shared" si="5"/>
        <v>2.9440776923783193E-7</v>
      </c>
      <c r="W61">
        <f t="shared" si="5"/>
        <v>2.767610032262355E-7</v>
      </c>
      <c r="X61">
        <f t="shared" si="5"/>
        <v>2.6017198223092789E-7</v>
      </c>
      <c r="Y61">
        <f t="shared" si="5"/>
        <v>2.4457730514381106E-7</v>
      </c>
      <c r="Z61">
        <f t="shared" si="5"/>
        <v>2.2991737111152314E-7</v>
      </c>
      <c r="AA61">
        <f t="shared" si="5"/>
        <v>2.1613615174863052E-7</v>
      </c>
      <c r="AB61">
        <f t="shared" si="5"/>
        <v>2.0318097700433286E-7</v>
      </c>
      <c r="AC61">
        <f t="shared" si="5"/>
        <v>1.9100233386429211E-7</v>
      </c>
      <c r="AD61">
        <f t="shared" si="5"/>
        <v>1.7955367711824978E-7</v>
      </c>
      <c r="AE61">
        <f t="shared" si="1"/>
        <v>2.5716193513745607E-7</v>
      </c>
    </row>
    <row r="62" spans="2:31" x14ac:dyDescent="0.3">
      <c r="B62" s="152"/>
      <c r="C62" s="152"/>
      <c r="D62" s="152"/>
      <c r="E62" s="152"/>
      <c r="F62" s="152"/>
      <c r="G62" s="152"/>
      <c r="H62" s="152"/>
      <c r="I62" s="152"/>
      <c r="J62" s="152"/>
      <c r="K62" s="152"/>
      <c r="L62" s="152"/>
      <c r="M62" s="152"/>
      <c r="O62" s="6">
        <v>117</v>
      </c>
      <c r="P62" s="68">
        <v>0.49997999999999998</v>
      </c>
      <c r="Q62" s="69">
        <f t="shared" si="2"/>
        <v>0.50009999999999999</v>
      </c>
      <c r="R62" s="69">
        <f t="shared" si="4"/>
        <v>2.126769768524643E-6</v>
      </c>
      <c r="S62">
        <f t="shared" si="5"/>
        <v>1.7723081404372024E-7</v>
      </c>
      <c r="T62">
        <f t="shared" si="5"/>
        <v>1.6660539937328257E-7</v>
      </c>
      <c r="U62">
        <f t="shared" si="5"/>
        <v>1.5661700393411076E-7</v>
      </c>
      <c r="V62">
        <f t="shared" si="5"/>
        <v>1.4722743688720332E-7</v>
      </c>
      <c r="W62">
        <f t="shared" si="5"/>
        <v>1.3840079702644905E-7</v>
      </c>
      <c r="X62">
        <f t="shared" si="5"/>
        <v>1.3010333550961412E-7</v>
      </c>
      <c r="Y62">
        <f t="shared" si="5"/>
        <v>1.2230332681893742E-7</v>
      </c>
      <c r="Z62">
        <f t="shared" si="5"/>
        <v>1.1497094745794943E-7</v>
      </c>
      <c r="AA62">
        <f t="shared" si="5"/>
        <v>1.0807816192070951E-7</v>
      </c>
      <c r="AB62">
        <f t="shared" si="5"/>
        <v>1.0159861549746192E-7</v>
      </c>
      <c r="AC62">
        <f t="shared" si="5"/>
        <v>9.5507533506851728E-8</v>
      </c>
      <c r="AD62">
        <f t="shared" si="5"/>
        <v>8.9781626569412058E-8</v>
      </c>
      <c r="AE62">
        <f t="shared" si="1"/>
        <v>1.2247476717495528E-7</v>
      </c>
    </row>
    <row r="63" spans="2:31" x14ac:dyDescent="0.3">
      <c r="B63" s="152"/>
      <c r="C63" s="152"/>
      <c r="D63" s="152"/>
      <c r="E63" s="152"/>
      <c r="F63" s="152"/>
      <c r="G63" s="152"/>
      <c r="H63" s="152"/>
      <c r="I63" s="152"/>
      <c r="J63" s="152"/>
      <c r="K63" s="152"/>
      <c r="L63" s="152"/>
      <c r="M63" s="152"/>
      <c r="O63" s="6">
        <v>118</v>
      </c>
      <c r="P63" s="68">
        <v>0.5</v>
      </c>
      <c r="Q63" s="69">
        <f t="shared" si="2"/>
        <v>0.50002000000000002</v>
      </c>
      <c r="R63" s="69">
        <f t="shared" si="4"/>
        <v>1.063427419657692E-6</v>
      </c>
      <c r="S63">
        <f t="shared" si="5"/>
        <v>8.8618951638140992E-8</v>
      </c>
      <c r="T63">
        <f t="shared" si="5"/>
        <v>8.3305754113872488E-8</v>
      </c>
      <c r="U63">
        <f t="shared" si="5"/>
        <v>7.8311112241753462E-8</v>
      </c>
      <c r="V63">
        <f t="shared" si="5"/>
        <v>7.3615926844113091E-8</v>
      </c>
      <c r="W63">
        <f t="shared" si="5"/>
        <v>6.9202243844882802E-8</v>
      </c>
      <c r="X63">
        <f t="shared" si="5"/>
        <v>6.5053185614405979E-8</v>
      </c>
      <c r="Y63">
        <f t="shared" si="5"/>
        <v>6.11528864305068E-8</v>
      </c>
      <c r="Z63">
        <f t="shared" si="5"/>
        <v>5.7486431809026041E-8</v>
      </c>
      <c r="AA63">
        <f t="shared" si="5"/>
        <v>5.4039801471827493E-8</v>
      </c>
      <c r="AB63">
        <f t="shared" si="5"/>
        <v>5.0799815734188732E-8</v>
      </c>
      <c r="AC63">
        <f t="shared" si="5"/>
        <v>4.7754085106565046E-8</v>
      </c>
      <c r="AD63">
        <f t="shared" si="5"/>
        <v>4.4890962918007051E-8</v>
      </c>
      <c r="AE63">
        <f t="shared" si="1"/>
        <v>5.8322723244097948E-8</v>
      </c>
    </row>
    <row r="64" spans="2:31" x14ac:dyDescent="0.3">
      <c r="B64" s="152"/>
      <c r="C64" s="152"/>
      <c r="D64" s="152"/>
      <c r="E64" s="152"/>
      <c r="F64" s="152"/>
      <c r="G64" s="152"/>
      <c r="H64" s="152"/>
      <c r="I64" s="152"/>
      <c r="J64" s="152"/>
      <c r="K64" s="152"/>
      <c r="L64" s="152"/>
      <c r="M64" s="152"/>
      <c r="O64" s="6">
        <v>119</v>
      </c>
      <c r="P64" s="68">
        <v>0.5</v>
      </c>
      <c r="Q64" s="69">
        <f t="shared" si="2"/>
        <v>0.5</v>
      </c>
      <c r="R64" s="69">
        <f t="shared" si="4"/>
        <v>5.3171370982884598E-7</v>
      </c>
      <c r="S64">
        <f t="shared" si="5"/>
        <v>4.4309475819070496E-8</v>
      </c>
      <c r="T64">
        <f t="shared" si="5"/>
        <v>4.1652877056936244E-8</v>
      </c>
      <c r="U64">
        <f t="shared" si="5"/>
        <v>3.9155556120876731E-8</v>
      </c>
      <c r="V64">
        <f t="shared" ref="V64:AD64" si="6">1/12*$R64*((1-$P64)/(1+$P$6))^((V$9-1)/12)</f>
        <v>3.6807963422056545E-8</v>
      </c>
      <c r="W64">
        <f t="shared" si="6"/>
        <v>3.4601121922441401E-8</v>
      </c>
      <c r="X64">
        <f t="shared" si="6"/>
        <v>3.2526592807202989E-8</v>
      </c>
      <c r="Y64">
        <f t="shared" si="6"/>
        <v>3.05764432152534E-8</v>
      </c>
      <c r="Z64">
        <f t="shared" si="6"/>
        <v>2.874321590451302E-8</v>
      </c>
      <c r="AA64">
        <f t="shared" si="6"/>
        <v>2.7019900735913747E-8</v>
      </c>
      <c r="AB64">
        <f t="shared" si="6"/>
        <v>2.5399907867094366E-8</v>
      </c>
      <c r="AC64">
        <f t="shared" si="6"/>
        <v>2.3877042553282523E-8</v>
      </c>
      <c r="AD64">
        <f t="shared" si="6"/>
        <v>2.2445481459003526E-8</v>
      </c>
      <c r="AE64">
        <f t="shared" si="1"/>
        <v>2.7772725354332363E-8</v>
      </c>
    </row>
    <row r="65" spans="2:18" x14ac:dyDescent="0.3">
      <c r="B65" s="152"/>
      <c r="C65" s="152"/>
      <c r="D65" s="152"/>
      <c r="E65" s="152"/>
      <c r="F65" s="152"/>
      <c r="G65" s="152"/>
      <c r="H65" s="152"/>
      <c r="I65" s="152"/>
      <c r="J65" s="152"/>
      <c r="K65" s="152"/>
      <c r="L65" s="152"/>
      <c r="M65" s="152"/>
      <c r="O65" s="6">
        <v>120</v>
      </c>
      <c r="P65" s="68">
        <v>1</v>
      </c>
      <c r="Q65" s="69">
        <f t="shared" si="2"/>
        <v>0.5</v>
      </c>
      <c r="R65" s="69">
        <f t="shared" si="4"/>
        <v>2.6585685491442299E-7</v>
      </c>
    </row>
  </sheetData>
  <mergeCells count="1">
    <mergeCell ref="B6:M6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D572A-E3E1-45D5-871E-EAACFD0C4D4C}">
  <sheetPr>
    <tabColor theme="9" tint="0.59999389629810485"/>
  </sheetPr>
  <dimension ref="A1:AB69"/>
  <sheetViews>
    <sheetView zoomScale="115" zoomScaleNormal="115" workbookViewId="0"/>
  </sheetViews>
  <sheetFormatPr defaultRowHeight="14.4" x14ac:dyDescent="0.3"/>
  <cols>
    <col min="1" max="1" width="5.44140625" customWidth="1"/>
    <col min="7" max="7" width="5" customWidth="1"/>
    <col min="8" max="8" width="43.109375" bestFit="1" customWidth="1"/>
    <col min="9" max="9" width="11.88671875" bestFit="1" customWidth="1"/>
    <col min="10" max="10" width="7.109375" customWidth="1"/>
    <col min="11" max="11" width="11.88671875" bestFit="1" customWidth="1"/>
    <col min="12" max="12" width="7.5546875" customWidth="1"/>
    <col min="13" max="13" width="11.88671875" bestFit="1" customWidth="1"/>
    <col min="14" max="14" width="7.33203125" customWidth="1"/>
    <col min="15" max="15" width="12.33203125" bestFit="1" customWidth="1"/>
    <col min="16" max="16" width="7" customWidth="1"/>
    <col min="17" max="17" width="11.88671875" bestFit="1" customWidth="1"/>
    <col min="18" max="18" width="5.5546875" customWidth="1"/>
  </cols>
  <sheetData>
    <row r="1" spans="1:28" x14ac:dyDescent="0.3">
      <c r="A1" s="177" t="s">
        <v>209</v>
      </c>
    </row>
    <row r="3" spans="1:28" x14ac:dyDescent="0.3">
      <c r="A3" s="4" t="s">
        <v>1</v>
      </c>
    </row>
    <row r="4" spans="1:28" x14ac:dyDescent="0.3">
      <c r="A4" t="s">
        <v>68</v>
      </c>
    </row>
    <row r="7" spans="1:28" x14ac:dyDescent="0.3">
      <c r="B7" s="7" t="s">
        <v>6</v>
      </c>
      <c r="H7" s="7" t="s">
        <v>50</v>
      </c>
      <c r="S7" s="7" t="s">
        <v>9</v>
      </c>
    </row>
    <row r="8" spans="1:28" x14ac:dyDescent="0.3">
      <c r="B8" s="152" t="s">
        <v>51</v>
      </c>
      <c r="C8" s="152"/>
      <c r="D8" s="152"/>
      <c r="E8" s="152"/>
      <c r="F8" s="152"/>
      <c r="H8" s="58" t="s">
        <v>5</v>
      </c>
      <c r="I8" s="70">
        <v>0.05</v>
      </c>
      <c r="S8" s="152" t="s">
        <v>52</v>
      </c>
      <c r="T8" s="152"/>
      <c r="U8" s="152"/>
      <c r="V8" s="152"/>
      <c r="W8" s="152"/>
      <c r="X8" s="152"/>
      <c r="Y8" s="152"/>
      <c r="Z8" s="152"/>
      <c r="AA8" s="152"/>
    </row>
    <row r="9" spans="1:28" ht="15.6" x14ac:dyDescent="0.35">
      <c r="B9" s="152"/>
      <c r="C9" s="152"/>
      <c r="D9" s="152"/>
      <c r="E9" s="152"/>
      <c r="F9" s="152"/>
      <c r="H9" s="24" t="s">
        <v>53</v>
      </c>
      <c r="I9" s="66">
        <v>12.53</v>
      </c>
      <c r="S9" s="152"/>
      <c r="T9" s="152"/>
      <c r="U9" s="152"/>
      <c r="V9" s="152"/>
      <c r="W9" s="152"/>
      <c r="X9" s="152"/>
      <c r="Y9" s="152"/>
      <c r="Z9" s="152"/>
      <c r="AA9" s="152"/>
      <c r="AB9" s="71"/>
    </row>
    <row r="10" spans="1:28" ht="15.6" x14ac:dyDescent="0.35">
      <c r="B10" s="152"/>
      <c r="C10" s="152"/>
      <c r="D10" s="152"/>
      <c r="E10" s="152"/>
      <c r="F10" s="152"/>
      <c r="H10" s="24"/>
      <c r="I10" s="25"/>
      <c r="S10" s="152"/>
      <c r="T10" s="152"/>
      <c r="U10" s="152"/>
      <c r="V10" s="152"/>
      <c r="W10" s="152"/>
      <c r="X10" s="152"/>
      <c r="Y10" s="152"/>
      <c r="Z10" s="152"/>
      <c r="AA10" s="152"/>
      <c r="AB10" s="71"/>
    </row>
    <row r="11" spans="1:28" ht="15.6" x14ac:dyDescent="0.35">
      <c r="B11" s="152"/>
      <c r="C11" s="152"/>
      <c r="D11" s="152"/>
      <c r="E11" s="152"/>
      <c r="F11" s="152"/>
      <c r="H11" s="47" t="s">
        <v>54</v>
      </c>
      <c r="I11" s="72">
        <f>500*12*I9</f>
        <v>75180</v>
      </c>
      <c r="S11" s="152"/>
      <c r="T11" s="152"/>
      <c r="U11" s="152"/>
      <c r="V11" s="152"/>
      <c r="W11" s="152"/>
      <c r="X11" s="152"/>
      <c r="Y11" s="152"/>
      <c r="Z11" s="152"/>
      <c r="AA11" s="152"/>
      <c r="AB11" s="71"/>
    </row>
    <row r="12" spans="1:28" ht="15.6" x14ac:dyDescent="0.35">
      <c r="B12" s="152"/>
      <c r="C12" s="152"/>
      <c r="D12" s="152"/>
      <c r="E12" s="152"/>
      <c r="F12" s="152"/>
      <c r="H12" s="7"/>
      <c r="S12" s="152"/>
      <c r="T12" s="152"/>
      <c r="U12" s="152"/>
      <c r="V12" s="152"/>
      <c r="W12" s="152"/>
      <c r="X12" s="152"/>
      <c r="Y12" s="152"/>
      <c r="Z12" s="152"/>
      <c r="AA12" s="152"/>
      <c r="AB12" s="71"/>
    </row>
    <row r="13" spans="1:28" ht="15.6" x14ac:dyDescent="0.35">
      <c r="B13" s="152"/>
      <c r="C13" s="152"/>
      <c r="D13" s="152"/>
      <c r="E13" s="152"/>
      <c r="F13" s="152"/>
      <c r="I13" s="13"/>
      <c r="S13" s="152"/>
      <c r="T13" s="152"/>
      <c r="U13" s="152"/>
      <c r="V13" s="152"/>
      <c r="W13" s="152"/>
      <c r="X13" s="152"/>
      <c r="Y13" s="152"/>
      <c r="Z13" s="152"/>
      <c r="AA13" s="152"/>
      <c r="AB13" s="71"/>
    </row>
    <row r="14" spans="1:28" ht="15.6" x14ac:dyDescent="0.35">
      <c r="B14" s="152"/>
      <c r="C14" s="152"/>
      <c r="D14" s="152"/>
      <c r="E14" s="152"/>
      <c r="F14" s="152"/>
      <c r="H14" s="7" t="s">
        <v>55</v>
      </c>
      <c r="I14" s="27"/>
      <c r="S14" s="152"/>
      <c r="T14" s="152"/>
      <c r="U14" s="152"/>
      <c r="V14" s="152"/>
      <c r="W14" s="152"/>
      <c r="X14" s="152"/>
      <c r="Y14" s="152"/>
      <c r="Z14" s="152"/>
      <c r="AA14" s="152"/>
      <c r="AB14" s="71"/>
    </row>
    <row r="15" spans="1:28" ht="15.6" x14ac:dyDescent="0.35">
      <c r="B15" s="152"/>
      <c r="C15" s="152"/>
      <c r="D15" s="152"/>
      <c r="E15" s="152"/>
      <c r="F15" s="152"/>
      <c r="H15" s="58" t="s">
        <v>5</v>
      </c>
      <c r="I15" s="70">
        <v>0</v>
      </c>
      <c r="S15" s="152"/>
      <c r="T15" s="152"/>
      <c r="U15" s="152"/>
      <c r="V15" s="152"/>
      <c r="W15" s="152"/>
      <c r="X15" s="152"/>
      <c r="Y15" s="152"/>
      <c r="Z15" s="152"/>
      <c r="AA15" s="152"/>
      <c r="AB15" s="71"/>
    </row>
    <row r="16" spans="1:28" ht="29.4" x14ac:dyDescent="0.35">
      <c r="B16" s="152"/>
      <c r="C16" s="152"/>
      <c r="D16" s="152"/>
      <c r="E16" s="152"/>
      <c r="F16" s="152"/>
      <c r="H16" s="73" t="s">
        <v>56</v>
      </c>
      <c r="I16" s="66">
        <v>21.1</v>
      </c>
      <c r="S16" s="152"/>
      <c r="T16" s="152"/>
      <c r="U16" s="152"/>
      <c r="V16" s="152"/>
      <c r="W16" s="152"/>
      <c r="X16" s="152"/>
      <c r="Y16" s="152"/>
      <c r="Z16" s="152"/>
      <c r="AA16" s="152"/>
      <c r="AB16" s="71"/>
    </row>
    <row r="17" spans="2:28" ht="15.6" x14ac:dyDescent="0.35">
      <c r="B17" s="152"/>
      <c r="C17" s="152"/>
      <c r="D17" s="152"/>
      <c r="E17" s="152"/>
      <c r="F17" s="152"/>
      <c r="S17" s="152"/>
      <c r="T17" s="152"/>
      <c r="U17" s="152"/>
      <c r="V17" s="152"/>
      <c r="W17" s="152"/>
      <c r="X17" s="152"/>
      <c r="Y17" s="152"/>
      <c r="Z17" s="152"/>
      <c r="AA17" s="152"/>
      <c r="AB17" s="71"/>
    </row>
    <row r="18" spans="2:28" ht="15.6" x14ac:dyDescent="0.35">
      <c r="B18" s="152"/>
      <c r="C18" s="152"/>
      <c r="D18" s="152"/>
      <c r="E18" s="152"/>
      <c r="F18" s="152"/>
      <c r="S18" s="152"/>
      <c r="T18" s="152"/>
      <c r="U18" s="152"/>
      <c r="V18" s="152"/>
      <c r="W18" s="152"/>
      <c r="X18" s="152"/>
      <c r="Y18" s="152"/>
      <c r="Z18" s="152"/>
      <c r="AA18" s="152"/>
      <c r="AB18" s="71"/>
    </row>
    <row r="19" spans="2:28" ht="15.6" x14ac:dyDescent="0.35">
      <c r="B19" s="152"/>
      <c r="C19" s="152"/>
      <c r="D19" s="152"/>
      <c r="E19" s="152"/>
      <c r="F19" s="152"/>
      <c r="H19" s="7" t="s">
        <v>57</v>
      </c>
      <c r="S19" s="152"/>
      <c r="T19" s="152"/>
      <c r="U19" s="152"/>
      <c r="V19" s="152"/>
      <c r="W19" s="152"/>
      <c r="X19" s="152"/>
      <c r="Y19" s="152"/>
      <c r="Z19" s="152"/>
      <c r="AA19" s="152"/>
      <c r="AB19" s="71"/>
    </row>
    <row r="20" spans="2:28" ht="15.6" x14ac:dyDescent="0.35">
      <c r="B20" s="152"/>
      <c r="C20" s="152"/>
      <c r="D20" s="152"/>
      <c r="E20" s="152"/>
      <c r="F20" s="152"/>
      <c r="H20" s="58" t="s">
        <v>58</v>
      </c>
      <c r="I20" s="61">
        <v>1</v>
      </c>
      <c r="J20" s="22"/>
      <c r="K20" s="61">
        <v>2</v>
      </c>
      <c r="L20" s="74"/>
      <c r="M20" s="61">
        <v>3</v>
      </c>
      <c r="N20" s="74"/>
      <c r="O20" s="61">
        <v>4</v>
      </c>
      <c r="P20" s="74"/>
      <c r="Q20" s="62">
        <v>5</v>
      </c>
      <c r="S20" s="152"/>
      <c r="T20" s="152"/>
      <c r="U20" s="152"/>
      <c r="V20" s="152"/>
      <c r="W20" s="152"/>
      <c r="X20" s="152"/>
      <c r="Y20" s="152"/>
      <c r="Z20" s="152"/>
      <c r="AA20" s="152"/>
      <c r="AB20" s="71"/>
    </row>
    <row r="21" spans="2:28" ht="15.6" x14ac:dyDescent="0.35">
      <c r="B21" s="152"/>
      <c r="C21" s="152"/>
      <c r="D21" s="152"/>
      <c r="E21" s="152"/>
      <c r="F21" s="152"/>
      <c r="H21" s="24" t="s">
        <v>59</v>
      </c>
      <c r="I21" s="70">
        <v>0.05</v>
      </c>
      <c r="K21" s="70">
        <v>0.03</v>
      </c>
      <c r="M21" s="70">
        <v>7.0000000000000007E-2</v>
      </c>
      <c r="O21" s="70">
        <v>0.03</v>
      </c>
      <c r="Q21" s="70">
        <v>7.0000000000000007E-2</v>
      </c>
      <c r="S21" s="152"/>
      <c r="T21" s="152"/>
      <c r="U21" s="152"/>
      <c r="V21" s="152"/>
      <c r="W21" s="152"/>
      <c r="X21" s="152"/>
      <c r="Y21" s="152"/>
      <c r="Z21" s="152"/>
      <c r="AA21" s="152"/>
      <c r="AB21" s="71"/>
    </row>
    <row r="22" spans="2:28" ht="15.6" x14ac:dyDescent="0.35">
      <c r="B22" s="152"/>
      <c r="C22" s="152"/>
      <c r="D22" s="152"/>
      <c r="E22" s="152"/>
      <c r="F22" s="152"/>
      <c r="H22" s="24" t="s">
        <v>60</v>
      </c>
      <c r="I22" s="70">
        <v>0</v>
      </c>
      <c r="K22" s="70">
        <v>0</v>
      </c>
      <c r="M22" s="70">
        <v>0</v>
      </c>
      <c r="O22" s="70">
        <v>2.2499999999999999E-2</v>
      </c>
      <c r="Q22" s="70">
        <v>2.2499999999999999E-2</v>
      </c>
      <c r="S22" s="152"/>
      <c r="T22" s="152"/>
      <c r="U22" s="152"/>
      <c r="V22" s="152"/>
      <c r="W22" s="152"/>
      <c r="X22" s="152"/>
      <c r="Y22" s="152"/>
      <c r="Z22" s="152"/>
      <c r="AA22" s="152"/>
      <c r="AB22" s="71"/>
    </row>
    <row r="23" spans="2:28" ht="15.6" x14ac:dyDescent="0.35">
      <c r="B23" s="152"/>
      <c r="C23" s="152"/>
      <c r="D23" s="152"/>
      <c r="E23" s="152"/>
      <c r="F23" s="152"/>
      <c r="H23" s="24" t="s">
        <v>61</v>
      </c>
      <c r="I23" s="70">
        <f>(1+I21)/(1+I22)-1</f>
        <v>5.0000000000000044E-2</v>
      </c>
      <c r="K23" s="70">
        <f>(1+K21)/(1+K22)-1</f>
        <v>3.0000000000000027E-2</v>
      </c>
      <c r="M23" s="70">
        <f>(1+M21)/(1+M22)-1</f>
        <v>7.0000000000000062E-2</v>
      </c>
      <c r="O23" s="70">
        <f>(1+O21)/(1+O22)-1</f>
        <v>7.3349633251833524E-3</v>
      </c>
      <c r="Q23" s="70">
        <f>(1+Q21)/(1+Q22)-1</f>
        <v>4.6454767726161528E-2</v>
      </c>
      <c r="S23" s="152"/>
      <c r="T23" s="152"/>
      <c r="U23" s="152"/>
      <c r="V23" s="152"/>
      <c r="W23" s="152"/>
      <c r="X23" s="152"/>
      <c r="Y23" s="152"/>
      <c r="Z23" s="152"/>
      <c r="AA23" s="152"/>
      <c r="AB23" s="71"/>
    </row>
    <row r="24" spans="2:28" ht="15.6" x14ac:dyDescent="0.35">
      <c r="B24" s="152"/>
      <c r="C24" s="152"/>
      <c r="D24" s="152"/>
      <c r="E24" s="152"/>
      <c r="F24" s="152"/>
      <c r="H24" s="24"/>
      <c r="Q24" s="25"/>
      <c r="R24" s="12"/>
      <c r="S24" s="152"/>
      <c r="T24" s="152"/>
      <c r="U24" s="152"/>
      <c r="V24" s="152"/>
      <c r="W24" s="152"/>
      <c r="X24" s="152"/>
      <c r="Y24" s="152"/>
      <c r="Z24" s="152"/>
      <c r="AA24" s="152"/>
      <c r="AB24" s="71"/>
    </row>
    <row r="25" spans="2:28" ht="15.6" x14ac:dyDescent="0.35">
      <c r="B25" s="152"/>
      <c r="C25" s="152"/>
      <c r="D25" s="152"/>
      <c r="E25" s="152"/>
      <c r="F25" s="152"/>
      <c r="H25" s="24" t="s">
        <v>62</v>
      </c>
      <c r="I25">
        <v>500</v>
      </c>
      <c r="K25">
        <v>500</v>
      </c>
      <c r="M25">
        <v>500</v>
      </c>
      <c r="O25">
        <v>500</v>
      </c>
      <c r="Q25" s="25">
        <v>500</v>
      </c>
      <c r="S25" s="152"/>
      <c r="T25" s="152"/>
      <c r="U25" s="152"/>
      <c r="V25" s="152"/>
      <c r="W25" s="152"/>
      <c r="X25" s="152"/>
      <c r="Y25" s="152"/>
      <c r="Z25" s="152"/>
      <c r="AA25" s="152"/>
      <c r="AB25" s="71"/>
    </row>
    <row r="26" spans="2:28" ht="15.6" x14ac:dyDescent="0.35">
      <c r="B26" s="152"/>
      <c r="C26" s="152"/>
      <c r="D26" s="152"/>
      <c r="E26" s="152"/>
      <c r="F26" s="152"/>
      <c r="H26" s="24" t="s">
        <v>63</v>
      </c>
      <c r="I26">
        <v>232</v>
      </c>
      <c r="K26">
        <v>188</v>
      </c>
      <c r="M26">
        <v>332</v>
      </c>
      <c r="O26">
        <v>158</v>
      </c>
      <c r="Q26" s="25">
        <v>222</v>
      </c>
      <c r="S26" s="152"/>
      <c r="T26" s="152"/>
      <c r="U26" s="152"/>
      <c r="V26" s="152"/>
      <c r="W26" s="152"/>
      <c r="X26" s="152"/>
      <c r="Y26" s="152"/>
      <c r="Z26" s="152"/>
      <c r="AA26" s="152"/>
      <c r="AB26" s="71"/>
    </row>
    <row r="27" spans="2:28" ht="15.6" x14ac:dyDescent="0.35">
      <c r="B27" s="152"/>
      <c r="C27" s="152"/>
      <c r="D27" s="152"/>
      <c r="E27" s="152"/>
      <c r="F27" s="152"/>
      <c r="H27" s="24"/>
      <c r="Q27" s="25"/>
      <c r="R27" s="1"/>
      <c r="S27" s="152"/>
      <c r="T27" s="152"/>
      <c r="U27" s="152"/>
      <c r="V27" s="152"/>
      <c r="W27" s="152"/>
      <c r="X27" s="152"/>
      <c r="Y27" s="152"/>
      <c r="Z27" s="152"/>
      <c r="AA27" s="152"/>
      <c r="AB27" s="71"/>
    </row>
    <row r="28" spans="2:28" ht="15.6" x14ac:dyDescent="0.35">
      <c r="B28" s="152"/>
      <c r="C28" s="152"/>
      <c r="D28" s="152"/>
      <c r="E28" s="152"/>
      <c r="F28" s="152"/>
      <c r="H28" s="24" t="s">
        <v>64</v>
      </c>
      <c r="I28" s="3">
        <f>-PV((1+I23)^(1/12)-1,I26,I25,,1)</f>
        <v>75247.815381656794</v>
      </c>
      <c r="J28" s="3"/>
      <c r="K28" s="3">
        <f>-PV((1+K23)^(1/12)-1,K26,K25,,1)</f>
        <v>75331.751651032726</v>
      </c>
      <c r="L28" s="3"/>
      <c r="M28" s="3">
        <f>-PV((1+M23)^(1/12)-1,M26,M25,,1)</f>
        <v>75250.2402674193</v>
      </c>
      <c r="N28" s="3"/>
      <c r="O28" s="3">
        <f>-PV((1+O23)^(1/12)-1,O26,O25,,1)</f>
        <v>75341.102902770552</v>
      </c>
      <c r="P28" s="3"/>
      <c r="Q28" s="51">
        <f>-PV((1+Q23)^(1/12)-1,Q26,Q25,,1)</f>
        <v>75235.985822504386</v>
      </c>
      <c r="S28" s="152"/>
      <c r="T28" s="152"/>
      <c r="U28" s="152"/>
      <c r="V28" s="152"/>
      <c r="W28" s="152"/>
      <c r="X28" s="152"/>
      <c r="Y28" s="152"/>
      <c r="Z28" s="152"/>
      <c r="AA28" s="152"/>
      <c r="AB28" s="71"/>
    </row>
    <row r="29" spans="2:28" ht="15.6" x14ac:dyDescent="0.35">
      <c r="B29" s="152"/>
      <c r="C29" s="152"/>
      <c r="D29" s="152"/>
      <c r="E29" s="152"/>
      <c r="F29" s="152"/>
      <c r="H29" s="24"/>
      <c r="Q29" s="25"/>
      <c r="S29" s="152"/>
      <c r="T29" s="152"/>
      <c r="U29" s="152"/>
      <c r="V29" s="152"/>
      <c r="W29" s="152"/>
      <c r="X29" s="152"/>
      <c r="Y29" s="152"/>
      <c r="Z29" s="152"/>
      <c r="AA29" s="152"/>
      <c r="AB29" s="71"/>
    </row>
    <row r="30" spans="2:28" ht="15.6" x14ac:dyDescent="0.35">
      <c r="B30" s="152"/>
      <c r="C30" s="152"/>
      <c r="D30" s="152"/>
      <c r="E30" s="152"/>
      <c r="F30" s="152"/>
      <c r="H30" s="47" t="s">
        <v>65</v>
      </c>
      <c r="I30" s="75">
        <f>I26/12</f>
        <v>19.333333333333332</v>
      </c>
      <c r="J30" s="48"/>
      <c r="K30" s="75">
        <f>K26/12</f>
        <v>15.666666666666666</v>
      </c>
      <c r="L30" s="48"/>
      <c r="M30" s="75">
        <f>M26/12</f>
        <v>27.666666666666668</v>
      </c>
      <c r="N30" s="48"/>
      <c r="O30" s="75">
        <f>O26/12</f>
        <v>13.166666666666666</v>
      </c>
      <c r="P30" s="48"/>
      <c r="Q30" s="76">
        <f>Q26/12</f>
        <v>18.5</v>
      </c>
      <c r="S30" s="152"/>
      <c r="T30" s="152"/>
      <c r="U30" s="152"/>
      <c r="V30" s="152"/>
      <c r="W30" s="152"/>
      <c r="X30" s="152"/>
      <c r="Y30" s="152"/>
      <c r="Z30" s="152"/>
      <c r="AA30" s="152"/>
      <c r="AB30" s="71"/>
    </row>
    <row r="31" spans="2:28" ht="15.6" x14ac:dyDescent="0.35">
      <c r="S31" s="152"/>
      <c r="T31" s="152"/>
      <c r="U31" s="152"/>
      <c r="V31" s="152"/>
      <c r="W31" s="152"/>
      <c r="X31" s="152"/>
      <c r="Y31" s="152"/>
      <c r="Z31" s="152"/>
      <c r="AA31" s="152"/>
      <c r="AB31" s="71"/>
    </row>
    <row r="32" spans="2:28" ht="15.6" x14ac:dyDescent="0.35">
      <c r="H32" s="7" t="s">
        <v>66</v>
      </c>
      <c r="S32" s="152"/>
      <c r="T32" s="152"/>
      <c r="U32" s="152"/>
      <c r="V32" s="152"/>
      <c r="W32" s="152"/>
      <c r="X32" s="152"/>
      <c r="Y32" s="152"/>
      <c r="Z32" s="152"/>
      <c r="AA32" s="152"/>
      <c r="AB32" s="71"/>
    </row>
    <row r="33" spans="8:28" ht="15.6" x14ac:dyDescent="0.35">
      <c r="H33" s="58" t="s">
        <v>58</v>
      </c>
      <c r="I33" s="61">
        <v>1</v>
      </c>
      <c r="J33" s="22"/>
      <c r="K33" s="61">
        <v>2</v>
      </c>
      <c r="L33" s="74"/>
      <c r="M33" s="61">
        <v>3</v>
      </c>
      <c r="N33" s="74"/>
      <c r="O33" s="61">
        <v>4</v>
      </c>
      <c r="P33" s="74"/>
      <c r="Q33" s="62">
        <v>5</v>
      </c>
      <c r="S33" s="152"/>
      <c r="T33" s="152"/>
      <c r="U33" s="152"/>
      <c r="V33" s="152"/>
      <c r="W33" s="152"/>
      <c r="X33" s="152"/>
      <c r="Y33" s="152"/>
      <c r="Z33" s="152"/>
      <c r="AA33" s="152"/>
      <c r="AB33" s="71"/>
    </row>
    <row r="34" spans="8:28" ht="15.6" x14ac:dyDescent="0.35">
      <c r="H34" s="24" t="s">
        <v>59</v>
      </c>
      <c r="I34" s="70">
        <v>0.05</v>
      </c>
      <c r="K34" s="70">
        <v>0.03</v>
      </c>
      <c r="M34" s="70">
        <v>7.0000000000000007E-2</v>
      </c>
      <c r="O34" s="70">
        <v>0.03</v>
      </c>
      <c r="Q34" s="70">
        <v>7.0000000000000007E-2</v>
      </c>
      <c r="S34" s="152"/>
      <c r="T34" s="152"/>
      <c r="U34" s="152"/>
      <c r="V34" s="152"/>
      <c r="W34" s="152"/>
      <c r="X34" s="152"/>
      <c r="Y34" s="152"/>
      <c r="Z34" s="152"/>
      <c r="AA34" s="152"/>
      <c r="AB34" s="71"/>
    </row>
    <row r="35" spans="8:28" ht="15.6" x14ac:dyDescent="0.35">
      <c r="H35" s="24" t="s">
        <v>60</v>
      </c>
      <c r="I35" s="70">
        <v>0</v>
      </c>
      <c r="K35" s="70">
        <v>0</v>
      </c>
      <c r="M35" s="70">
        <v>0</v>
      </c>
      <c r="O35" s="70">
        <v>2.2499999999999999E-2</v>
      </c>
      <c r="Q35" s="70">
        <v>2.2499999999999999E-2</v>
      </c>
      <c r="S35" s="152"/>
      <c r="T35" s="152"/>
      <c r="U35" s="152"/>
      <c r="V35" s="152"/>
      <c r="W35" s="152"/>
      <c r="X35" s="152"/>
      <c r="Y35" s="152"/>
      <c r="Z35" s="152"/>
      <c r="AA35" s="152"/>
      <c r="AB35" s="71"/>
    </row>
    <row r="36" spans="8:28" ht="15.6" x14ac:dyDescent="0.35">
      <c r="H36" s="24" t="s">
        <v>61</v>
      </c>
      <c r="I36" s="70">
        <f>(1+I34)/(1+I35)-1</f>
        <v>5.0000000000000044E-2</v>
      </c>
      <c r="K36" s="70">
        <f>(1+K34)/(1+K35)-1</f>
        <v>3.0000000000000027E-2</v>
      </c>
      <c r="M36" s="70">
        <f>(1+M34)/(1+M35)-1</f>
        <v>7.0000000000000062E-2</v>
      </c>
      <c r="O36" s="70">
        <f>(1+O34)/(1+O35)-1</f>
        <v>7.3349633251833524E-3</v>
      </c>
      <c r="Q36" s="70">
        <f>(1+Q34)/(1+Q35)-1</f>
        <v>4.6454767726161528E-2</v>
      </c>
      <c r="S36" s="152"/>
      <c r="T36" s="152"/>
      <c r="U36" s="152"/>
      <c r="V36" s="152"/>
      <c r="W36" s="152"/>
      <c r="X36" s="152"/>
      <c r="Y36" s="152"/>
      <c r="Z36" s="152"/>
      <c r="AA36" s="152"/>
      <c r="AB36" s="71"/>
    </row>
    <row r="37" spans="8:28" ht="15.6" x14ac:dyDescent="0.35">
      <c r="H37" s="24"/>
      <c r="Q37" s="25"/>
      <c r="S37" s="152"/>
      <c r="T37" s="152"/>
      <c r="U37" s="152"/>
      <c r="V37" s="152"/>
      <c r="W37" s="152"/>
      <c r="X37" s="152"/>
      <c r="Y37" s="152"/>
      <c r="Z37" s="152"/>
      <c r="AA37" s="152"/>
      <c r="AB37" s="71"/>
    </row>
    <row r="38" spans="8:28" ht="15.6" x14ac:dyDescent="0.35">
      <c r="H38" s="24" t="s">
        <v>62</v>
      </c>
      <c r="I38">
        <v>500</v>
      </c>
      <c r="K38">
        <v>500</v>
      </c>
      <c r="M38">
        <v>500</v>
      </c>
      <c r="O38">
        <v>500</v>
      </c>
      <c r="Q38" s="25">
        <v>500</v>
      </c>
      <c r="S38" s="152"/>
      <c r="T38" s="152"/>
      <c r="U38" s="152"/>
      <c r="V38" s="152"/>
      <c r="W38" s="152"/>
      <c r="X38" s="152"/>
      <c r="Y38" s="152"/>
      <c r="Z38" s="152"/>
      <c r="AA38" s="152"/>
      <c r="AB38" s="71"/>
    </row>
    <row r="39" spans="8:28" ht="15.6" x14ac:dyDescent="0.35">
      <c r="H39" s="24" t="s">
        <v>63</v>
      </c>
      <c r="I39">
        <v>232</v>
      </c>
      <c r="K39">
        <v>232</v>
      </c>
      <c r="M39">
        <v>232</v>
      </c>
      <c r="O39">
        <v>232</v>
      </c>
      <c r="Q39" s="25">
        <v>232</v>
      </c>
      <c r="S39" s="152"/>
      <c r="T39" s="152"/>
      <c r="U39" s="152"/>
      <c r="V39" s="152"/>
      <c r="W39" s="152"/>
      <c r="X39" s="152"/>
      <c r="Y39" s="152"/>
      <c r="Z39" s="152"/>
      <c r="AA39" s="152"/>
      <c r="AB39" s="71"/>
    </row>
    <row r="40" spans="8:28" ht="15.6" x14ac:dyDescent="0.35">
      <c r="H40" s="24"/>
      <c r="Q40" s="25"/>
      <c r="S40" s="152"/>
      <c r="T40" s="152"/>
      <c r="U40" s="152"/>
      <c r="V40" s="152"/>
      <c r="W40" s="152"/>
      <c r="X40" s="152"/>
      <c r="Y40" s="152"/>
      <c r="Z40" s="152"/>
      <c r="AA40" s="152"/>
      <c r="AB40" s="71"/>
    </row>
    <row r="41" spans="8:28" ht="15.6" x14ac:dyDescent="0.35">
      <c r="H41" s="24" t="s">
        <v>64</v>
      </c>
      <c r="I41" s="3">
        <f>-PV((1+I36)^(1/12)-1,I39,I38,,1)</f>
        <v>75247.815381656794</v>
      </c>
      <c r="J41" s="3"/>
      <c r="K41" s="3">
        <f>-PV((1+K36)^(1/12)-1,K39,K38,,1)</f>
        <v>88469.428227250464</v>
      </c>
      <c r="L41" s="3"/>
      <c r="M41" s="3">
        <f>-PV((1+M36)^(1/12)-1,M39,M38,,1)</f>
        <v>64888.986211819727</v>
      </c>
      <c r="N41" s="3"/>
      <c r="O41" s="3">
        <f>-PV((1+O36)^(1/12)-1,O39,O38,,1)</f>
        <v>108210.72496766101</v>
      </c>
      <c r="P41" s="3"/>
      <c r="Q41" s="51">
        <f>-PV((1+Q36)^(1/12)-1,Q39,Q38,,1)</f>
        <v>77358.115671213222</v>
      </c>
      <c r="S41" s="152"/>
      <c r="T41" s="152"/>
      <c r="U41" s="152"/>
      <c r="V41" s="152"/>
      <c r="W41" s="152"/>
      <c r="X41" s="152"/>
      <c r="Y41" s="152"/>
      <c r="Z41" s="152"/>
      <c r="AA41" s="152"/>
      <c r="AB41" s="71"/>
    </row>
    <row r="42" spans="8:28" ht="15.6" x14ac:dyDescent="0.35">
      <c r="H42" s="24"/>
      <c r="Q42" s="25"/>
      <c r="S42" s="152"/>
      <c r="T42" s="152"/>
      <c r="U42" s="152"/>
      <c r="V42" s="152"/>
      <c r="W42" s="152"/>
      <c r="X42" s="152"/>
      <c r="Y42" s="152"/>
      <c r="Z42" s="152"/>
      <c r="AA42" s="152"/>
      <c r="AB42" s="71"/>
    </row>
    <row r="43" spans="8:28" ht="15.6" x14ac:dyDescent="0.35">
      <c r="H43" s="24" t="s">
        <v>65</v>
      </c>
      <c r="I43" s="77">
        <f>I39/12</f>
        <v>19.333333333333332</v>
      </c>
      <c r="K43" s="77">
        <f>K39/12</f>
        <v>19.333333333333332</v>
      </c>
      <c r="M43" s="77">
        <f>M39/12</f>
        <v>19.333333333333332</v>
      </c>
      <c r="O43" s="77">
        <f>O39/12</f>
        <v>19.333333333333332</v>
      </c>
      <c r="Q43" s="78">
        <f>Q39/12</f>
        <v>19.333333333333332</v>
      </c>
      <c r="S43" s="152"/>
      <c r="T43" s="152"/>
      <c r="U43" s="152"/>
      <c r="V43" s="152"/>
      <c r="W43" s="152"/>
      <c r="X43" s="152"/>
      <c r="Y43" s="152"/>
      <c r="Z43" s="152"/>
      <c r="AA43" s="152"/>
      <c r="AB43" s="71"/>
    </row>
    <row r="44" spans="8:28" ht="15.6" x14ac:dyDescent="0.35">
      <c r="H44" s="24"/>
      <c r="Q44" s="25"/>
      <c r="S44" s="152"/>
      <c r="T44" s="152"/>
      <c r="U44" s="152"/>
      <c r="V44" s="152"/>
      <c r="W44" s="152"/>
      <c r="X44" s="152"/>
      <c r="Y44" s="152"/>
      <c r="Z44" s="152"/>
      <c r="AA44" s="152"/>
      <c r="AB44" s="71"/>
    </row>
    <row r="45" spans="8:28" ht="15.6" x14ac:dyDescent="0.35">
      <c r="H45" s="24"/>
      <c r="Q45" s="25"/>
      <c r="S45" s="152"/>
      <c r="T45" s="152"/>
      <c r="U45" s="152"/>
      <c r="V45" s="152"/>
      <c r="W45" s="152"/>
      <c r="X45" s="152"/>
      <c r="Y45" s="152"/>
      <c r="Z45" s="152"/>
      <c r="AA45" s="152"/>
      <c r="AB45" s="71"/>
    </row>
    <row r="46" spans="8:28" ht="15.6" x14ac:dyDescent="0.35">
      <c r="H46" s="24" t="s">
        <v>58</v>
      </c>
      <c r="I46" s="14">
        <v>1</v>
      </c>
      <c r="K46" s="14">
        <v>2</v>
      </c>
      <c r="L46" s="6"/>
      <c r="M46" s="14">
        <v>3</v>
      </c>
      <c r="N46" s="6"/>
      <c r="O46" s="14">
        <v>4</v>
      </c>
      <c r="P46" s="6"/>
      <c r="Q46" s="79">
        <v>5</v>
      </c>
      <c r="S46" s="152"/>
      <c r="T46" s="152"/>
      <c r="U46" s="152"/>
      <c r="V46" s="152"/>
      <c r="W46" s="152"/>
      <c r="X46" s="152"/>
      <c r="Y46" s="152"/>
      <c r="Z46" s="152"/>
      <c r="AA46" s="152"/>
      <c r="AB46" s="71"/>
    </row>
    <row r="47" spans="8:28" ht="15.6" x14ac:dyDescent="0.35">
      <c r="H47" s="24" t="s">
        <v>59</v>
      </c>
      <c r="I47" s="70">
        <v>0.05</v>
      </c>
      <c r="K47" s="70">
        <v>0.03</v>
      </c>
      <c r="M47" s="70">
        <v>7.0000000000000007E-2</v>
      </c>
      <c r="O47" s="70">
        <v>0.03</v>
      </c>
      <c r="Q47" s="70">
        <v>7.0000000000000007E-2</v>
      </c>
      <c r="S47" s="152"/>
      <c r="T47" s="152"/>
      <c r="U47" s="152"/>
      <c r="V47" s="152"/>
      <c r="W47" s="152"/>
      <c r="X47" s="152"/>
      <c r="Y47" s="152"/>
      <c r="Z47" s="152"/>
      <c r="AA47" s="152"/>
      <c r="AB47" s="71"/>
    </row>
    <row r="48" spans="8:28" ht="15.6" x14ac:dyDescent="0.35">
      <c r="H48" s="24" t="s">
        <v>60</v>
      </c>
      <c r="I48" s="70">
        <v>0</v>
      </c>
      <c r="K48" s="70">
        <v>0</v>
      </c>
      <c r="M48" s="70">
        <v>0</v>
      </c>
      <c r="O48" s="70">
        <v>2.2499999999999999E-2</v>
      </c>
      <c r="Q48" s="70">
        <v>2.2499999999999999E-2</v>
      </c>
      <c r="S48" s="152"/>
      <c r="T48" s="152"/>
      <c r="U48" s="152"/>
      <c r="V48" s="152"/>
      <c r="W48" s="152"/>
      <c r="X48" s="152"/>
      <c r="Y48" s="152"/>
      <c r="Z48" s="152"/>
      <c r="AA48" s="152"/>
      <c r="AB48" s="71"/>
    </row>
    <row r="49" spans="8:28" ht="15.6" x14ac:dyDescent="0.35">
      <c r="H49" s="24" t="s">
        <v>61</v>
      </c>
      <c r="I49" s="70">
        <f>(1+I47)/(1+I48)-1</f>
        <v>5.0000000000000044E-2</v>
      </c>
      <c r="K49" s="70">
        <f>(1+K47)/(1+K48)-1</f>
        <v>3.0000000000000027E-2</v>
      </c>
      <c r="M49" s="70">
        <f>(1+M47)/(1+M48)-1</f>
        <v>7.0000000000000062E-2</v>
      </c>
      <c r="O49" s="70">
        <f>(1+O47)/(1+O48)-1</f>
        <v>7.3349633251833524E-3</v>
      </c>
      <c r="Q49" s="70">
        <f>(1+Q47)/(1+Q48)-1</f>
        <v>4.6454767726161528E-2</v>
      </c>
      <c r="S49" s="152"/>
      <c r="T49" s="152"/>
      <c r="U49" s="152"/>
      <c r="V49" s="152"/>
      <c r="W49" s="152"/>
      <c r="X49" s="152"/>
      <c r="Y49" s="152"/>
      <c r="Z49" s="152"/>
      <c r="AA49" s="152"/>
      <c r="AB49" s="71"/>
    </row>
    <row r="50" spans="8:28" ht="15.6" x14ac:dyDescent="0.35">
      <c r="H50" s="24"/>
      <c r="Q50" s="25"/>
      <c r="S50" s="152"/>
      <c r="T50" s="152"/>
      <c r="U50" s="152"/>
      <c r="V50" s="152"/>
      <c r="W50" s="152"/>
      <c r="X50" s="152"/>
      <c r="Y50" s="152"/>
      <c r="Z50" s="152"/>
      <c r="AA50" s="152"/>
      <c r="AB50" s="71"/>
    </row>
    <row r="51" spans="8:28" ht="15.6" x14ac:dyDescent="0.35">
      <c r="H51" s="24" t="s">
        <v>62</v>
      </c>
      <c r="I51" s="80">
        <v>500</v>
      </c>
      <c r="K51" s="81">
        <f>$I41/K41*K38</f>
        <v>425.27580933590161</v>
      </c>
      <c r="M51" s="81">
        <f>$I41/M41*M38</f>
        <v>579.81962559888302</v>
      </c>
      <c r="O51" s="81">
        <f>$I41/O41*O38</f>
        <v>347.69111566411163</v>
      </c>
      <c r="Q51" s="82">
        <f>$I41/Q41*Q38</f>
        <v>486.36018812476243</v>
      </c>
      <c r="S51" s="152"/>
      <c r="T51" s="152"/>
      <c r="U51" s="152"/>
      <c r="V51" s="152"/>
      <c r="W51" s="152"/>
      <c r="X51" s="152"/>
      <c r="Y51" s="152"/>
      <c r="Z51" s="152"/>
      <c r="AA51" s="152"/>
      <c r="AB51" s="71"/>
    </row>
    <row r="52" spans="8:28" ht="15.6" x14ac:dyDescent="0.35">
      <c r="H52" s="24" t="s">
        <v>63</v>
      </c>
      <c r="I52">
        <v>232</v>
      </c>
      <c r="K52">
        <v>232</v>
      </c>
      <c r="M52">
        <v>232</v>
      </c>
      <c r="O52">
        <v>232</v>
      </c>
      <c r="Q52" s="25">
        <v>232</v>
      </c>
      <c r="S52" s="152"/>
      <c r="T52" s="152"/>
      <c r="U52" s="152"/>
      <c r="V52" s="152"/>
      <c r="W52" s="152"/>
      <c r="X52" s="152"/>
      <c r="Y52" s="152"/>
      <c r="Z52" s="152"/>
      <c r="AA52" s="152"/>
      <c r="AB52" s="71"/>
    </row>
    <row r="53" spans="8:28" ht="15.6" x14ac:dyDescent="0.35">
      <c r="H53" s="24"/>
      <c r="Q53" s="25"/>
      <c r="S53" s="152"/>
      <c r="T53" s="152"/>
      <c r="U53" s="152"/>
      <c r="V53" s="152"/>
      <c r="W53" s="152"/>
      <c r="X53" s="152"/>
      <c r="Y53" s="152"/>
      <c r="Z53" s="152"/>
      <c r="AA53" s="152"/>
      <c r="AB53" s="71"/>
    </row>
    <row r="54" spans="8:28" ht="15.6" x14ac:dyDescent="0.35">
      <c r="H54" s="24" t="s">
        <v>64</v>
      </c>
      <c r="I54" s="3">
        <f>-PV((1+I49)^(1/12)-1,I52,I51,,1)</f>
        <v>75247.815381656794</v>
      </c>
      <c r="J54" s="3"/>
      <c r="K54" s="3">
        <f>-PV((1+K49)^(1/12)-1,K52,K51,,1)</f>
        <v>75247.815381656808</v>
      </c>
      <c r="L54" s="3"/>
      <c r="M54" s="3">
        <f>-PV((1+M49)^(1/12)-1,M52,M51,,1)</f>
        <v>75247.815381656794</v>
      </c>
      <c r="N54" s="3"/>
      <c r="O54" s="3">
        <f>-PV((1+O49)^(1/12)-1,O52,O51,,1)</f>
        <v>75247.815381656779</v>
      </c>
      <c r="P54" s="3"/>
      <c r="Q54" s="51">
        <f>-PV((1+Q49)^(1/12)-1,Q52,Q51,,1)</f>
        <v>75247.815381656794</v>
      </c>
      <c r="S54" s="152"/>
      <c r="T54" s="152"/>
      <c r="U54" s="152"/>
      <c r="V54" s="152"/>
      <c r="W54" s="152"/>
      <c r="X54" s="152"/>
      <c r="Y54" s="152"/>
      <c r="Z54" s="152"/>
      <c r="AA54" s="152"/>
      <c r="AB54" s="71"/>
    </row>
    <row r="55" spans="8:28" ht="15.6" x14ac:dyDescent="0.35">
      <c r="H55" s="24"/>
      <c r="Q55" s="25"/>
      <c r="S55" s="152"/>
      <c r="T55" s="152"/>
      <c r="U55" s="152"/>
      <c r="V55" s="152"/>
      <c r="W55" s="152"/>
      <c r="X55" s="152"/>
      <c r="Y55" s="152"/>
      <c r="Z55" s="152"/>
      <c r="AA55" s="152"/>
      <c r="AB55" s="71"/>
    </row>
    <row r="56" spans="8:28" ht="15.6" x14ac:dyDescent="0.35">
      <c r="H56" s="47" t="s">
        <v>65</v>
      </c>
      <c r="I56" s="83">
        <f>I52/12</f>
        <v>19.333333333333332</v>
      </c>
      <c r="J56" s="48"/>
      <c r="K56" s="83">
        <f>K52/12</f>
        <v>19.333333333333332</v>
      </c>
      <c r="L56" s="48"/>
      <c r="M56" s="83">
        <f>M52/12</f>
        <v>19.333333333333332</v>
      </c>
      <c r="N56" s="48"/>
      <c r="O56" s="83">
        <f>O52/12</f>
        <v>19.333333333333332</v>
      </c>
      <c r="P56" s="48"/>
      <c r="Q56" s="84">
        <f>Q52/12</f>
        <v>19.333333333333332</v>
      </c>
      <c r="S56" s="152"/>
      <c r="T56" s="152"/>
      <c r="U56" s="152"/>
      <c r="V56" s="152"/>
      <c r="W56" s="152"/>
      <c r="X56" s="152"/>
      <c r="Y56" s="152"/>
      <c r="Z56" s="152"/>
      <c r="AA56" s="152"/>
      <c r="AB56" s="71"/>
    </row>
    <row r="58" spans="8:28" x14ac:dyDescent="0.3">
      <c r="H58" s="7" t="s">
        <v>67</v>
      </c>
    </row>
    <row r="59" spans="8:28" x14ac:dyDescent="0.3">
      <c r="H59" s="58" t="s">
        <v>58</v>
      </c>
      <c r="I59" s="61">
        <v>1</v>
      </c>
      <c r="J59" s="22"/>
      <c r="K59" s="61">
        <v>2</v>
      </c>
      <c r="L59" s="74"/>
      <c r="M59" s="61">
        <v>3</v>
      </c>
      <c r="N59" s="74"/>
      <c r="O59" s="61">
        <v>4</v>
      </c>
      <c r="P59" s="74"/>
      <c r="Q59" s="62">
        <v>5</v>
      </c>
    </row>
    <row r="60" spans="8:28" x14ac:dyDescent="0.3">
      <c r="H60" s="24" t="s">
        <v>59</v>
      </c>
      <c r="I60" s="6" t="s">
        <v>0</v>
      </c>
      <c r="J60" s="6"/>
      <c r="K60" s="6" t="s">
        <v>0</v>
      </c>
      <c r="L60" s="6"/>
      <c r="M60" s="6" t="s">
        <v>0</v>
      </c>
      <c r="O60" s="85">
        <v>0.09</v>
      </c>
      <c r="Q60" s="85">
        <v>0.1</v>
      </c>
    </row>
    <row r="61" spans="8:28" x14ac:dyDescent="0.3">
      <c r="H61" s="24" t="s">
        <v>60</v>
      </c>
      <c r="O61" s="70">
        <v>2.2499999999999999E-2</v>
      </c>
      <c r="Q61" s="70">
        <v>2.2499999999999999E-2</v>
      </c>
    </row>
    <row r="62" spans="8:28" x14ac:dyDescent="0.3">
      <c r="H62" s="24" t="s">
        <v>61</v>
      </c>
      <c r="O62" s="70">
        <f>(1+O60)/(1+O61)-1</f>
        <v>6.6014669926650393E-2</v>
      </c>
      <c r="Q62" s="70">
        <f>(1+Q60)/(1+Q61)-1</f>
        <v>7.5794621026894937E-2</v>
      </c>
    </row>
    <row r="63" spans="8:28" x14ac:dyDescent="0.3">
      <c r="H63" s="24"/>
      <c r="Q63" s="25"/>
    </row>
    <row r="64" spans="8:28" x14ac:dyDescent="0.3">
      <c r="H64" s="24" t="s">
        <v>62</v>
      </c>
      <c r="K64" s="86"/>
      <c r="M64" s="86"/>
      <c r="O64" s="86">
        <v>500</v>
      </c>
      <c r="Q64" s="87">
        <v>500</v>
      </c>
    </row>
    <row r="65" spans="8:17" x14ac:dyDescent="0.3">
      <c r="H65" s="24" t="s">
        <v>63</v>
      </c>
      <c r="O65">
        <f>(90-65)*12</f>
        <v>300</v>
      </c>
      <c r="Q65" s="25">
        <f>(100-65)*12</f>
        <v>420</v>
      </c>
    </row>
    <row r="66" spans="8:17" x14ac:dyDescent="0.3">
      <c r="H66" s="24"/>
      <c r="Q66" s="25"/>
    </row>
    <row r="67" spans="8:17" x14ac:dyDescent="0.3">
      <c r="H67" s="24" t="s">
        <v>64</v>
      </c>
      <c r="I67" s="3"/>
      <c r="J67" s="3"/>
      <c r="K67" s="3"/>
      <c r="L67" s="3"/>
      <c r="M67" s="3"/>
      <c r="N67" s="3"/>
      <c r="O67" s="3">
        <f>-PV((1+O62)^(1/12)-1,O65,O64,,1)</f>
        <v>75072.578748240849</v>
      </c>
      <c r="P67" s="3"/>
      <c r="Q67" s="51">
        <f>-PV((1+Q62)^(1/12)-1,Q65,Q64,,1)</f>
        <v>75988.448255077528</v>
      </c>
    </row>
    <row r="68" spans="8:17" x14ac:dyDescent="0.3">
      <c r="H68" s="24"/>
      <c r="Q68" s="25"/>
    </row>
    <row r="69" spans="8:17" x14ac:dyDescent="0.3">
      <c r="H69" s="47" t="s">
        <v>65</v>
      </c>
      <c r="I69" s="83"/>
      <c r="J69" s="48"/>
      <c r="K69" s="83"/>
      <c r="L69" s="48"/>
      <c r="M69" s="83"/>
      <c r="N69" s="48"/>
      <c r="O69" s="83">
        <f>O65/12</f>
        <v>25</v>
      </c>
      <c r="P69" s="48"/>
      <c r="Q69" s="84">
        <f>Q65/12</f>
        <v>35</v>
      </c>
    </row>
  </sheetData>
  <mergeCells count="2">
    <mergeCell ref="B8:F30"/>
    <mergeCell ref="S8:AA5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8C1BE-8D23-4233-BFAE-DB2DE7F4C645}">
  <sheetPr>
    <tabColor theme="5" tint="0.39997558519241921"/>
  </sheetPr>
  <dimension ref="A1:S45"/>
  <sheetViews>
    <sheetView zoomScale="115" zoomScaleNormal="115" workbookViewId="0"/>
  </sheetViews>
  <sheetFormatPr defaultRowHeight="14.4" x14ac:dyDescent="0.3"/>
  <cols>
    <col min="1" max="3" width="3.77734375" customWidth="1"/>
    <col min="17" max="19" width="27.5546875" customWidth="1"/>
  </cols>
  <sheetData>
    <row r="1" spans="1:19" x14ac:dyDescent="0.3">
      <c r="A1" s="177" t="s">
        <v>209</v>
      </c>
    </row>
    <row r="3" spans="1:19" x14ac:dyDescent="0.3">
      <c r="A3" s="4" t="s">
        <v>1</v>
      </c>
    </row>
    <row r="4" spans="1:19" x14ac:dyDescent="0.3">
      <c r="A4" t="s">
        <v>92</v>
      </c>
    </row>
    <row r="6" spans="1:19" x14ac:dyDescent="0.3">
      <c r="D6" s="152" t="s">
        <v>93</v>
      </c>
      <c r="E6" s="152"/>
      <c r="F6" s="152"/>
      <c r="G6" s="152"/>
      <c r="H6" s="152"/>
      <c r="I6" s="152"/>
      <c r="J6" s="152"/>
      <c r="K6" s="152"/>
      <c r="L6" s="152"/>
      <c r="M6" s="152"/>
      <c r="N6" s="152"/>
    </row>
    <row r="7" spans="1:19" x14ac:dyDescent="0.3">
      <c r="D7" s="152"/>
      <c r="E7" s="152"/>
      <c r="F7" s="152"/>
      <c r="G7" s="152"/>
      <c r="H7" s="152"/>
      <c r="I7" s="152"/>
      <c r="J7" s="152"/>
      <c r="K7" s="152"/>
      <c r="L7" s="152"/>
      <c r="M7" s="152"/>
      <c r="N7" s="152"/>
    </row>
    <row r="8" spans="1:19" x14ac:dyDescent="0.3">
      <c r="D8" s="152"/>
      <c r="E8" s="152"/>
      <c r="F8" s="152"/>
      <c r="G8" s="152"/>
      <c r="H8" s="152"/>
      <c r="I8" s="152"/>
      <c r="J8" s="152"/>
      <c r="K8" s="152"/>
      <c r="L8" s="152"/>
      <c r="M8" s="152"/>
      <c r="N8" s="152"/>
    </row>
    <row r="9" spans="1:19" x14ac:dyDescent="0.3">
      <c r="D9" s="152"/>
      <c r="E9" s="152"/>
      <c r="F9" s="152"/>
      <c r="G9" s="152"/>
      <c r="H9" s="152"/>
      <c r="I9" s="152"/>
      <c r="J9" s="152"/>
      <c r="K9" s="152"/>
      <c r="L9" s="152"/>
      <c r="M9" s="152"/>
      <c r="N9" s="152"/>
    </row>
    <row r="10" spans="1:19" x14ac:dyDescent="0.3">
      <c r="D10" s="152"/>
      <c r="E10" s="152"/>
      <c r="F10" s="152"/>
      <c r="G10" s="152"/>
      <c r="H10" s="152"/>
      <c r="I10" s="152"/>
      <c r="J10" s="152"/>
      <c r="K10" s="152"/>
      <c r="L10" s="152"/>
      <c r="M10" s="152"/>
      <c r="N10" s="152"/>
    </row>
    <row r="11" spans="1:19" x14ac:dyDescent="0.3">
      <c r="D11" s="152"/>
      <c r="E11" s="152"/>
      <c r="F11" s="152"/>
      <c r="G11" s="152"/>
      <c r="H11" s="152"/>
      <c r="I11" s="152"/>
      <c r="J11" s="152"/>
      <c r="K11" s="152"/>
      <c r="L11" s="152"/>
      <c r="M11" s="152"/>
      <c r="N11" s="152"/>
    </row>
    <row r="12" spans="1:19" x14ac:dyDescent="0.3">
      <c r="D12" s="152"/>
      <c r="E12" s="152"/>
      <c r="F12" s="152"/>
      <c r="G12" s="152"/>
      <c r="H12" s="152"/>
      <c r="I12" s="152"/>
      <c r="J12" s="152"/>
      <c r="K12" s="152"/>
      <c r="L12" s="152"/>
      <c r="M12" s="152"/>
      <c r="N12" s="152"/>
    </row>
    <row r="13" spans="1:19" x14ac:dyDescent="0.3">
      <c r="D13" s="152"/>
      <c r="E13" s="152"/>
      <c r="F13" s="152"/>
      <c r="G13" s="152"/>
      <c r="H13" s="152"/>
      <c r="I13" s="152"/>
      <c r="J13" s="152"/>
      <c r="K13" s="152"/>
      <c r="L13" s="152"/>
      <c r="M13" s="152"/>
      <c r="N13" s="152"/>
    </row>
    <row r="14" spans="1:19" ht="15" thickBot="1" x14ac:dyDescent="0.35">
      <c r="D14" s="152"/>
      <c r="E14" s="152"/>
      <c r="F14" s="152"/>
      <c r="G14" s="152"/>
      <c r="H14" s="152"/>
      <c r="I14" s="152"/>
      <c r="J14" s="152"/>
      <c r="K14" s="152"/>
      <c r="L14" s="152"/>
      <c r="M14" s="152"/>
      <c r="N14" s="152"/>
      <c r="Q14" s="7" t="s">
        <v>69</v>
      </c>
    </row>
    <row r="15" spans="1:19" ht="15" thickBot="1" x14ac:dyDescent="0.35">
      <c r="D15" s="152"/>
      <c r="E15" s="152"/>
      <c r="F15" s="152"/>
      <c r="G15" s="152"/>
      <c r="H15" s="152"/>
      <c r="I15" s="152"/>
      <c r="J15" s="152"/>
      <c r="K15" s="152"/>
      <c r="L15" s="152"/>
      <c r="M15" s="152"/>
      <c r="N15" s="152"/>
      <c r="Q15" s="55"/>
      <c r="R15" s="88" t="s">
        <v>70</v>
      </c>
      <c r="S15" s="88" t="s">
        <v>71</v>
      </c>
    </row>
    <row r="16" spans="1:19" ht="15" thickBot="1" x14ac:dyDescent="0.35">
      <c r="D16" s="152"/>
      <c r="E16" s="152"/>
      <c r="F16" s="152"/>
      <c r="G16" s="152"/>
      <c r="H16" s="152"/>
      <c r="I16" s="152"/>
      <c r="J16" s="152"/>
      <c r="K16" s="152"/>
      <c r="L16" s="152"/>
      <c r="M16" s="152"/>
      <c r="N16" s="152"/>
      <c r="Q16" s="56" t="s">
        <v>72</v>
      </c>
      <c r="R16" s="89">
        <v>65</v>
      </c>
      <c r="S16" s="89">
        <v>65</v>
      </c>
    </row>
    <row r="17" spans="4:19" ht="15" thickBot="1" x14ac:dyDescent="0.35">
      <c r="D17" s="152"/>
      <c r="E17" s="152"/>
      <c r="F17" s="152"/>
      <c r="G17" s="152"/>
      <c r="H17" s="152"/>
      <c r="I17" s="152"/>
      <c r="J17" s="152"/>
      <c r="K17" s="152"/>
      <c r="L17" s="152"/>
      <c r="M17" s="152"/>
      <c r="N17" s="152"/>
      <c r="Q17" s="56" t="s">
        <v>2</v>
      </c>
      <c r="R17" s="89">
        <v>35</v>
      </c>
      <c r="S17" s="89">
        <v>35</v>
      </c>
    </row>
    <row r="18" spans="4:19" ht="15" thickBot="1" x14ac:dyDescent="0.35">
      <c r="D18" s="152"/>
      <c r="E18" s="152"/>
      <c r="F18" s="152"/>
      <c r="G18" s="152"/>
      <c r="H18" s="152"/>
      <c r="I18" s="152"/>
      <c r="J18" s="152"/>
      <c r="K18" s="152"/>
      <c r="L18" s="152"/>
      <c r="M18" s="152"/>
      <c r="N18" s="152"/>
      <c r="Q18" s="56" t="s">
        <v>73</v>
      </c>
      <c r="R18" s="90">
        <v>80000</v>
      </c>
      <c r="S18" s="90">
        <v>155000</v>
      </c>
    </row>
    <row r="19" spans="4:19" ht="15" thickBot="1" x14ac:dyDescent="0.35">
      <c r="D19" s="152"/>
      <c r="E19" s="152"/>
      <c r="F19" s="152"/>
      <c r="G19" s="152"/>
      <c r="H19" s="152"/>
      <c r="I19" s="152"/>
      <c r="J19" s="152"/>
      <c r="K19" s="152"/>
      <c r="L19" s="152"/>
      <c r="M19" s="152"/>
      <c r="N19" s="152"/>
      <c r="Q19" s="56" t="s">
        <v>74</v>
      </c>
      <c r="R19" s="90">
        <v>75000</v>
      </c>
      <c r="S19" s="90">
        <v>150000</v>
      </c>
    </row>
    <row r="20" spans="4:19" ht="15" thickBot="1" x14ac:dyDescent="0.35">
      <c r="D20" s="152"/>
      <c r="E20" s="152"/>
      <c r="F20" s="152"/>
      <c r="G20" s="152"/>
      <c r="H20" s="152"/>
      <c r="I20" s="152"/>
      <c r="J20" s="152"/>
      <c r="K20" s="152"/>
      <c r="L20" s="152"/>
      <c r="M20" s="152"/>
      <c r="N20" s="152"/>
      <c r="Q20" s="56" t="s">
        <v>75</v>
      </c>
      <c r="R20" s="90">
        <v>105000</v>
      </c>
      <c r="S20" s="90">
        <v>105000</v>
      </c>
    </row>
    <row r="21" spans="4:19" ht="29.4" thickBot="1" x14ac:dyDescent="0.35">
      <c r="D21" s="152"/>
      <c r="E21" s="152"/>
      <c r="F21" s="152"/>
      <c r="G21" s="152"/>
      <c r="H21" s="152"/>
      <c r="I21" s="152"/>
      <c r="J21" s="152"/>
      <c r="K21" s="152"/>
      <c r="L21" s="152"/>
      <c r="M21" s="152"/>
      <c r="N21" s="152"/>
      <c r="Q21" s="91" t="s">
        <v>76</v>
      </c>
      <c r="R21" s="90">
        <v>2650</v>
      </c>
      <c r="S21" s="90">
        <v>3150</v>
      </c>
    </row>
    <row r="22" spans="4:19" ht="15" thickBot="1" x14ac:dyDescent="0.35">
      <c r="D22" s="152"/>
      <c r="E22" s="152"/>
      <c r="F22" s="152"/>
      <c r="G22" s="152"/>
      <c r="H22" s="152"/>
      <c r="I22" s="152"/>
      <c r="J22" s="152"/>
      <c r="K22" s="152"/>
      <c r="L22" s="152"/>
      <c r="M22" s="152"/>
      <c r="N22" s="152"/>
      <c r="Q22" s="92"/>
      <c r="R22" s="93"/>
      <c r="S22" s="93"/>
    </row>
    <row r="23" spans="4:19" ht="15" thickBot="1" x14ac:dyDescent="0.35">
      <c r="D23" s="152"/>
      <c r="E23" s="152"/>
      <c r="F23" s="152"/>
      <c r="G23" s="152"/>
      <c r="H23" s="152"/>
      <c r="I23" s="152"/>
      <c r="J23" s="152"/>
      <c r="K23" s="152"/>
      <c r="L23" s="152"/>
      <c r="M23" s="152"/>
      <c r="N23" s="152"/>
      <c r="Q23" s="55" t="s">
        <v>72</v>
      </c>
      <c r="R23" s="94">
        <v>64</v>
      </c>
      <c r="S23" s="94">
        <v>64</v>
      </c>
    </row>
    <row r="24" spans="4:19" ht="15" thickBot="1" x14ac:dyDescent="0.35">
      <c r="D24" s="152"/>
      <c r="E24" s="152"/>
      <c r="F24" s="152"/>
      <c r="G24" s="152"/>
      <c r="H24" s="152"/>
      <c r="I24" s="152"/>
      <c r="J24" s="152"/>
      <c r="K24" s="152"/>
      <c r="L24" s="152"/>
      <c r="M24" s="152"/>
      <c r="N24" s="152"/>
      <c r="Q24" s="56" t="s">
        <v>2</v>
      </c>
      <c r="R24" s="89">
        <v>34</v>
      </c>
      <c r="S24" s="89">
        <v>34</v>
      </c>
    </row>
    <row r="25" spans="4:19" ht="15" thickBot="1" x14ac:dyDescent="0.35">
      <c r="D25" s="152"/>
      <c r="E25" s="152"/>
      <c r="F25" s="152"/>
      <c r="G25" s="152"/>
      <c r="H25" s="152"/>
      <c r="I25" s="152"/>
      <c r="J25" s="152"/>
      <c r="K25" s="152"/>
      <c r="L25" s="152"/>
      <c r="M25" s="152"/>
      <c r="N25" s="152"/>
      <c r="Q25" s="56" t="s">
        <v>74</v>
      </c>
      <c r="R25" s="90">
        <v>73500</v>
      </c>
      <c r="S25" s="90">
        <v>147000</v>
      </c>
    </row>
    <row r="26" spans="4:19" ht="15" thickBot="1" x14ac:dyDescent="0.35">
      <c r="D26" s="152"/>
      <c r="E26" s="152"/>
      <c r="F26" s="152"/>
      <c r="G26" s="152"/>
      <c r="H26" s="152"/>
      <c r="I26" s="152"/>
      <c r="J26" s="152"/>
      <c r="K26" s="152"/>
      <c r="L26" s="152"/>
      <c r="M26" s="152"/>
      <c r="N26" s="152"/>
      <c r="Q26" s="56" t="s">
        <v>75</v>
      </c>
      <c r="R26" s="90">
        <v>104500</v>
      </c>
      <c r="S26" s="90">
        <v>104500</v>
      </c>
    </row>
    <row r="27" spans="4:19" ht="29.4" thickBot="1" x14ac:dyDescent="0.35">
      <c r="D27" s="152"/>
      <c r="E27" s="152"/>
      <c r="F27" s="152"/>
      <c r="G27" s="152"/>
      <c r="H27" s="152"/>
      <c r="I27" s="152"/>
      <c r="J27" s="152"/>
      <c r="K27" s="152"/>
      <c r="L27" s="152"/>
      <c r="M27" s="152"/>
      <c r="N27" s="152"/>
      <c r="Q27" s="91" t="s">
        <v>76</v>
      </c>
      <c r="R27" s="90">
        <v>2615</v>
      </c>
      <c r="S27" s="90">
        <v>3125</v>
      </c>
    </row>
    <row r="28" spans="4:19" x14ac:dyDescent="0.3">
      <c r="D28" s="152"/>
      <c r="E28" s="152"/>
      <c r="F28" s="152"/>
      <c r="G28" s="152"/>
      <c r="H28" s="152"/>
      <c r="I28" s="152"/>
      <c r="J28" s="152"/>
      <c r="K28" s="152"/>
      <c r="L28" s="152"/>
      <c r="M28" s="152"/>
      <c r="N28" s="152"/>
    </row>
    <row r="29" spans="4:19" x14ac:dyDescent="0.3">
      <c r="D29" s="152"/>
      <c r="E29" s="152"/>
      <c r="F29" s="152"/>
      <c r="G29" s="152"/>
      <c r="H29" s="152"/>
      <c r="I29" s="152"/>
      <c r="J29" s="152"/>
      <c r="K29" s="152"/>
      <c r="L29" s="152"/>
      <c r="M29" s="152"/>
      <c r="N29" s="152"/>
    </row>
    <row r="30" spans="4:19" x14ac:dyDescent="0.3">
      <c r="D30" s="152"/>
      <c r="E30" s="152"/>
      <c r="F30" s="152"/>
      <c r="G30" s="152"/>
      <c r="H30" s="152"/>
      <c r="I30" s="152"/>
      <c r="J30" s="152"/>
      <c r="K30" s="152"/>
      <c r="L30" s="152"/>
      <c r="M30" s="152"/>
      <c r="N30" s="152"/>
    </row>
    <row r="31" spans="4:19" x14ac:dyDescent="0.3">
      <c r="D31" s="152"/>
      <c r="E31" s="152"/>
      <c r="F31" s="152"/>
      <c r="G31" s="152"/>
      <c r="H31" s="152"/>
      <c r="I31" s="152"/>
      <c r="J31" s="152"/>
      <c r="K31" s="152"/>
      <c r="L31" s="152"/>
      <c r="M31" s="152"/>
      <c r="N31" s="152"/>
    </row>
    <row r="32" spans="4:19" x14ac:dyDescent="0.3">
      <c r="D32" s="152"/>
      <c r="E32" s="152"/>
      <c r="F32" s="152"/>
      <c r="G32" s="152"/>
      <c r="H32" s="152"/>
      <c r="I32" s="152"/>
      <c r="J32" s="152"/>
      <c r="K32" s="152"/>
      <c r="L32" s="152"/>
      <c r="M32" s="152"/>
      <c r="N32" s="152"/>
    </row>
    <row r="33" spans="4:14" x14ac:dyDescent="0.3">
      <c r="D33" s="152"/>
      <c r="E33" s="152"/>
      <c r="F33" s="152"/>
      <c r="G33" s="152"/>
      <c r="H33" s="152"/>
      <c r="I33" s="152"/>
      <c r="J33" s="152"/>
      <c r="K33" s="152"/>
      <c r="L33" s="152"/>
      <c r="M33" s="152"/>
      <c r="N33" s="152"/>
    </row>
    <row r="34" spans="4:14" x14ac:dyDescent="0.3">
      <c r="D34" s="152"/>
      <c r="E34" s="152"/>
      <c r="F34" s="152"/>
      <c r="G34" s="152"/>
      <c r="H34" s="152"/>
      <c r="I34" s="152"/>
      <c r="J34" s="152"/>
      <c r="K34" s="152"/>
      <c r="L34" s="152"/>
      <c r="M34" s="152"/>
      <c r="N34" s="152"/>
    </row>
    <row r="35" spans="4:14" x14ac:dyDescent="0.3">
      <c r="D35" s="152"/>
      <c r="E35" s="152"/>
      <c r="F35" s="152"/>
      <c r="G35" s="152"/>
      <c r="H35" s="152"/>
      <c r="I35" s="152"/>
      <c r="J35" s="152"/>
      <c r="K35" s="152"/>
      <c r="L35" s="152"/>
      <c r="M35" s="152"/>
      <c r="N35" s="152"/>
    </row>
    <row r="36" spans="4:14" x14ac:dyDescent="0.3">
      <c r="D36" s="152"/>
      <c r="E36" s="152"/>
      <c r="F36" s="152"/>
      <c r="G36" s="152"/>
      <c r="H36" s="152"/>
      <c r="I36" s="152"/>
      <c r="J36" s="152"/>
      <c r="K36" s="152"/>
      <c r="L36" s="152"/>
      <c r="M36" s="152"/>
      <c r="N36" s="152"/>
    </row>
    <row r="37" spans="4:14" x14ac:dyDescent="0.3">
      <c r="D37" s="152"/>
      <c r="E37" s="152"/>
      <c r="F37" s="152"/>
      <c r="G37" s="152"/>
      <c r="H37" s="152"/>
      <c r="I37" s="152"/>
      <c r="J37" s="152"/>
      <c r="K37" s="152"/>
      <c r="L37" s="152"/>
      <c r="M37" s="152"/>
      <c r="N37" s="152"/>
    </row>
    <row r="38" spans="4:14" x14ac:dyDescent="0.3">
      <c r="D38" s="152"/>
      <c r="E38" s="152"/>
      <c r="F38" s="152"/>
      <c r="G38" s="152"/>
      <c r="H38" s="152"/>
      <c r="I38" s="152"/>
      <c r="J38" s="152"/>
      <c r="K38" s="152"/>
      <c r="L38" s="152"/>
      <c r="M38" s="152"/>
      <c r="N38" s="152"/>
    </row>
    <row r="39" spans="4:14" x14ac:dyDescent="0.3">
      <c r="D39" s="152"/>
      <c r="E39" s="152"/>
      <c r="F39" s="152"/>
      <c r="G39" s="152"/>
      <c r="H39" s="152"/>
      <c r="I39" s="152"/>
      <c r="J39" s="152"/>
      <c r="K39" s="152"/>
      <c r="L39" s="152"/>
      <c r="M39" s="152"/>
      <c r="N39" s="152"/>
    </row>
    <row r="40" spans="4:14" x14ac:dyDescent="0.3">
      <c r="D40" s="152"/>
      <c r="E40" s="152"/>
      <c r="F40" s="152"/>
      <c r="G40" s="152"/>
      <c r="H40" s="152"/>
      <c r="I40" s="152"/>
      <c r="J40" s="152"/>
      <c r="K40" s="152"/>
      <c r="L40" s="152"/>
      <c r="M40" s="152"/>
      <c r="N40" s="152"/>
    </row>
    <row r="41" spans="4:14" x14ac:dyDescent="0.3">
      <c r="D41" s="152"/>
      <c r="E41" s="152"/>
      <c r="F41" s="152"/>
      <c r="G41" s="152"/>
      <c r="H41" s="152"/>
      <c r="I41" s="152"/>
      <c r="J41" s="152"/>
      <c r="K41" s="152"/>
      <c r="L41" s="152"/>
      <c r="M41" s="152"/>
      <c r="N41" s="152"/>
    </row>
    <row r="42" spans="4:14" x14ac:dyDescent="0.3">
      <c r="D42" s="152"/>
      <c r="E42" s="152"/>
      <c r="F42" s="152"/>
      <c r="G42" s="152"/>
      <c r="H42" s="152"/>
      <c r="I42" s="152"/>
      <c r="J42" s="152"/>
      <c r="K42" s="152"/>
      <c r="L42" s="152"/>
      <c r="M42" s="152"/>
      <c r="N42" s="152"/>
    </row>
    <row r="43" spans="4:14" x14ac:dyDescent="0.3">
      <c r="D43" s="152"/>
      <c r="E43" s="152"/>
      <c r="F43" s="152"/>
      <c r="G43" s="152"/>
      <c r="H43" s="152"/>
      <c r="I43" s="152"/>
      <c r="J43" s="152"/>
      <c r="K43" s="152"/>
      <c r="L43" s="152"/>
      <c r="M43" s="152"/>
      <c r="N43" s="152"/>
    </row>
    <row r="44" spans="4:14" x14ac:dyDescent="0.3">
      <c r="D44" s="152"/>
      <c r="E44" s="152"/>
      <c r="F44" s="152"/>
      <c r="G44" s="152"/>
      <c r="H44" s="152"/>
      <c r="I44" s="152"/>
      <c r="J44" s="152"/>
      <c r="K44" s="152"/>
      <c r="L44" s="152"/>
      <c r="M44" s="152"/>
      <c r="N44" s="152"/>
    </row>
    <row r="45" spans="4:14" x14ac:dyDescent="0.3">
      <c r="D45" s="152"/>
      <c r="E45" s="152"/>
      <c r="F45" s="152"/>
      <c r="G45" s="152"/>
      <c r="H45" s="152"/>
      <c r="I45" s="152"/>
      <c r="J45" s="152"/>
      <c r="K45" s="152"/>
      <c r="L45" s="152"/>
      <c r="M45" s="152"/>
      <c r="N45" s="152"/>
    </row>
  </sheetData>
  <mergeCells count="1">
    <mergeCell ref="D6: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9EE6-B8E9-4628-ABE0-5B1B79EA793A}">
  <sheetPr>
    <tabColor theme="9" tint="0.59999389629810485"/>
  </sheetPr>
  <dimension ref="A1:V59"/>
  <sheetViews>
    <sheetView zoomScale="115" zoomScaleNormal="115" workbookViewId="0"/>
  </sheetViews>
  <sheetFormatPr defaultRowHeight="14.4" x14ac:dyDescent="0.3"/>
  <cols>
    <col min="1" max="2" width="4" customWidth="1"/>
    <col min="3" max="3" width="32.6640625" customWidth="1"/>
    <col min="4" max="5" width="23.6640625" customWidth="1"/>
    <col min="6" max="7" width="4.21875" customWidth="1"/>
    <col min="8" max="8" width="12.5546875" customWidth="1"/>
    <col min="9" max="9" width="29.5546875" customWidth="1"/>
    <col min="10" max="12" width="15" bestFit="1" customWidth="1"/>
    <col min="13" max="13" width="7.6640625" customWidth="1"/>
    <col min="14" max="14" width="31.44140625" customWidth="1"/>
    <col min="15" max="17" width="15" bestFit="1" customWidth="1"/>
    <col min="18" max="18" width="12.44140625" bestFit="1" customWidth="1"/>
  </cols>
  <sheetData>
    <row r="1" spans="1:22" x14ac:dyDescent="0.3">
      <c r="A1" s="177" t="s">
        <v>209</v>
      </c>
    </row>
    <row r="3" spans="1:22" x14ac:dyDescent="0.3">
      <c r="A3" s="4" t="s">
        <v>1</v>
      </c>
      <c r="B3" s="4"/>
    </row>
    <row r="4" spans="1:22" x14ac:dyDescent="0.3">
      <c r="A4" t="s">
        <v>92</v>
      </c>
    </row>
    <row r="9" spans="1:22" ht="15" thickBot="1" x14ac:dyDescent="0.35">
      <c r="C9" s="7" t="s">
        <v>69</v>
      </c>
      <c r="J9" s="154" t="s">
        <v>70</v>
      </c>
      <c r="K9" s="155"/>
      <c r="L9" s="155"/>
      <c r="O9" s="154" t="s">
        <v>71</v>
      </c>
      <c r="P9" s="155"/>
      <c r="Q9" s="155"/>
    </row>
    <row r="10" spans="1:22" ht="15" thickBot="1" x14ac:dyDescent="0.35">
      <c r="C10" s="55"/>
      <c r="D10" s="88" t="s">
        <v>70</v>
      </c>
      <c r="E10" s="88" t="s">
        <v>71</v>
      </c>
      <c r="J10" s="14" t="s">
        <v>77</v>
      </c>
      <c r="K10" s="14" t="s">
        <v>78</v>
      </c>
      <c r="L10" s="14" t="s">
        <v>79</v>
      </c>
      <c r="O10" s="14" t="s">
        <v>77</v>
      </c>
      <c r="P10" s="14" t="s">
        <v>78</v>
      </c>
      <c r="Q10" s="14" t="s">
        <v>79</v>
      </c>
    </row>
    <row r="11" spans="1:22" ht="15" thickBot="1" x14ac:dyDescent="0.35">
      <c r="C11" s="56" t="s">
        <v>72</v>
      </c>
      <c r="D11" s="89">
        <v>65</v>
      </c>
      <c r="E11" s="89">
        <v>65</v>
      </c>
      <c r="H11" s="7" t="s">
        <v>6</v>
      </c>
      <c r="I11" t="s">
        <v>80</v>
      </c>
      <c r="J11" s="3">
        <f>0.015*D14*D12+0.005*MAX(D14-D15,0)*D12</f>
        <v>39375</v>
      </c>
      <c r="K11" s="3">
        <f>0.015*MIN(D14,D15)*D12+0.005*MAX(D14-D15,0)*D12</f>
        <v>39375</v>
      </c>
      <c r="L11" s="3">
        <f>0.0175*D14*D12-0.005*D16*12*D12</f>
        <v>40372.500000000007</v>
      </c>
      <c r="M11" s="3"/>
      <c r="N11" t="s">
        <v>80</v>
      </c>
      <c r="O11" s="3">
        <f>0.015*E14*E12+0.005*MAX(E14-E15,0)*E12</f>
        <v>86625</v>
      </c>
      <c r="P11" s="3">
        <f>0.015*MIN(E14,E15)*E12+0.005*MAX(E14-E15,0)*E12</f>
        <v>63000</v>
      </c>
      <c r="Q11" s="3">
        <f>0.0175*E14*E12-0.005*E16*12*E12</f>
        <v>85260.000000000015</v>
      </c>
      <c r="V11" s="95"/>
    </row>
    <row r="12" spans="1:22" ht="15" thickBot="1" x14ac:dyDescent="0.35">
      <c r="C12" s="56" t="s">
        <v>2</v>
      </c>
      <c r="D12" s="89">
        <v>35</v>
      </c>
      <c r="E12" s="89">
        <v>35</v>
      </c>
      <c r="V12" s="96"/>
    </row>
    <row r="13" spans="1:22" ht="15" thickBot="1" x14ac:dyDescent="0.35">
      <c r="C13" s="56" t="s">
        <v>73</v>
      </c>
      <c r="D13" s="90">
        <v>80000</v>
      </c>
      <c r="E13" s="90">
        <v>155000</v>
      </c>
      <c r="V13" s="96"/>
    </row>
    <row r="14" spans="1:22" ht="15" thickBot="1" x14ac:dyDescent="0.35">
      <c r="C14" s="56" t="s">
        <v>74</v>
      </c>
      <c r="D14" s="90">
        <v>75000</v>
      </c>
      <c r="E14" s="90">
        <v>150000</v>
      </c>
      <c r="H14" s="7" t="s">
        <v>7</v>
      </c>
      <c r="I14" t="s">
        <v>24</v>
      </c>
      <c r="N14" t="s">
        <v>24</v>
      </c>
      <c r="V14" s="96"/>
    </row>
    <row r="15" spans="1:22" ht="15" thickBot="1" x14ac:dyDescent="0.35">
      <c r="C15" s="56" t="s">
        <v>75</v>
      </c>
      <c r="D15" s="90">
        <v>105000</v>
      </c>
      <c r="E15" s="90">
        <v>105000</v>
      </c>
      <c r="I15" t="s">
        <v>81</v>
      </c>
      <c r="J15" s="31">
        <f>J11/D$13</f>
        <v>0.4921875</v>
      </c>
      <c r="K15" s="31">
        <f>K11/D$13</f>
        <v>0.4921875</v>
      </c>
      <c r="L15" s="31">
        <f>L11/D$13</f>
        <v>0.50465625000000014</v>
      </c>
      <c r="N15" t="s">
        <v>81</v>
      </c>
      <c r="O15" s="31">
        <f>O11/E$13</f>
        <v>0.55887096774193545</v>
      </c>
      <c r="P15" s="31">
        <f>P11/E$13</f>
        <v>0.40645161290322579</v>
      </c>
      <c r="Q15" s="31">
        <f>Q11/E$13</f>
        <v>0.5500645161290324</v>
      </c>
      <c r="V15" s="97"/>
    </row>
    <row r="16" spans="1:22" ht="15" thickBot="1" x14ac:dyDescent="0.35">
      <c r="C16" s="91" t="s">
        <v>76</v>
      </c>
      <c r="D16" s="90">
        <v>2650</v>
      </c>
      <c r="E16" s="90">
        <v>3150</v>
      </c>
      <c r="I16" t="s">
        <v>82</v>
      </c>
      <c r="J16" s="98">
        <f>D16*12/D13</f>
        <v>0.39750000000000002</v>
      </c>
      <c r="K16" s="99">
        <f>J16</f>
        <v>0.39750000000000002</v>
      </c>
      <c r="L16" s="99">
        <f>K16</f>
        <v>0.39750000000000002</v>
      </c>
      <c r="N16" t="s">
        <v>82</v>
      </c>
      <c r="O16" s="98">
        <f>E16*12/E13</f>
        <v>0.24387096774193548</v>
      </c>
      <c r="P16" s="99">
        <f>O16</f>
        <v>0.24387096774193548</v>
      </c>
      <c r="Q16" s="99">
        <f>P16</f>
        <v>0.24387096774193548</v>
      </c>
      <c r="V16" s="100"/>
    </row>
    <row r="17" spans="3:22" ht="15" thickBot="1" x14ac:dyDescent="0.35">
      <c r="C17" s="92"/>
      <c r="D17" s="93"/>
      <c r="E17" s="93"/>
      <c r="I17" t="s">
        <v>83</v>
      </c>
      <c r="J17" s="2">
        <f>J15+J16</f>
        <v>0.88968749999999996</v>
      </c>
      <c r="K17" s="2">
        <f>K15+K16</f>
        <v>0.88968749999999996</v>
      </c>
      <c r="L17" s="2">
        <f>L15+L16</f>
        <v>0.90215625000000021</v>
      </c>
      <c r="N17" t="s">
        <v>83</v>
      </c>
      <c r="O17" s="2">
        <f>O15+O16</f>
        <v>0.80274193548387096</v>
      </c>
      <c r="P17" s="2">
        <f>P15+P16</f>
        <v>0.65032258064516124</v>
      </c>
      <c r="Q17" s="2">
        <f>Q15+Q16</f>
        <v>0.79393548387096791</v>
      </c>
      <c r="V17" s="100"/>
    </row>
    <row r="18" spans="3:22" ht="15" thickBot="1" x14ac:dyDescent="0.35">
      <c r="C18" s="55" t="s">
        <v>72</v>
      </c>
      <c r="D18" s="94">
        <v>64</v>
      </c>
      <c r="E18" s="94">
        <v>64</v>
      </c>
      <c r="J18" s="2"/>
      <c r="K18" s="2"/>
      <c r="L18" s="2"/>
      <c r="O18" s="2"/>
      <c r="P18" s="2"/>
      <c r="Q18" s="2"/>
      <c r="V18" s="100"/>
    </row>
    <row r="19" spans="3:22" ht="15" thickBot="1" x14ac:dyDescent="0.35">
      <c r="C19" s="56" t="s">
        <v>2</v>
      </c>
      <c r="D19" s="89">
        <v>34</v>
      </c>
      <c r="E19" s="89">
        <v>34</v>
      </c>
      <c r="V19" s="100"/>
    </row>
    <row r="20" spans="3:22" ht="15" thickBot="1" x14ac:dyDescent="0.35">
      <c r="C20" s="56" t="s">
        <v>74</v>
      </c>
      <c r="D20" s="90">
        <v>73500</v>
      </c>
      <c r="E20" s="90">
        <v>147000</v>
      </c>
      <c r="H20" s="7" t="s">
        <v>8</v>
      </c>
      <c r="I20" t="s">
        <v>84</v>
      </c>
      <c r="J20" s="3">
        <f>0.015*D20*D19+0.005*MAX(D20-D21,0)*D19</f>
        <v>37485</v>
      </c>
      <c r="K20" s="3">
        <f>0.015*MIN(D20,D21)*D19+0.005*MAX(D20-D21,0)*D19</f>
        <v>37485</v>
      </c>
      <c r="L20" s="3">
        <f>0.0175*D20*D19-0.005*D22*12*D19</f>
        <v>38397.900000000009</v>
      </c>
      <c r="N20" t="s">
        <v>84</v>
      </c>
      <c r="O20" s="3">
        <f>0.015*E20*E19+0.005*MAX(E20-E21,0)*E19</f>
        <v>82195</v>
      </c>
      <c r="P20" s="3">
        <f>0.015*MIN(E20,E21)*E19+0.005*MAX(E20-E21,0)*E19</f>
        <v>60520</v>
      </c>
      <c r="Q20" s="3">
        <f>0.0175*E20*E19-0.005*E22*12*E19</f>
        <v>81090.000000000015</v>
      </c>
    </row>
    <row r="21" spans="3:22" ht="15" thickBot="1" x14ac:dyDescent="0.35">
      <c r="C21" s="56" t="s">
        <v>75</v>
      </c>
      <c r="D21" s="90">
        <v>104500</v>
      </c>
      <c r="E21" s="90">
        <v>104500</v>
      </c>
    </row>
    <row r="22" spans="3:22" ht="15" thickBot="1" x14ac:dyDescent="0.35">
      <c r="C22" s="91" t="s">
        <v>76</v>
      </c>
      <c r="D22" s="90">
        <v>2615</v>
      </c>
      <c r="E22" s="90">
        <v>3125</v>
      </c>
      <c r="I22" t="s">
        <v>85</v>
      </c>
      <c r="J22" s="3">
        <f>J11-J20</f>
        <v>1890</v>
      </c>
      <c r="K22" s="3">
        <f t="shared" ref="K22:L22" si="0">K11-K20</f>
        <v>1890</v>
      </c>
      <c r="L22" s="3">
        <f t="shared" si="0"/>
        <v>1974.5999999999985</v>
      </c>
      <c r="N22" t="s">
        <v>85</v>
      </c>
      <c r="O22" s="3">
        <f>O11-O20</f>
        <v>4430</v>
      </c>
      <c r="P22" s="3">
        <f t="shared" ref="P22:Q22" si="1">P11-P20</f>
        <v>2480</v>
      </c>
      <c r="Q22" s="3">
        <f t="shared" si="1"/>
        <v>4170</v>
      </c>
    </row>
    <row r="23" spans="3:22" x14ac:dyDescent="0.3">
      <c r="G23" s="1"/>
    </row>
    <row r="24" spans="3:22" x14ac:dyDescent="0.3">
      <c r="I24" t="s">
        <v>86</v>
      </c>
      <c r="J24" s="8">
        <f>J22/$D$13</f>
        <v>2.3625E-2</v>
      </c>
      <c r="K24" s="8">
        <f t="shared" ref="K24:L24" si="2">K22/$D$13</f>
        <v>2.3625E-2</v>
      </c>
      <c r="L24" s="8">
        <f t="shared" si="2"/>
        <v>2.4682499999999982E-2</v>
      </c>
      <c r="N24" t="s">
        <v>86</v>
      </c>
      <c r="O24" s="8">
        <f>O22/$E$13</f>
        <v>2.8580645161290323E-2</v>
      </c>
      <c r="P24" s="8">
        <f t="shared" ref="P24:Q24" si="3">P22/$E$13</f>
        <v>1.6E-2</v>
      </c>
      <c r="Q24" s="8">
        <f t="shared" si="3"/>
        <v>2.6903225806451613E-2</v>
      </c>
    </row>
    <row r="27" spans="3:22" ht="28.8" x14ac:dyDescent="0.3">
      <c r="H27" s="7" t="s">
        <v>9</v>
      </c>
      <c r="I27" s="10" t="s">
        <v>87</v>
      </c>
      <c r="J27" s="101">
        <f>0.005*(MAX(D14-D15,0)-MAX(D20-D21,0))/D13</f>
        <v>0</v>
      </c>
      <c r="K27" s="102">
        <f>J27</f>
        <v>0</v>
      </c>
      <c r="L27" s="102">
        <f>0.005*(D16-D22)*12/D13</f>
        <v>2.6250000000000001E-5</v>
      </c>
      <c r="N27" s="10" t="s">
        <v>87</v>
      </c>
      <c r="O27" s="101">
        <f>0.005*(MAX(E14-E15,0)-MAX(E20-E21,0))/E13</f>
        <v>8.0645161290322581E-5</v>
      </c>
      <c r="P27" s="102">
        <f>O27</f>
        <v>8.0645161290322581E-5</v>
      </c>
      <c r="Q27" s="102">
        <f>0.005*(E16-E22)*12/E13</f>
        <v>9.6774193548387104E-6</v>
      </c>
    </row>
    <row r="29" spans="3:22" x14ac:dyDescent="0.3">
      <c r="I29" s="10" t="s">
        <v>88</v>
      </c>
      <c r="J29" s="1">
        <f>J27*D13</f>
        <v>0</v>
      </c>
      <c r="K29" s="1">
        <f>J29</f>
        <v>0</v>
      </c>
      <c r="L29" s="1">
        <f>L27*D13</f>
        <v>2.1</v>
      </c>
      <c r="N29" s="10" t="s">
        <v>88</v>
      </c>
      <c r="O29" s="1">
        <f>O27*E13</f>
        <v>12.5</v>
      </c>
      <c r="P29" s="1">
        <f>O29</f>
        <v>12.5</v>
      </c>
      <c r="Q29" s="1">
        <f>Q27*E13</f>
        <v>1.5000000000000002</v>
      </c>
    </row>
    <row r="31" spans="3:22" ht="43.2" x14ac:dyDescent="0.3">
      <c r="I31" s="10" t="s">
        <v>89</v>
      </c>
      <c r="J31" s="1">
        <f>0.005*MAX(D14-D15,0)*D12</f>
        <v>0</v>
      </c>
      <c r="K31" s="1">
        <f>J31</f>
        <v>0</v>
      </c>
      <c r="L31" s="1">
        <f>0.005*D16*12*D12</f>
        <v>5565</v>
      </c>
      <c r="N31" s="10" t="s">
        <v>89</v>
      </c>
      <c r="O31" s="1">
        <f>0.005*MAX(E14-E15,0)*E12</f>
        <v>7875</v>
      </c>
      <c r="P31" s="1">
        <f>O31</f>
        <v>7875</v>
      </c>
      <c r="Q31" s="1">
        <f>0.005*E16*12*E12</f>
        <v>6615</v>
      </c>
    </row>
    <row r="33" spans="8:18" x14ac:dyDescent="0.3">
      <c r="J33" s="103"/>
      <c r="K33" s="103"/>
      <c r="L33" s="103"/>
      <c r="O33" s="103"/>
      <c r="P33" s="103"/>
      <c r="Q33" s="104"/>
      <c r="R33" s="104"/>
    </row>
    <row r="34" spans="8:18" x14ac:dyDescent="0.3">
      <c r="H34" s="7" t="s">
        <v>90</v>
      </c>
      <c r="I34" s="152" t="s">
        <v>91</v>
      </c>
      <c r="J34" s="152"/>
      <c r="K34" s="152"/>
      <c r="L34" s="152"/>
      <c r="M34" s="152"/>
      <c r="N34" s="152"/>
      <c r="O34" s="152"/>
      <c r="P34" s="152"/>
      <c r="Q34" s="152"/>
    </row>
    <row r="35" spans="8:18" x14ac:dyDescent="0.3">
      <c r="I35" s="152"/>
      <c r="J35" s="152"/>
      <c r="K35" s="152"/>
      <c r="L35" s="152"/>
      <c r="M35" s="152"/>
      <c r="N35" s="152"/>
      <c r="O35" s="152"/>
      <c r="P35" s="152"/>
      <c r="Q35" s="152"/>
    </row>
    <row r="36" spans="8:18" x14ac:dyDescent="0.3">
      <c r="I36" s="152"/>
      <c r="J36" s="152"/>
      <c r="K36" s="152"/>
      <c r="L36" s="152"/>
      <c r="M36" s="152"/>
      <c r="N36" s="152"/>
      <c r="O36" s="152"/>
      <c r="P36" s="152"/>
      <c r="Q36" s="152"/>
    </row>
    <row r="37" spans="8:18" x14ac:dyDescent="0.3">
      <c r="I37" s="152"/>
      <c r="J37" s="152"/>
      <c r="K37" s="152"/>
      <c r="L37" s="152"/>
      <c r="M37" s="152"/>
      <c r="N37" s="152"/>
      <c r="O37" s="152"/>
      <c r="P37" s="152"/>
      <c r="Q37" s="152"/>
    </row>
    <row r="38" spans="8:18" x14ac:dyDescent="0.3">
      <c r="I38" s="152"/>
      <c r="J38" s="152"/>
      <c r="K38" s="152"/>
      <c r="L38" s="152"/>
      <c r="M38" s="152"/>
      <c r="N38" s="152"/>
      <c r="O38" s="152"/>
      <c r="P38" s="152"/>
      <c r="Q38" s="152"/>
    </row>
    <row r="39" spans="8:18" x14ac:dyDescent="0.3">
      <c r="I39" s="152"/>
      <c r="J39" s="152"/>
      <c r="K39" s="152"/>
      <c r="L39" s="152"/>
      <c r="M39" s="152"/>
      <c r="N39" s="152"/>
      <c r="O39" s="152"/>
      <c r="P39" s="152"/>
      <c r="Q39" s="152"/>
    </row>
    <row r="40" spans="8:18" x14ac:dyDescent="0.3">
      <c r="I40" s="152"/>
      <c r="J40" s="152"/>
      <c r="K40" s="152"/>
      <c r="L40" s="152"/>
      <c r="M40" s="152"/>
      <c r="N40" s="152"/>
      <c r="O40" s="152"/>
      <c r="P40" s="152"/>
      <c r="Q40" s="152"/>
    </row>
    <row r="41" spans="8:18" x14ac:dyDescent="0.3">
      <c r="I41" s="152"/>
      <c r="J41" s="152"/>
      <c r="K41" s="152"/>
      <c r="L41" s="152"/>
      <c r="M41" s="152"/>
      <c r="N41" s="152"/>
      <c r="O41" s="152"/>
      <c r="P41" s="152"/>
      <c r="Q41" s="152"/>
    </row>
    <row r="42" spans="8:18" x14ac:dyDescent="0.3">
      <c r="I42" s="152"/>
      <c r="J42" s="152"/>
      <c r="K42" s="152"/>
      <c r="L42" s="152"/>
      <c r="M42" s="152"/>
      <c r="N42" s="152"/>
      <c r="O42" s="152"/>
      <c r="P42" s="152"/>
      <c r="Q42" s="152"/>
    </row>
    <row r="43" spans="8:18" x14ac:dyDescent="0.3">
      <c r="I43" s="152"/>
      <c r="J43" s="152"/>
      <c r="K43" s="152"/>
      <c r="L43" s="152"/>
      <c r="M43" s="152"/>
      <c r="N43" s="152"/>
      <c r="O43" s="152"/>
      <c r="P43" s="152"/>
      <c r="Q43" s="152"/>
    </row>
    <row r="44" spans="8:18" x14ac:dyDescent="0.3">
      <c r="I44" s="152"/>
      <c r="J44" s="152"/>
      <c r="K44" s="152"/>
      <c r="L44" s="152"/>
      <c r="M44" s="152"/>
      <c r="N44" s="152"/>
      <c r="O44" s="152"/>
      <c r="P44" s="152"/>
      <c r="Q44" s="152"/>
    </row>
    <row r="45" spans="8:18" x14ac:dyDescent="0.3">
      <c r="I45" s="152"/>
      <c r="J45" s="152"/>
      <c r="K45" s="152"/>
      <c r="L45" s="152"/>
      <c r="M45" s="152"/>
      <c r="N45" s="152"/>
      <c r="O45" s="152"/>
      <c r="P45" s="152"/>
      <c r="Q45" s="152"/>
    </row>
    <row r="46" spans="8:18" x14ac:dyDescent="0.3">
      <c r="I46" s="152"/>
      <c r="J46" s="152"/>
      <c r="K46" s="152"/>
      <c r="L46" s="152"/>
      <c r="M46" s="152"/>
      <c r="N46" s="152"/>
      <c r="O46" s="152"/>
      <c r="P46" s="152"/>
      <c r="Q46" s="152"/>
    </row>
    <row r="47" spans="8:18" x14ac:dyDescent="0.3">
      <c r="I47" s="152"/>
      <c r="J47" s="152"/>
      <c r="K47" s="152"/>
      <c r="L47" s="152"/>
      <c r="M47" s="152"/>
      <c r="N47" s="152"/>
      <c r="O47" s="152"/>
      <c r="P47" s="152"/>
      <c r="Q47" s="152"/>
    </row>
    <row r="48" spans="8:18" x14ac:dyDescent="0.3">
      <c r="I48" s="152"/>
      <c r="J48" s="152"/>
      <c r="K48" s="152"/>
      <c r="L48" s="152"/>
      <c r="M48" s="152"/>
      <c r="N48" s="152"/>
      <c r="O48" s="152"/>
      <c r="P48" s="152"/>
      <c r="Q48" s="152"/>
    </row>
    <row r="49" spans="9:17" x14ac:dyDescent="0.3">
      <c r="I49" s="152"/>
      <c r="J49" s="152"/>
      <c r="K49" s="152"/>
      <c r="L49" s="152"/>
      <c r="M49" s="152"/>
      <c r="N49" s="152"/>
      <c r="O49" s="152"/>
      <c r="P49" s="152"/>
      <c r="Q49" s="152"/>
    </row>
    <row r="50" spans="9:17" x14ac:dyDescent="0.3">
      <c r="I50" s="152"/>
      <c r="J50" s="152"/>
      <c r="K50" s="152"/>
      <c r="L50" s="152"/>
      <c r="M50" s="152"/>
      <c r="N50" s="152"/>
      <c r="O50" s="152"/>
      <c r="P50" s="152"/>
      <c r="Q50" s="152"/>
    </row>
    <row r="51" spans="9:17" x14ac:dyDescent="0.3">
      <c r="I51" s="152"/>
      <c r="J51" s="152"/>
      <c r="K51" s="152"/>
      <c r="L51" s="152"/>
      <c r="M51" s="152"/>
      <c r="N51" s="152"/>
      <c r="O51" s="152"/>
      <c r="P51" s="152"/>
      <c r="Q51" s="152"/>
    </row>
    <row r="52" spans="9:17" x14ac:dyDescent="0.3">
      <c r="I52" s="152"/>
      <c r="J52" s="152"/>
      <c r="K52" s="152"/>
      <c r="L52" s="152"/>
      <c r="M52" s="152"/>
      <c r="N52" s="152"/>
      <c r="O52" s="152"/>
      <c r="P52" s="152"/>
      <c r="Q52" s="152"/>
    </row>
    <row r="53" spans="9:17" x14ac:dyDescent="0.3">
      <c r="I53" s="152"/>
      <c r="J53" s="152"/>
      <c r="K53" s="152"/>
      <c r="L53" s="152"/>
      <c r="M53" s="152"/>
      <c r="N53" s="152"/>
      <c r="O53" s="152"/>
      <c r="P53" s="152"/>
      <c r="Q53" s="152"/>
    </row>
    <row r="54" spans="9:17" x14ac:dyDescent="0.3">
      <c r="I54" s="152"/>
      <c r="J54" s="152"/>
      <c r="K54" s="152"/>
      <c r="L54" s="152"/>
      <c r="M54" s="152"/>
      <c r="N54" s="152"/>
      <c r="O54" s="152"/>
      <c r="P54" s="152"/>
      <c r="Q54" s="152"/>
    </row>
    <row r="55" spans="9:17" x14ac:dyDescent="0.3">
      <c r="I55" s="153"/>
      <c r="J55" s="153"/>
      <c r="K55" s="153"/>
      <c r="L55" s="153"/>
      <c r="M55" s="153"/>
      <c r="N55" s="153"/>
      <c r="O55" s="153"/>
      <c r="P55" s="153"/>
      <c r="Q55" s="153"/>
    </row>
    <row r="56" spans="9:17" x14ac:dyDescent="0.3">
      <c r="I56" s="153"/>
      <c r="J56" s="153"/>
      <c r="K56" s="153"/>
      <c r="L56" s="153"/>
      <c r="M56" s="153"/>
      <c r="N56" s="153"/>
      <c r="O56" s="153"/>
      <c r="P56" s="153"/>
      <c r="Q56" s="153"/>
    </row>
    <row r="57" spans="9:17" x14ac:dyDescent="0.3">
      <c r="I57" s="153"/>
      <c r="J57" s="153"/>
      <c r="K57" s="153"/>
      <c r="L57" s="153"/>
      <c r="M57" s="153"/>
      <c r="N57" s="153"/>
      <c r="O57" s="153"/>
      <c r="P57" s="153"/>
      <c r="Q57" s="153"/>
    </row>
    <row r="58" spans="9:17" x14ac:dyDescent="0.3">
      <c r="I58" s="153"/>
      <c r="J58" s="153"/>
      <c r="K58" s="153"/>
      <c r="L58" s="153"/>
      <c r="M58" s="153"/>
      <c r="N58" s="153"/>
      <c r="O58" s="153"/>
      <c r="P58" s="153"/>
      <c r="Q58" s="153"/>
    </row>
    <row r="59" spans="9:17" x14ac:dyDescent="0.3">
      <c r="I59" s="153"/>
      <c r="J59" s="153"/>
      <c r="K59" s="153"/>
      <c r="L59" s="153"/>
      <c r="M59" s="153"/>
      <c r="N59" s="153"/>
      <c r="O59" s="153"/>
      <c r="P59" s="153"/>
      <c r="Q59" s="153"/>
    </row>
  </sheetData>
  <mergeCells count="3">
    <mergeCell ref="J9:L9"/>
    <mergeCell ref="O9:Q9"/>
    <mergeCell ref="I34:Q5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6C52-49EF-47CA-AE68-A6BB2F09C8AC}">
  <sheetPr>
    <tabColor theme="5" tint="0.39997558519241921"/>
  </sheetPr>
  <dimension ref="A1:L44"/>
  <sheetViews>
    <sheetView zoomScale="115" zoomScaleNormal="115" workbookViewId="0"/>
  </sheetViews>
  <sheetFormatPr defaultRowHeight="14.4" x14ac:dyDescent="0.3"/>
  <sheetData>
    <row r="1" spans="1:12" x14ac:dyDescent="0.3">
      <c r="A1" s="177" t="s">
        <v>209</v>
      </c>
    </row>
    <row r="3" spans="1:12" x14ac:dyDescent="0.3">
      <c r="A3" s="4" t="s">
        <v>1</v>
      </c>
    </row>
    <row r="4" spans="1:12" x14ac:dyDescent="0.3">
      <c r="A4" t="s">
        <v>96</v>
      </c>
    </row>
    <row r="7" spans="1:12" x14ac:dyDescent="0.3">
      <c r="A7" s="152" t="s">
        <v>94</v>
      </c>
      <c r="B7" s="152"/>
      <c r="C7" s="152"/>
      <c r="D7" s="152"/>
      <c r="E7" s="152"/>
      <c r="F7" s="152"/>
      <c r="G7" s="152"/>
      <c r="H7" s="152"/>
      <c r="I7" s="152"/>
      <c r="J7" s="152"/>
      <c r="K7" s="153"/>
      <c r="L7" s="153"/>
    </row>
    <row r="8" spans="1:12" x14ac:dyDescent="0.3">
      <c r="A8" s="152"/>
      <c r="B8" s="152"/>
      <c r="C8" s="152"/>
      <c r="D8" s="152"/>
      <c r="E8" s="152"/>
      <c r="F8" s="152"/>
      <c r="G8" s="152"/>
      <c r="H8" s="152"/>
      <c r="I8" s="152"/>
      <c r="J8" s="152"/>
      <c r="K8" s="153"/>
      <c r="L8" s="153"/>
    </row>
    <row r="9" spans="1:12" x14ac:dyDescent="0.3">
      <c r="A9" s="152"/>
      <c r="B9" s="152"/>
      <c r="C9" s="152"/>
      <c r="D9" s="152"/>
      <c r="E9" s="152"/>
      <c r="F9" s="152"/>
      <c r="G9" s="152"/>
      <c r="H9" s="152"/>
      <c r="I9" s="152"/>
      <c r="J9" s="152"/>
      <c r="K9" s="153"/>
      <c r="L9" s="153"/>
    </row>
    <row r="10" spans="1:12" x14ac:dyDescent="0.3">
      <c r="A10" s="152"/>
      <c r="B10" s="152"/>
      <c r="C10" s="152"/>
      <c r="D10" s="152"/>
      <c r="E10" s="152"/>
      <c r="F10" s="152"/>
      <c r="G10" s="152"/>
      <c r="H10" s="152"/>
      <c r="I10" s="152"/>
      <c r="J10" s="152"/>
      <c r="K10" s="153"/>
      <c r="L10" s="153"/>
    </row>
    <row r="11" spans="1:12" x14ac:dyDescent="0.3">
      <c r="A11" s="152"/>
      <c r="B11" s="152"/>
      <c r="C11" s="152"/>
      <c r="D11" s="152"/>
      <c r="E11" s="152"/>
      <c r="F11" s="152"/>
      <c r="G11" s="152"/>
      <c r="H11" s="152"/>
      <c r="I11" s="152"/>
      <c r="J11" s="152"/>
      <c r="K11" s="153"/>
      <c r="L11" s="153"/>
    </row>
    <row r="12" spans="1:12" x14ac:dyDescent="0.3">
      <c r="A12" s="152"/>
      <c r="B12" s="152"/>
      <c r="C12" s="152"/>
      <c r="D12" s="152"/>
      <c r="E12" s="152"/>
      <c r="F12" s="152"/>
      <c r="G12" s="152"/>
      <c r="H12" s="152"/>
      <c r="I12" s="152"/>
      <c r="J12" s="152"/>
      <c r="K12" s="153"/>
      <c r="L12" s="153"/>
    </row>
    <row r="13" spans="1:12" x14ac:dyDescent="0.3">
      <c r="A13" s="152"/>
      <c r="B13" s="152"/>
      <c r="C13" s="152"/>
      <c r="D13" s="152"/>
      <c r="E13" s="152"/>
      <c r="F13" s="152"/>
      <c r="G13" s="152"/>
      <c r="H13" s="152"/>
      <c r="I13" s="152"/>
      <c r="J13" s="152"/>
      <c r="K13" s="153"/>
      <c r="L13" s="153"/>
    </row>
    <row r="14" spans="1:12" x14ac:dyDescent="0.3">
      <c r="A14" s="152"/>
      <c r="B14" s="152"/>
      <c r="C14" s="152"/>
      <c r="D14" s="152"/>
      <c r="E14" s="152"/>
      <c r="F14" s="152"/>
      <c r="G14" s="152"/>
      <c r="H14" s="152"/>
      <c r="I14" s="152"/>
      <c r="J14" s="152"/>
      <c r="K14" s="153"/>
      <c r="L14" s="153"/>
    </row>
    <row r="15" spans="1:12" x14ac:dyDescent="0.3">
      <c r="A15" s="152"/>
      <c r="B15" s="152"/>
      <c r="C15" s="152"/>
      <c r="D15" s="152"/>
      <c r="E15" s="152"/>
      <c r="F15" s="152"/>
      <c r="G15" s="152"/>
      <c r="H15" s="152"/>
      <c r="I15" s="152"/>
      <c r="J15" s="152"/>
      <c r="K15" s="153"/>
      <c r="L15" s="153"/>
    </row>
    <row r="16" spans="1:12" x14ac:dyDescent="0.3">
      <c r="A16" s="152"/>
      <c r="B16" s="152"/>
      <c r="C16" s="152"/>
      <c r="D16" s="152"/>
      <c r="E16" s="152"/>
      <c r="F16" s="152"/>
      <c r="G16" s="152"/>
      <c r="H16" s="152"/>
      <c r="I16" s="152"/>
      <c r="J16" s="152"/>
      <c r="K16" s="153"/>
      <c r="L16" s="153"/>
    </row>
    <row r="17" spans="1:12" x14ac:dyDescent="0.3">
      <c r="A17" s="152"/>
      <c r="B17" s="152"/>
      <c r="C17" s="152"/>
      <c r="D17" s="152"/>
      <c r="E17" s="152"/>
      <c r="F17" s="152"/>
      <c r="G17" s="152"/>
      <c r="H17" s="152"/>
      <c r="I17" s="152"/>
      <c r="J17" s="152"/>
      <c r="K17" s="153"/>
      <c r="L17" s="153"/>
    </row>
    <row r="18" spans="1:12" x14ac:dyDescent="0.3">
      <c r="A18" s="152"/>
      <c r="B18" s="152"/>
      <c r="C18" s="152"/>
      <c r="D18" s="152"/>
      <c r="E18" s="152"/>
      <c r="F18" s="152"/>
      <c r="G18" s="152"/>
      <c r="H18" s="152"/>
      <c r="I18" s="152"/>
      <c r="J18" s="152"/>
      <c r="K18" s="153"/>
      <c r="L18" s="153"/>
    </row>
    <row r="19" spans="1:12" x14ac:dyDescent="0.3">
      <c r="A19" s="152"/>
      <c r="B19" s="152"/>
      <c r="C19" s="152"/>
      <c r="D19" s="152"/>
      <c r="E19" s="152"/>
      <c r="F19" s="152"/>
      <c r="G19" s="152"/>
      <c r="H19" s="152"/>
      <c r="I19" s="152"/>
      <c r="J19" s="152"/>
      <c r="K19" s="153"/>
      <c r="L19" s="153"/>
    </row>
    <row r="20" spans="1:12" x14ac:dyDescent="0.3">
      <c r="A20" s="152"/>
      <c r="B20" s="152"/>
      <c r="C20" s="152"/>
      <c r="D20" s="152"/>
      <c r="E20" s="152"/>
      <c r="F20" s="152"/>
      <c r="G20" s="152"/>
      <c r="H20" s="152"/>
      <c r="I20" s="152"/>
      <c r="J20" s="152"/>
      <c r="K20" s="153"/>
      <c r="L20" s="153"/>
    </row>
    <row r="21" spans="1:12" x14ac:dyDescent="0.3">
      <c r="A21" s="152"/>
      <c r="B21" s="152"/>
      <c r="C21" s="152"/>
      <c r="D21" s="152"/>
      <c r="E21" s="152"/>
      <c r="F21" s="152"/>
      <c r="G21" s="152"/>
      <c r="H21" s="152"/>
      <c r="I21" s="152"/>
      <c r="J21" s="152"/>
      <c r="K21" s="153"/>
      <c r="L21" s="153"/>
    </row>
    <row r="22" spans="1:12" x14ac:dyDescent="0.3">
      <c r="A22" s="152"/>
      <c r="B22" s="152"/>
      <c r="C22" s="152"/>
      <c r="D22" s="152"/>
      <c r="E22" s="152"/>
      <c r="F22" s="152"/>
      <c r="G22" s="152"/>
      <c r="H22" s="152"/>
      <c r="I22" s="152"/>
      <c r="J22" s="152"/>
      <c r="K22" s="153"/>
      <c r="L22" s="153"/>
    </row>
    <row r="23" spans="1:12" x14ac:dyDescent="0.3">
      <c r="A23" s="152"/>
      <c r="B23" s="152"/>
      <c r="C23" s="152"/>
      <c r="D23" s="152"/>
      <c r="E23" s="152"/>
      <c r="F23" s="152"/>
      <c r="G23" s="152"/>
      <c r="H23" s="152"/>
      <c r="I23" s="152"/>
      <c r="J23" s="152"/>
      <c r="K23" s="153"/>
      <c r="L23" s="153"/>
    </row>
    <row r="24" spans="1:12" x14ac:dyDescent="0.3">
      <c r="A24" s="152"/>
      <c r="B24" s="152"/>
      <c r="C24" s="152"/>
      <c r="D24" s="152"/>
      <c r="E24" s="152"/>
      <c r="F24" s="152"/>
      <c r="G24" s="152"/>
      <c r="H24" s="152"/>
      <c r="I24" s="152"/>
      <c r="J24" s="152"/>
      <c r="K24" s="153"/>
      <c r="L24" s="153"/>
    </row>
    <row r="25" spans="1:12" x14ac:dyDescent="0.3">
      <c r="A25" s="152"/>
      <c r="B25" s="152"/>
      <c r="C25" s="152"/>
      <c r="D25" s="152"/>
      <c r="E25" s="152"/>
      <c r="F25" s="152"/>
      <c r="G25" s="152"/>
      <c r="H25" s="152"/>
      <c r="I25" s="152"/>
      <c r="J25" s="152"/>
      <c r="K25" s="153"/>
      <c r="L25" s="153"/>
    </row>
    <row r="26" spans="1:12" x14ac:dyDescent="0.3">
      <c r="A26" s="152"/>
      <c r="B26" s="152"/>
      <c r="C26" s="152"/>
      <c r="D26" s="152"/>
      <c r="E26" s="152"/>
      <c r="F26" s="152"/>
      <c r="G26" s="152"/>
      <c r="H26" s="152"/>
      <c r="I26" s="152"/>
      <c r="J26" s="152"/>
      <c r="K26" s="153"/>
      <c r="L26" s="153"/>
    </row>
    <row r="27" spans="1:12" x14ac:dyDescent="0.3">
      <c r="A27" s="152"/>
      <c r="B27" s="152"/>
      <c r="C27" s="152"/>
      <c r="D27" s="152"/>
      <c r="E27" s="152"/>
      <c r="F27" s="152"/>
      <c r="G27" s="152"/>
      <c r="H27" s="152"/>
      <c r="I27" s="152"/>
      <c r="J27" s="152"/>
      <c r="K27" s="153"/>
      <c r="L27" s="153"/>
    </row>
    <row r="28" spans="1:12" x14ac:dyDescent="0.3">
      <c r="A28" s="152"/>
      <c r="B28" s="152"/>
      <c r="C28" s="152"/>
      <c r="D28" s="152"/>
      <c r="E28" s="152"/>
      <c r="F28" s="152"/>
      <c r="G28" s="152"/>
      <c r="H28" s="152"/>
      <c r="I28" s="152"/>
      <c r="J28" s="152"/>
      <c r="K28" s="153"/>
      <c r="L28" s="153"/>
    </row>
    <row r="29" spans="1:12" x14ac:dyDescent="0.3">
      <c r="A29" s="152"/>
      <c r="B29" s="152"/>
      <c r="C29" s="152"/>
      <c r="D29" s="152"/>
      <c r="E29" s="152"/>
      <c r="F29" s="152"/>
      <c r="G29" s="152"/>
      <c r="H29" s="152"/>
      <c r="I29" s="152"/>
      <c r="J29" s="152"/>
      <c r="K29" s="153"/>
      <c r="L29" s="153"/>
    </row>
    <row r="30" spans="1:12" x14ac:dyDescent="0.3">
      <c r="A30" s="152"/>
      <c r="B30" s="152"/>
      <c r="C30" s="152"/>
      <c r="D30" s="152"/>
      <c r="E30" s="152"/>
      <c r="F30" s="152"/>
      <c r="G30" s="152"/>
      <c r="H30" s="152"/>
      <c r="I30" s="152"/>
      <c r="J30" s="152"/>
      <c r="K30" s="153"/>
      <c r="L30" s="153"/>
    </row>
    <row r="31" spans="1:12" x14ac:dyDescent="0.3">
      <c r="A31" s="152"/>
      <c r="B31" s="152"/>
      <c r="C31" s="152"/>
      <c r="D31" s="152"/>
      <c r="E31" s="152"/>
      <c r="F31" s="152"/>
      <c r="G31" s="152"/>
      <c r="H31" s="152"/>
      <c r="I31" s="152"/>
      <c r="J31" s="152"/>
      <c r="K31" s="153"/>
      <c r="L31" s="153"/>
    </row>
    <row r="32" spans="1:12" x14ac:dyDescent="0.3">
      <c r="A32" s="152"/>
      <c r="B32" s="152"/>
      <c r="C32" s="152"/>
      <c r="D32" s="152"/>
      <c r="E32" s="152"/>
      <c r="F32" s="152"/>
      <c r="G32" s="152"/>
      <c r="H32" s="152"/>
      <c r="I32" s="152"/>
      <c r="J32" s="152"/>
      <c r="K32" s="153"/>
      <c r="L32" s="153"/>
    </row>
    <row r="33" spans="1:12" x14ac:dyDescent="0.3">
      <c r="A33" s="152"/>
      <c r="B33" s="152"/>
      <c r="C33" s="152"/>
      <c r="D33" s="152"/>
      <c r="E33" s="152"/>
      <c r="F33" s="152"/>
      <c r="G33" s="152"/>
      <c r="H33" s="152"/>
      <c r="I33" s="152"/>
      <c r="J33" s="152"/>
      <c r="K33" s="153"/>
      <c r="L33" s="153"/>
    </row>
    <row r="34" spans="1:12" x14ac:dyDescent="0.3">
      <c r="A34" s="152"/>
      <c r="B34" s="152"/>
      <c r="C34" s="152"/>
      <c r="D34" s="152"/>
      <c r="E34" s="152"/>
      <c r="F34" s="152"/>
      <c r="G34" s="152"/>
      <c r="H34" s="152"/>
      <c r="I34" s="152"/>
      <c r="J34" s="152"/>
      <c r="K34" s="153"/>
      <c r="L34" s="153"/>
    </row>
    <row r="35" spans="1:12" x14ac:dyDescent="0.3">
      <c r="A35" s="152"/>
      <c r="B35" s="152"/>
      <c r="C35" s="152"/>
      <c r="D35" s="152"/>
      <c r="E35" s="152"/>
      <c r="F35" s="152"/>
      <c r="G35" s="152"/>
      <c r="H35" s="152"/>
      <c r="I35" s="152"/>
      <c r="J35" s="152"/>
      <c r="K35" s="153"/>
      <c r="L35" s="153"/>
    </row>
    <row r="36" spans="1:12" x14ac:dyDescent="0.3">
      <c r="A36" s="152"/>
      <c r="B36" s="152"/>
      <c r="C36" s="152"/>
      <c r="D36" s="152"/>
      <c r="E36" s="152"/>
      <c r="F36" s="152"/>
      <c r="G36" s="152"/>
      <c r="H36" s="152"/>
      <c r="I36" s="152"/>
      <c r="J36" s="152"/>
      <c r="K36" s="153"/>
      <c r="L36" s="153"/>
    </row>
    <row r="37" spans="1:12" x14ac:dyDescent="0.3">
      <c r="A37" s="152"/>
      <c r="B37" s="152"/>
      <c r="C37" s="152"/>
      <c r="D37" s="152"/>
      <c r="E37" s="152"/>
      <c r="F37" s="152"/>
      <c r="G37" s="152"/>
      <c r="H37" s="152"/>
      <c r="I37" s="152"/>
      <c r="J37" s="152"/>
      <c r="K37" s="153"/>
      <c r="L37" s="153"/>
    </row>
    <row r="38" spans="1:12" x14ac:dyDescent="0.3">
      <c r="A38" s="152"/>
      <c r="B38" s="152"/>
      <c r="C38" s="152"/>
      <c r="D38" s="152"/>
      <c r="E38" s="152"/>
      <c r="F38" s="152"/>
      <c r="G38" s="152"/>
      <c r="H38" s="152"/>
      <c r="I38" s="152"/>
      <c r="J38" s="152"/>
      <c r="K38" s="153"/>
      <c r="L38" s="153"/>
    </row>
    <row r="39" spans="1:12" x14ac:dyDescent="0.3">
      <c r="A39" s="152"/>
      <c r="B39" s="152"/>
      <c r="C39" s="152"/>
      <c r="D39" s="152"/>
      <c r="E39" s="152"/>
      <c r="F39" s="152"/>
      <c r="G39" s="152"/>
      <c r="H39" s="152"/>
      <c r="I39" s="152"/>
      <c r="J39" s="152"/>
      <c r="K39" s="153"/>
      <c r="L39" s="153"/>
    </row>
    <row r="40" spans="1:12" x14ac:dyDescent="0.3">
      <c r="A40" s="152"/>
      <c r="B40" s="152"/>
      <c r="C40" s="152"/>
      <c r="D40" s="152"/>
      <c r="E40" s="152"/>
      <c r="F40" s="152"/>
      <c r="G40" s="152"/>
      <c r="H40" s="152"/>
      <c r="I40" s="152"/>
      <c r="J40" s="152"/>
      <c r="K40" s="153"/>
      <c r="L40" s="153"/>
    </row>
    <row r="41" spans="1:12" x14ac:dyDescent="0.3">
      <c r="A41" s="152"/>
      <c r="B41" s="152"/>
      <c r="C41" s="152"/>
      <c r="D41" s="152"/>
      <c r="E41" s="152"/>
      <c r="F41" s="152"/>
      <c r="G41" s="152"/>
      <c r="H41" s="152"/>
      <c r="I41" s="152"/>
      <c r="J41" s="152"/>
      <c r="K41" s="153"/>
      <c r="L41" s="153"/>
    </row>
    <row r="42" spans="1:12" x14ac:dyDescent="0.3">
      <c r="A42" s="152"/>
      <c r="B42" s="152"/>
      <c r="C42" s="152"/>
      <c r="D42" s="152"/>
      <c r="E42" s="152"/>
      <c r="F42" s="152"/>
      <c r="G42" s="152"/>
      <c r="H42" s="152"/>
      <c r="I42" s="152"/>
      <c r="J42" s="152"/>
      <c r="K42" s="153"/>
      <c r="L42" s="153"/>
    </row>
    <row r="43" spans="1:12" x14ac:dyDescent="0.3">
      <c r="A43" s="152"/>
      <c r="B43" s="152"/>
      <c r="C43" s="152"/>
      <c r="D43" s="152"/>
      <c r="E43" s="152"/>
      <c r="F43" s="152"/>
      <c r="G43" s="152"/>
      <c r="H43" s="152"/>
      <c r="I43" s="152"/>
      <c r="J43" s="152"/>
      <c r="K43" s="153"/>
      <c r="L43" s="153"/>
    </row>
    <row r="44" spans="1:12" x14ac:dyDescent="0.3">
      <c r="A44" s="152"/>
      <c r="B44" s="152"/>
      <c r="C44" s="152"/>
      <c r="D44" s="152"/>
      <c r="E44" s="152"/>
      <c r="F44" s="152"/>
      <c r="G44" s="152"/>
      <c r="H44" s="152"/>
      <c r="I44" s="152"/>
      <c r="J44" s="152"/>
      <c r="K44" s="153"/>
      <c r="L44" s="153"/>
    </row>
  </sheetData>
  <mergeCells count="1">
    <mergeCell ref="A7:L4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D963-63BF-4843-84CB-154B20FA7806}">
  <sheetPr>
    <tabColor theme="9" tint="0.59999389629810485"/>
  </sheetPr>
  <dimension ref="A1:V92"/>
  <sheetViews>
    <sheetView zoomScale="115" zoomScaleNormal="115" workbookViewId="0"/>
  </sheetViews>
  <sheetFormatPr defaultRowHeight="14.4" x14ac:dyDescent="0.3"/>
  <cols>
    <col min="1" max="3" width="4.6640625" customWidth="1"/>
  </cols>
  <sheetData>
    <row r="1" spans="1:22" x14ac:dyDescent="0.3">
      <c r="A1" s="177" t="s">
        <v>209</v>
      </c>
    </row>
    <row r="3" spans="1:22" x14ac:dyDescent="0.3">
      <c r="A3" s="4" t="s">
        <v>1</v>
      </c>
    </row>
    <row r="4" spans="1:22" x14ac:dyDescent="0.3">
      <c r="A4" t="s">
        <v>96</v>
      </c>
    </row>
    <row r="7" spans="1:22" x14ac:dyDescent="0.3">
      <c r="D7" s="152" t="s">
        <v>95</v>
      </c>
      <c r="E7" s="152"/>
      <c r="F7" s="152"/>
      <c r="G7" s="152"/>
      <c r="H7" s="152"/>
      <c r="I7" s="152"/>
      <c r="J7" s="152"/>
      <c r="K7" s="152"/>
      <c r="L7" s="152"/>
      <c r="M7" s="152"/>
      <c r="N7" s="152"/>
      <c r="O7" s="152"/>
      <c r="P7" s="152"/>
      <c r="Q7" s="153"/>
      <c r="R7" s="153"/>
      <c r="S7" s="153"/>
      <c r="T7" s="153"/>
      <c r="U7" s="153"/>
      <c r="V7" s="153"/>
    </row>
    <row r="8" spans="1:22" x14ac:dyDescent="0.3">
      <c r="D8" s="152"/>
      <c r="E8" s="152"/>
      <c r="F8" s="152"/>
      <c r="G8" s="152"/>
      <c r="H8" s="152"/>
      <c r="I8" s="152"/>
      <c r="J8" s="152"/>
      <c r="K8" s="152"/>
      <c r="L8" s="152"/>
      <c r="M8" s="152"/>
      <c r="N8" s="152"/>
      <c r="O8" s="152"/>
      <c r="P8" s="152"/>
      <c r="Q8" s="153"/>
      <c r="R8" s="153"/>
      <c r="S8" s="153"/>
      <c r="T8" s="153"/>
      <c r="U8" s="153"/>
      <c r="V8" s="153"/>
    </row>
    <row r="9" spans="1:22" x14ac:dyDescent="0.3">
      <c r="D9" s="152"/>
      <c r="E9" s="152"/>
      <c r="F9" s="152"/>
      <c r="G9" s="152"/>
      <c r="H9" s="152"/>
      <c r="I9" s="152"/>
      <c r="J9" s="152"/>
      <c r="K9" s="152"/>
      <c r="L9" s="152"/>
      <c r="M9" s="152"/>
      <c r="N9" s="152"/>
      <c r="O9" s="152"/>
      <c r="P9" s="152"/>
      <c r="Q9" s="153"/>
      <c r="R9" s="153"/>
      <c r="S9" s="153"/>
      <c r="T9" s="153"/>
      <c r="U9" s="153"/>
      <c r="V9" s="153"/>
    </row>
    <row r="10" spans="1:22" x14ac:dyDescent="0.3">
      <c r="D10" s="152"/>
      <c r="E10" s="152"/>
      <c r="F10" s="152"/>
      <c r="G10" s="152"/>
      <c r="H10" s="152"/>
      <c r="I10" s="152"/>
      <c r="J10" s="152"/>
      <c r="K10" s="152"/>
      <c r="L10" s="152"/>
      <c r="M10" s="152"/>
      <c r="N10" s="152"/>
      <c r="O10" s="152"/>
      <c r="P10" s="152"/>
      <c r="Q10" s="153"/>
      <c r="R10" s="153"/>
      <c r="S10" s="153"/>
      <c r="T10" s="153"/>
      <c r="U10" s="153"/>
      <c r="V10" s="153"/>
    </row>
    <row r="11" spans="1:22" x14ac:dyDescent="0.3">
      <c r="D11" s="152"/>
      <c r="E11" s="152"/>
      <c r="F11" s="152"/>
      <c r="G11" s="152"/>
      <c r="H11" s="152"/>
      <c r="I11" s="152"/>
      <c r="J11" s="152"/>
      <c r="K11" s="152"/>
      <c r="L11" s="152"/>
      <c r="M11" s="152"/>
      <c r="N11" s="152"/>
      <c r="O11" s="152"/>
      <c r="P11" s="152"/>
      <c r="Q11" s="153"/>
      <c r="R11" s="153"/>
      <c r="S11" s="153"/>
      <c r="T11" s="153"/>
      <c r="U11" s="153"/>
      <c r="V11" s="153"/>
    </row>
    <row r="12" spans="1:22" x14ac:dyDescent="0.3">
      <c r="D12" s="152"/>
      <c r="E12" s="152"/>
      <c r="F12" s="152"/>
      <c r="G12" s="152"/>
      <c r="H12" s="152"/>
      <c r="I12" s="152"/>
      <c r="J12" s="152"/>
      <c r="K12" s="152"/>
      <c r="L12" s="152"/>
      <c r="M12" s="152"/>
      <c r="N12" s="152"/>
      <c r="O12" s="152"/>
      <c r="P12" s="152"/>
      <c r="Q12" s="153"/>
      <c r="R12" s="153"/>
      <c r="S12" s="153"/>
      <c r="T12" s="153"/>
      <c r="U12" s="153"/>
      <c r="V12" s="153"/>
    </row>
    <row r="13" spans="1:22" x14ac:dyDescent="0.3">
      <c r="D13" s="152"/>
      <c r="E13" s="152"/>
      <c r="F13" s="152"/>
      <c r="G13" s="152"/>
      <c r="H13" s="152"/>
      <c r="I13" s="152"/>
      <c r="J13" s="152"/>
      <c r="K13" s="152"/>
      <c r="L13" s="152"/>
      <c r="M13" s="152"/>
      <c r="N13" s="152"/>
      <c r="O13" s="152"/>
      <c r="P13" s="152"/>
      <c r="Q13" s="153"/>
      <c r="R13" s="153"/>
      <c r="S13" s="153"/>
      <c r="T13" s="153"/>
      <c r="U13" s="153"/>
      <c r="V13" s="153"/>
    </row>
    <row r="14" spans="1:22" x14ac:dyDescent="0.3">
      <c r="D14" s="152"/>
      <c r="E14" s="152"/>
      <c r="F14" s="152"/>
      <c r="G14" s="152"/>
      <c r="H14" s="152"/>
      <c r="I14" s="152"/>
      <c r="J14" s="152"/>
      <c r="K14" s="152"/>
      <c r="L14" s="152"/>
      <c r="M14" s="152"/>
      <c r="N14" s="152"/>
      <c r="O14" s="152"/>
      <c r="P14" s="152"/>
      <c r="Q14" s="153"/>
      <c r="R14" s="153"/>
      <c r="S14" s="153"/>
      <c r="T14" s="153"/>
      <c r="U14" s="153"/>
      <c r="V14" s="153"/>
    </row>
    <row r="15" spans="1:22" x14ac:dyDescent="0.3">
      <c r="D15" s="152"/>
      <c r="E15" s="152"/>
      <c r="F15" s="152"/>
      <c r="G15" s="152"/>
      <c r="H15" s="152"/>
      <c r="I15" s="152"/>
      <c r="J15" s="152"/>
      <c r="K15" s="152"/>
      <c r="L15" s="152"/>
      <c r="M15" s="152"/>
      <c r="N15" s="152"/>
      <c r="O15" s="152"/>
      <c r="P15" s="152"/>
      <c r="Q15" s="153"/>
      <c r="R15" s="153"/>
      <c r="S15" s="153"/>
      <c r="T15" s="153"/>
      <c r="U15" s="153"/>
      <c r="V15" s="153"/>
    </row>
    <row r="16" spans="1:22" x14ac:dyDescent="0.3">
      <c r="D16" s="152"/>
      <c r="E16" s="152"/>
      <c r="F16" s="152"/>
      <c r="G16" s="152"/>
      <c r="H16" s="152"/>
      <c r="I16" s="152"/>
      <c r="J16" s="152"/>
      <c r="K16" s="152"/>
      <c r="L16" s="152"/>
      <c r="M16" s="152"/>
      <c r="N16" s="152"/>
      <c r="O16" s="152"/>
      <c r="P16" s="152"/>
      <c r="Q16" s="153"/>
      <c r="R16" s="153"/>
      <c r="S16" s="153"/>
      <c r="T16" s="153"/>
      <c r="U16" s="153"/>
      <c r="V16" s="153"/>
    </row>
    <row r="17" spans="4:22" x14ac:dyDescent="0.3">
      <c r="D17" s="152"/>
      <c r="E17" s="152"/>
      <c r="F17" s="152"/>
      <c r="G17" s="152"/>
      <c r="H17" s="152"/>
      <c r="I17" s="152"/>
      <c r="J17" s="152"/>
      <c r="K17" s="152"/>
      <c r="L17" s="152"/>
      <c r="M17" s="152"/>
      <c r="N17" s="152"/>
      <c r="O17" s="152"/>
      <c r="P17" s="152"/>
      <c r="Q17" s="153"/>
      <c r="R17" s="153"/>
      <c r="S17" s="153"/>
      <c r="T17" s="153"/>
      <c r="U17" s="153"/>
      <c r="V17" s="153"/>
    </row>
    <row r="18" spans="4:22" x14ac:dyDescent="0.3">
      <c r="D18" s="152"/>
      <c r="E18" s="152"/>
      <c r="F18" s="152"/>
      <c r="G18" s="152"/>
      <c r="H18" s="152"/>
      <c r="I18" s="152"/>
      <c r="J18" s="152"/>
      <c r="K18" s="152"/>
      <c r="L18" s="152"/>
      <c r="M18" s="152"/>
      <c r="N18" s="152"/>
      <c r="O18" s="152"/>
      <c r="P18" s="152"/>
      <c r="Q18" s="153"/>
      <c r="R18" s="153"/>
      <c r="S18" s="153"/>
      <c r="T18" s="153"/>
      <c r="U18" s="153"/>
      <c r="V18" s="153"/>
    </row>
    <row r="19" spans="4:22" x14ac:dyDescent="0.3">
      <c r="D19" s="152"/>
      <c r="E19" s="152"/>
      <c r="F19" s="152"/>
      <c r="G19" s="152"/>
      <c r="H19" s="152"/>
      <c r="I19" s="152"/>
      <c r="J19" s="152"/>
      <c r="K19" s="152"/>
      <c r="L19" s="152"/>
      <c r="M19" s="152"/>
      <c r="N19" s="152"/>
      <c r="O19" s="152"/>
      <c r="P19" s="152"/>
      <c r="Q19" s="153"/>
      <c r="R19" s="153"/>
      <c r="S19" s="153"/>
      <c r="T19" s="153"/>
      <c r="U19" s="153"/>
      <c r="V19" s="153"/>
    </row>
    <row r="20" spans="4:22" x14ac:dyDescent="0.3">
      <c r="D20" s="152"/>
      <c r="E20" s="152"/>
      <c r="F20" s="152"/>
      <c r="G20" s="152"/>
      <c r="H20" s="152"/>
      <c r="I20" s="152"/>
      <c r="J20" s="152"/>
      <c r="K20" s="152"/>
      <c r="L20" s="152"/>
      <c r="M20" s="152"/>
      <c r="N20" s="152"/>
      <c r="O20" s="152"/>
      <c r="P20" s="152"/>
      <c r="Q20" s="153"/>
      <c r="R20" s="153"/>
      <c r="S20" s="153"/>
      <c r="T20" s="153"/>
      <c r="U20" s="153"/>
      <c r="V20" s="153"/>
    </row>
    <row r="21" spans="4:22" x14ac:dyDescent="0.3">
      <c r="D21" s="152"/>
      <c r="E21" s="152"/>
      <c r="F21" s="152"/>
      <c r="G21" s="152"/>
      <c r="H21" s="152"/>
      <c r="I21" s="152"/>
      <c r="J21" s="152"/>
      <c r="K21" s="152"/>
      <c r="L21" s="152"/>
      <c r="M21" s="152"/>
      <c r="N21" s="152"/>
      <c r="O21" s="152"/>
      <c r="P21" s="152"/>
      <c r="Q21" s="153"/>
      <c r="R21" s="153"/>
      <c r="S21" s="153"/>
      <c r="T21" s="153"/>
      <c r="U21" s="153"/>
      <c r="V21" s="153"/>
    </row>
    <row r="22" spans="4:22" x14ac:dyDescent="0.3">
      <c r="D22" s="152"/>
      <c r="E22" s="152"/>
      <c r="F22" s="152"/>
      <c r="G22" s="152"/>
      <c r="H22" s="152"/>
      <c r="I22" s="152"/>
      <c r="J22" s="152"/>
      <c r="K22" s="152"/>
      <c r="L22" s="152"/>
      <c r="M22" s="152"/>
      <c r="N22" s="152"/>
      <c r="O22" s="152"/>
      <c r="P22" s="152"/>
      <c r="Q22" s="153"/>
      <c r="R22" s="153"/>
      <c r="S22" s="153"/>
      <c r="T22" s="153"/>
      <c r="U22" s="153"/>
      <c r="V22" s="153"/>
    </row>
    <row r="23" spans="4:22" x14ac:dyDescent="0.3">
      <c r="D23" s="152"/>
      <c r="E23" s="152"/>
      <c r="F23" s="152"/>
      <c r="G23" s="152"/>
      <c r="H23" s="152"/>
      <c r="I23" s="152"/>
      <c r="J23" s="152"/>
      <c r="K23" s="152"/>
      <c r="L23" s="152"/>
      <c r="M23" s="152"/>
      <c r="N23" s="152"/>
      <c r="O23" s="152"/>
      <c r="P23" s="152"/>
      <c r="Q23" s="153"/>
      <c r="R23" s="153"/>
      <c r="S23" s="153"/>
      <c r="T23" s="153"/>
      <c r="U23" s="153"/>
      <c r="V23" s="153"/>
    </row>
    <row r="24" spans="4:22" x14ac:dyDescent="0.3">
      <c r="D24" s="152"/>
      <c r="E24" s="152"/>
      <c r="F24" s="152"/>
      <c r="G24" s="152"/>
      <c r="H24" s="152"/>
      <c r="I24" s="152"/>
      <c r="J24" s="152"/>
      <c r="K24" s="152"/>
      <c r="L24" s="152"/>
      <c r="M24" s="152"/>
      <c r="N24" s="152"/>
      <c r="O24" s="152"/>
      <c r="P24" s="152"/>
      <c r="Q24" s="153"/>
      <c r="R24" s="153"/>
      <c r="S24" s="153"/>
      <c r="T24" s="153"/>
      <c r="U24" s="153"/>
      <c r="V24" s="153"/>
    </row>
    <row r="25" spans="4:22" x14ac:dyDescent="0.3">
      <c r="D25" s="152"/>
      <c r="E25" s="152"/>
      <c r="F25" s="152"/>
      <c r="G25" s="152"/>
      <c r="H25" s="152"/>
      <c r="I25" s="152"/>
      <c r="J25" s="152"/>
      <c r="K25" s="152"/>
      <c r="L25" s="152"/>
      <c r="M25" s="152"/>
      <c r="N25" s="152"/>
      <c r="O25" s="152"/>
      <c r="P25" s="152"/>
      <c r="Q25" s="153"/>
      <c r="R25" s="153"/>
      <c r="S25" s="153"/>
      <c r="T25" s="153"/>
      <c r="U25" s="153"/>
      <c r="V25" s="153"/>
    </row>
    <row r="26" spans="4:22" x14ac:dyDescent="0.3">
      <c r="D26" s="152"/>
      <c r="E26" s="152"/>
      <c r="F26" s="152"/>
      <c r="G26" s="152"/>
      <c r="H26" s="152"/>
      <c r="I26" s="152"/>
      <c r="J26" s="152"/>
      <c r="K26" s="152"/>
      <c r="L26" s="152"/>
      <c r="M26" s="152"/>
      <c r="N26" s="152"/>
      <c r="O26" s="152"/>
      <c r="P26" s="152"/>
      <c r="Q26" s="153"/>
      <c r="R26" s="153"/>
      <c r="S26" s="153"/>
      <c r="T26" s="153"/>
      <c r="U26" s="153"/>
      <c r="V26" s="153"/>
    </row>
    <row r="27" spans="4:22" x14ac:dyDescent="0.3">
      <c r="D27" s="152"/>
      <c r="E27" s="152"/>
      <c r="F27" s="152"/>
      <c r="G27" s="152"/>
      <c r="H27" s="152"/>
      <c r="I27" s="152"/>
      <c r="J27" s="152"/>
      <c r="K27" s="152"/>
      <c r="L27" s="152"/>
      <c r="M27" s="152"/>
      <c r="N27" s="152"/>
      <c r="O27" s="152"/>
      <c r="P27" s="152"/>
      <c r="Q27" s="153"/>
      <c r="R27" s="153"/>
      <c r="S27" s="153"/>
      <c r="T27" s="153"/>
      <c r="U27" s="153"/>
      <c r="V27" s="153"/>
    </row>
    <row r="28" spans="4:22" x14ac:dyDescent="0.3">
      <c r="D28" s="152"/>
      <c r="E28" s="152"/>
      <c r="F28" s="152"/>
      <c r="G28" s="152"/>
      <c r="H28" s="152"/>
      <c r="I28" s="152"/>
      <c r="J28" s="152"/>
      <c r="K28" s="152"/>
      <c r="L28" s="152"/>
      <c r="M28" s="152"/>
      <c r="N28" s="152"/>
      <c r="O28" s="152"/>
      <c r="P28" s="152"/>
      <c r="Q28" s="153"/>
      <c r="R28" s="153"/>
      <c r="S28" s="153"/>
      <c r="T28" s="153"/>
      <c r="U28" s="153"/>
      <c r="V28" s="153"/>
    </row>
    <row r="29" spans="4:22" x14ac:dyDescent="0.3">
      <c r="D29" s="152"/>
      <c r="E29" s="152"/>
      <c r="F29" s="152"/>
      <c r="G29" s="152"/>
      <c r="H29" s="152"/>
      <c r="I29" s="152"/>
      <c r="J29" s="152"/>
      <c r="K29" s="152"/>
      <c r="L29" s="152"/>
      <c r="M29" s="152"/>
      <c r="N29" s="152"/>
      <c r="O29" s="152"/>
      <c r="P29" s="152"/>
      <c r="Q29" s="153"/>
      <c r="R29" s="153"/>
      <c r="S29" s="153"/>
      <c r="T29" s="153"/>
      <c r="U29" s="153"/>
      <c r="V29" s="153"/>
    </row>
    <row r="30" spans="4:22" x14ac:dyDescent="0.3">
      <c r="D30" s="152"/>
      <c r="E30" s="152"/>
      <c r="F30" s="152"/>
      <c r="G30" s="152"/>
      <c r="H30" s="152"/>
      <c r="I30" s="152"/>
      <c r="J30" s="152"/>
      <c r="K30" s="152"/>
      <c r="L30" s="152"/>
      <c r="M30" s="152"/>
      <c r="N30" s="152"/>
      <c r="O30" s="152"/>
      <c r="P30" s="152"/>
      <c r="Q30" s="153"/>
      <c r="R30" s="153"/>
      <c r="S30" s="153"/>
      <c r="T30" s="153"/>
      <c r="U30" s="153"/>
      <c r="V30" s="153"/>
    </row>
    <row r="31" spans="4:22" x14ac:dyDescent="0.3">
      <c r="D31" s="152"/>
      <c r="E31" s="152"/>
      <c r="F31" s="152"/>
      <c r="G31" s="152"/>
      <c r="H31" s="152"/>
      <c r="I31" s="152"/>
      <c r="J31" s="152"/>
      <c r="K31" s="152"/>
      <c r="L31" s="152"/>
      <c r="M31" s="152"/>
      <c r="N31" s="152"/>
      <c r="O31" s="152"/>
      <c r="P31" s="152"/>
      <c r="Q31" s="153"/>
      <c r="R31" s="153"/>
      <c r="S31" s="153"/>
      <c r="T31" s="153"/>
      <c r="U31" s="153"/>
      <c r="V31" s="153"/>
    </row>
    <row r="32" spans="4:22" x14ac:dyDescent="0.3">
      <c r="D32" s="152"/>
      <c r="E32" s="152"/>
      <c r="F32" s="152"/>
      <c r="G32" s="152"/>
      <c r="H32" s="152"/>
      <c r="I32" s="152"/>
      <c r="J32" s="152"/>
      <c r="K32" s="152"/>
      <c r="L32" s="152"/>
      <c r="M32" s="152"/>
      <c r="N32" s="152"/>
      <c r="O32" s="152"/>
      <c r="P32" s="152"/>
      <c r="Q32" s="153"/>
      <c r="R32" s="153"/>
      <c r="S32" s="153"/>
      <c r="T32" s="153"/>
      <c r="U32" s="153"/>
      <c r="V32" s="153"/>
    </row>
    <row r="33" spans="4:22" x14ac:dyDescent="0.3">
      <c r="D33" s="152"/>
      <c r="E33" s="152"/>
      <c r="F33" s="152"/>
      <c r="G33" s="152"/>
      <c r="H33" s="152"/>
      <c r="I33" s="152"/>
      <c r="J33" s="152"/>
      <c r="K33" s="152"/>
      <c r="L33" s="152"/>
      <c r="M33" s="152"/>
      <c r="N33" s="152"/>
      <c r="O33" s="152"/>
      <c r="P33" s="152"/>
      <c r="Q33" s="153"/>
      <c r="R33" s="153"/>
      <c r="S33" s="153"/>
      <c r="T33" s="153"/>
      <c r="U33" s="153"/>
      <c r="V33" s="153"/>
    </row>
    <row r="34" spans="4:22" x14ac:dyDescent="0.3">
      <c r="D34" s="152"/>
      <c r="E34" s="152"/>
      <c r="F34" s="152"/>
      <c r="G34" s="152"/>
      <c r="H34" s="152"/>
      <c r="I34" s="152"/>
      <c r="J34" s="152"/>
      <c r="K34" s="152"/>
      <c r="L34" s="152"/>
      <c r="M34" s="152"/>
      <c r="N34" s="152"/>
      <c r="O34" s="152"/>
      <c r="P34" s="152"/>
      <c r="Q34" s="153"/>
      <c r="R34" s="153"/>
      <c r="S34" s="153"/>
      <c r="T34" s="153"/>
      <c r="U34" s="153"/>
      <c r="V34" s="153"/>
    </row>
    <row r="35" spans="4:22" x14ac:dyDescent="0.3">
      <c r="D35" s="152"/>
      <c r="E35" s="152"/>
      <c r="F35" s="152"/>
      <c r="G35" s="152"/>
      <c r="H35" s="152"/>
      <c r="I35" s="152"/>
      <c r="J35" s="152"/>
      <c r="K35" s="152"/>
      <c r="L35" s="152"/>
      <c r="M35" s="152"/>
      <c r="N35" s="152"/>
      <c r="O35" s="152"/>
      <c r="P35" s="152"/>
      <c r="Q35" s="153"/>
      <c r="R35" s="153"/>
      <c r="S35" s="153"/>
      <c r="T35" s="153"/>
      <c r="U35" s="153"/>
      <c r="V35" s="153"/>
    </row>
    <row r="36" spans="4:22" x14ac:dyDescent="0.3">
      <c r="D36" s="152"/>
      <c r="E36" s="152"/>
      <c r="F36" s="152"/>
      <c r="G36" s="152"/>
      <c r="H36" s="152"/>
      <c r="I36" s="152"/>
      <c r="J36" s="152"/>
      <c r="K36" s="152"/>
      <c r="L36" s="152"/>
      <c r="M36" s="152"/>
      <c r="N36" s="152"/>
      <c r="O36" s="152"/>
      <c r="P36" s="152"/>
      <c r="Q36" s="153"/>
      <c r="R36" s="153"/>
      <c r="S36" s="153"/>
      <c r="T36" s="153"/>
      <c r="U36" s="153"/>
      <c r="V36" s="153"/>
    </row>
    <row r="37" spans="4:22" x14ac:dyDescent="0.3">
      <c r="D37" s="152"/>
      <c r="E37" s="152"/>
      <c r="F37" s="152"/>
      <c r="G37" s="152"/>
      <c r="H37" s="152"/>
      <c r="I37" s="152"/>
      <c r="J37" s="152"/>
      <c r="K37" s="152"/>
      <c r="L37" s="152"/>
      <c r="M37" s="152"/>
      <c r="N37" s="152"/>
      <c r="O37" s="152"/>
      <c r="P37" s="152"/>
      <c r="Q37" s="153"/>
      <c r="R37" s="153"/>
      <c r="S37" s="153"/>
      <c r="T37" s="153"/>
      <c r="U37" s="153"/>
      <c r="V37" s="153"/>
    </row>
    <row r="38" spans="4:22" x14ac:dyDescent="0.3">
      <c r="D38" s="152"/>
      <c r="E38" s="152"/>
      <c r="F38" s="152"/>
      <c r="G38" s="152"/>
      <c r="H38" s="152"/>
      <c r="I38" s="152"/>
      <c r="J38" s="152"/>
      <c r="K38" s="152"/>
      <c r="L38" s="152"/>
      <c r="M38" s="152"/>
      <c r="N38" s="152"/>
      <c r="O38" s="152"/>
      <c r="P38" s="152"/>
      <c r="Q38" s="153"/>
      <c r="R38" s="153"/>
      <c r="S38" s="153"/>
      <c r="T38" s="153"/>
      <c r="U38" s="153"/>
      <c r="V38" s="153"/>
    </row>
    <row r="39" spans="4:22" x14ac:dyDescent="0.3">
      <c r="D39" s="152"/>
      <c r="E39" s="152"/>
      <c r="F39" s="152"/>
      <c r="G39" s="152"/>
      <c r="H39" s="152"/>
      <c r="I39" s="152"/>
      <c r="J39" s="152"/>
      <c r="K39" s="152"/>
      <c r="L39" s="152"/>
      <c r="M39" s="152"/>
      <c r="N39" s="152"/>
      <c r="O39" s="152"/>
      <c r="P39" s="152"/>
      <c r="Q39" s="153"/>
      <c r="R39" s="153"/>
      <c r="S39" s="153"/>
      <c r="T39" s="153"/>
      <c r="U39" s="153"/>
      <c r="V39" s="153"/>
    </row>
    <row r="40" spans="4:22" x14ac:dyDescent="0.3">
      <c r="D40" s="152"/>
      <c r="E40" s="152"/>
      <c r="F40" s="152"/>
      <c r="G40" s="152"/>
      <c r="H40" s="152"/>
      <c r="I40" s="152"/>
      <c r="J40" s="152"/>
      <c r="K40" s="152"/>
      <c r="L40" s="152"/>
      <c r="M40" s="152"/>
      <c r="N40" s="152"/>
      <c r="O40" s="152"/>
      <c r="P40" s="152"/>
      <c r="Q40" s="153"/>
      <c r="R40" s="153"/>
      <c r="S40" s="153"/>
      <c r="T40" s="153"/>
      <c r="U40" s="153"/>
      <c r="V40" s="153"/>
    </row>
    <row r="41" spans="4:22" x14ac:dyDescent="0.3">
      <c r="D41" s="152"/>
      <c r="E41" s="152"/>
      <c r="F41" s="152"/>
      <c r="G41" s="152"/>
      <c r="H41" s="152"/>
      <c r="I41" s="152"/>
      <c r="J41" s="152"/>
      <c r="K41" s="152"/>
      <c r="L41" s="152"/>
      <c r="M41" s="152"/>
      <c r="N41" s="152"/>
      <c r="O41" s="152"/>
      <c r="P41" s="152"/>
      <c r="Q41" s="153"/>
      <c r="R41" s="153"/>
      <c r="S41" s="153"/>
      <c r="T41" s="153"/>
      <c r="U41" s="153"/>
      <c r="V41" s="153"/>
    </row>
    <row r="42" spans="4:22" x14ac:dyDescent="0.3">
      <c r="D42" s="152"/>
      <c r="E42" s="152"/>
      <c r="F42" s="152"/>
      <c r="G42" s="152"/>
      <c r="H42" s="152"/>
      <c r="I42" s="152"/>
      <c r="J42" s="152"/>
      <c r="K42" s="152"/>
      <c r="L42" s="152"/>
      <c r="M42" s="152"/>
      <c r="N42" s="152"/>
      <c r="O42" s="152"/>
      <c r="P42" s="152"/>
      <c r="Q42" s="153"/>
      <c r="R42" s="153"/>
      <c r="S42" s="153"/>
      <c r="T42" s="153"/>
      <c r="U42" s="153"/>
      <c r="V42" s="153"/>
    </row>
    <row r="43" spans="4:22" x14ac:dyDescent="0.3">
      <c r="D43" s="152"/>
      <c r="E43" s="152"/>
      <c r="F43" s="152"/>
      <c r="G43" s="152"/>
      <c r="H43" s="152"/>
      <c r="I43" s="152"/>
      <c r="J43" s="152"/>
      <c r="K43" s="152"/>
      <c r="L43" s="152"/>
      <c r="M43" s="152"/>
      <c r="N43" s="152"/>
      <c r="O43" s="152"/>
      <c r="P43" s="152"/>
      <c r="Q43" s="153"/>
      <c r="R43" s="153"/>
      <c r="S43" s="153"/>
      <c r="T43" s="153"/>
      <c r="U43" s="153"/>
      <c r="V43" s="153"/>
    </row>
    <row r="44" spans="4:22" x14ac:dyDescent="0.3">
      <c r="D44" s="152"/>
      <c r="E44" s="152"/>
      <c r="F44" s="152"/>
      <c r="G44" s="152"/>
      <c r="H44" s="152"/>
      <c r="I44" s="152"/>
      <c r="J44" s="152"/>
      <c r="K44" s="152"/>
      <c r="L44" s="152"/>
      <c r="M44" s="152"/>
      <c r="N44" s="152"/>
      <c r="O44" s="152"/>
      <c r="P44" s="152"/>
      <c r="Q44" s="153"/>
      <c r="R44" s="153"/>
      <c r="S44" s="153"/>
      <c r="T44" s="153"/>
      <c r="U44" s="153"/>
      <c r="V44" s="153"/>
    </row>
    <row r="45" spans="4:22" x14ac:dyDescent="0.3">
      <c r="D45" s="152"/>
      <c r="E45" s="152"/>
      <c r="F45" s="152"/>
      <c r="G45" s="152"/>
      <c r="H45" s="152"/>
      <c r="I45" s="152"/>
      <c r="J45" s="152"/>
      <c r="K45" s="152"/>
      <c r="L45" s="152"/>
      <c r="M45" s="152"/>
      <c r="N45" s="152"/>
      <c r="O45" s="152"/>
      <c r="P45" s="152"/>
      <c r="Q45" s="153"/>
      <c r="R45" s="153"/>
      <c r="S45" s="153"/>
      <c r="T45" s="153"/>
      <c r="U45" s="153"/>
      <c r="V45" s="153"/>
    </row>
    <row r="46" spans="4:22" x14ac:dyDescent="0.3">
      <c r="D46" s="152"/>
      <c r="E46" s="152"/>
      <c r="F46" s="152"/>
      <c r="G46" s="152"/>
      <c r="H46" s="152"/>
      <c r="I46" s="152"/>
      <c r="J46" s="152"/>
      <c r="K46" s="152"/>
      <c r="L46" s="152"/>
      <c r="M46" s="152"/>
      <c r="N46" s="152"/>
      <c r="O46" s="152"/>
      <c r="P46" s="152"/>
      <c r="Q46" s="153"/>
      <c r="R46" s="153"/>
      <c r="S46" s="153"/>
      <c r="T46" s="153"/>
      <c r="U46" s="153"/>
      <c r="V46" s="153"/>
    </row>
    <row r="47" spans="4:22" x14ac:dyDescent="0.3">
      <c r="D47" s="152"/>
      <c r="E47" s="152"/>
      <c r="F47" s="152"/>
      <c r="G47" s="152"/>
      <c r="H47" s="152"/>
      <c r="I47" s="152"/>
      <c r="J47" s="152"/>
      <c r="K47" s="152"/>
      <c r="L47" s="152"/>
      <c r="M47" s="152"/>
      <c r="N47" s="152"/>
      <c r="O47" s="152"/>
      <c r="P47" s="152"/>
      <c r="Q47" s="153"/>
      <c r="R47" s="153"/>
      <c r="S47" s="153"/>
      <c r="T47" s="153"/>
      <c r="U47" s="153"/>
      <c r="V47" s="153"/>
    </row>
    <row r="48" spans="4:22" x14ac:dyDescent="0.3">
      <c r="D48" s="152"/>
      <c r="E48" s="152"/>
      <c r="F48" s="152"/>
      <c r="G48" s="152"/>
      <c r="H48" s="152"/>
      <c r="I48" s="152"/>
      <c r="J48" s="152"/>
      <c r="K48" s="152"/>
      <c r="L48" s="152"/>
      <c r="M48" s="152"/>
      <c r="N48" s="152"/>
      <c r="O48" s="152"/>
      <c r="P48" s="152"/>
      <c r="Q48" s="153"/>
      <c r="R48" s="153"/>
      <c r="S48" s="153"/>
      <c r="T48" s="153"/>
      <c r="U48" s="153"/>
      <c r="V48" s="153"/>
    </row>
    <row r="49" spans="4:22" x14ac:dyDescent="0.3">
      <c r="D49" s="153"/>
      <c r="E49" s="153"/>
      <c r="F49" s="153"/>
      <c r="G49" s="153"/>
      <c r="H49" s="153"/>
      <c r="I49" s="153"/>
      <c r="J49" s="153"/>
      <c r="K49" s="153"/>
      <c r="L49" s="153"/>
      <c r="M49" s="153"/>
      <c r="N49" s="153"/>
      <c r="O49" s="153"/>
      <c r="P49" s="153"/>
      <c r="Q49" s="153"/>
      <c r="R49" s="153"/>
      <c r="S49" s="153"/>
      <c r="T49" s="153"/>
      <c r="U49" s="153"/>
      <c r="V49" s="153"/>
    </row>
    <row r="50" spans="4:22" x14ac:dyDescent="0.3">
      <c r="D50" s="153"/>
      <c r="E50" s="153"/>
      <c r="F50" s="153"/>
      <c r="G50" s="153"/>
      <c r="H50" s="153"/>
      <c r="I50" s="153"/>
      <c r="J50" s="153"/>
      <c r="K50" s="153"/>
      <c r="L50" s="153"/>
      <c r="M50" s="153"/>
      <c r="N50" s="153"/>
      <c r="O50" s="153"/>
      <c r="P50" s="153"/>
      <c r="Q50" s="153"/>
      <c r="R50" s="153"/>
      <c r="S50" s="153"/>
      <c r="T50" s="153"/>
      <c r="U50" s="153"/>
      <c r="V50" s="153"/>
    </row>
    <row r="51" spans="4:22" x14ac:dyDescent="0.3">
      <c r="D51" s="153"/>
      <c r="E51" s="153"/>
      <c r="F51" s="153"/>
      <c r="G51" s="153"/>
      <c r="H51" s="153"/>
      <c r="I51" s="153"/>
      <c r="J51" s="153"/>
      <c r="K51" s="153"/>
      <c r="L51" s="153"/>
      <c r="M51" s="153"/>
      <c r="N51" s="153"/>
      <c r="O51" s="153"/>
      <c r="P51" s="153"/>
      <c r="Q51" s="153"/>
      <c r="R51" s="153"/>
      <c r="S51" s="153"/>
      <c r="T51" s="153"/>
      <c r="U51" s="153"/>
      <c r="V51" s="153"/>
    </row>
    <row r="52" spans="4:22" x14ac:dyDescent="0.3">
      <c r="D52" s="153"/>
      <c r="E52" s="153"/>
      <c r="F52" s="153"/>
      <c r="G52" s="153"/>
      <c r="H52" s="153"/>
      <c r="I52" s="153"/>
      <c r="J52" s="153"/>
      <c r="K52" s="153"/>
      <c r="L52" s="153"/>
      <c r="M52" s="153"/>
      <c r="N52" s="153"/>
      <c r="O52" s="153"/>
      <c r="P52" s="153"/>
      <c r="Q52" s="153"/>
      <c r="R52" s="153"/>
      <c r="S52" s="153"/>
      <c r="T52" s="153"/>
      <c r="U52" s="153"/>
      <c r="V52" s="153"/>
    </row>
    <row r="53" spans="4:22" x14ac:dyDescent="0.3">
      <c r="D53" s="153"/>
      <c r="E53" s="153"/>
      <c r="F53" s="153"/>
      <c r="G53" s="153"/>
      <c r="H53" s="153"/>
      <c r="I53" s="153"/>
      <c r="J53" s="153"/>
      <c r="K53" s="153"/>
      <c r="L53" s="153"/>
      <c r="M53" s="153"/>
      <c r="N53" s="153"/>
      <c r="O53" s="153"/>
      <c r="P53" s="153"/>
      <c r="Q53" s="153"/>
      <c r="R53" s="153"/>
      <c r="S53" s="153"/>
      <c r="T53" s="153"/>
      <c r="U53" s="153"/>
      <c r="V53" s="153"/>
    </row>
    <row r="54" spans="4:22" x14ac:dyDescent="0.3">
      <c r="D54" s="153"/>
      <c r="E54" s="153"/>
      <c r="F54" s="153"/>
      <c r="G54" s="153"/>
      <c r="H54" s="153"/>
      <c r="I54" s="153"/>
      <c r="J54" s="153"/>
      <c r="K54" s="153"/>
      <c r="L54" s="153"/>
      <c r="M54" s="153"/>
      <c r="N54" s="153"/>
      <c r="O54" s="153"/>
      <c r="P54" s="153"/>
      <c r="Q54" s="153"/>
      <c r="R54" s="153"/>
      <c r="S54" s="153"/>
      <c r="T54" s="153"/>
      <c r="U54" s="153"/>
      <c r="V54" s="153"/>
    </row>
    <row r="55" spans="4:22" x14ac:dyDescent="0.3">
      <c r="D55" s="153"/>
      <c r="E55" s="153"/>
      <c r="F55" s="153"/>
      <c r="G55" s="153"/>
      <c r="H55" s="153"/>
      <c r="I55" s="153"/>
      <c r="J55" s="153"/>
      <c r="K55" s="153"/>
      <c r="L55" s="153"/>
      <c r="M55" s="153"/>
      <c r="N55" s="153"/>
      <c r="O55" s="153"/>
      <c r="P55" s="153"/>
      <c r="Q55" s="153"/>
      <c r="R55" s="153"/>
      <c r="S55" s="153"/>
      <c r="T55" s="153"/>
      <c r="U55" s="153"/>
      <c r="V55" s="153"/>
    </row>
    <row r="56" spans="4:22" x14ac:dyDescent="0.3">
      <c r="D56" s="153"/>
      <c r="E56" s="153"/>
      <c r="F56" s="153"/>
      <c r="G56" s="153"/>
      <c r="H56" s="153"/>
      <c r="I56" s="153"/>
      <c r="J56" s="153"/>
      <c r="K56" s="153"/>
      <c r="L56" s="153"/>
      <c r="M56" s="153"/>
      <c r="N56" s="153"/>
      <c r="O56" s="153"/>
      <c r="P56" s="153"/>
      <c r="Q56" s="153"/>
      <c r="R56" s="153"/>
      <c r="S56" s="153"/>
      <c r="T56" s="153"/>
      <c r="U56" s="153"/>
      <c r="V56" s="153"/>
    </row>
    <row r="57" spans="4:22" x14ac:dyDescent="0.3">
      <c r="D57" s="153"/>
      <c r="E57" s="153"/>
      <c r="F57" s="153"/>
      <c r="G57" s="153"/>
      <c r="H57" s="153"/>
      <c r="I57" s="153"/>
      <c r="J57" s="153"/>
      <c r="K57" s="153"/>
      <c r="L57" s="153"/>
      <c r="M57" s="153"/>
      <c r="N57" s="153"/>
      <c r="O57" s="153"/>
      <c r="P57" s="153"/>
      <c r="Q57" s="153"/>
      <c r="R57" s="153"/>
      <c r="S57" s="153"/>
      <c r="T57" s="153"/>
      <c r="U57" s="153"/>
      <c r="V57" s="153"/>
    </row>
    <row r="58" spans="4:22" x14ac:dyDescent="0.3">
      <c r="D58" s="153"/>
      <c r="E58" s="153"/>
      <c r="F58" s="153"/>
      <c r="G58" s="153"/>
      <c r="H58" s="153"/>
      <c r="I58" s="153"/>
      <c r="J58" s="153"/>
      <c r="K58" s="153"/>
      <c r="L58" s="153"/>
      <c r="M58" s="153"/>
      <c r="N58" s="153"/>
      <c r="O58" s="153"/>
      <c r="P58" s="153"/>
      <c r="Q58" s="153"/>
      <c r="R58" s="153"/>
      <c r="S58" s="153"/>
      <c r="T58" s="153"/>
      <c r="U58" s="153"/>
      <c r="V58" s="153"/>
    </row>
    <row r="59" spans="4:22" x14ac:dyDescent="0.3">
      <c r="D59" s="153"/>
      <c r="E59" s="153"/>
      <c r="F59" s="153"/>
      <c r="G59" s="153"/>
      <c r="H59" s="153"/>
      <c r="I59" s="153"/>
      <c r="J59" s="153"/>
      <c r="K59" s="153"/>
      <c r="L59" s="153"/>
      <c r="M59" s="153"/>
      <c r="N59" s="153"/>
      <c r="O59" s="153"/>
      <c r="P59" s="153"/>
      <c r="Q59" s="153"/>
      <c r="R59" s="153"/>
      <c r="S59" s="153"/>
      <c r="T59" s="153"/>
      <c r="U59" s="153"/>
      <c r="V59" s="153"/>
    </row>
    <row r="60" spans="4:22" x14ac:dyDescent="0.3">
      <c r="D60" s="153"/>
      <c r="E60" s="153"/>
      <c r="F60" s="153"/>
      <c r="G60" s="153"/>
      <c r="H60" s="153"/>
      <c r="I60" s="153"/>
      <c r="J60" s="153"/>
      <c r="K60" s="153"/>
      <c r="L60" s="153"/>
      <c r="M60" s="153"/>
      <c r="N60" s="153"/>
      <c r="O60" s="153"/>
      <c r="P60" s="153"/>
      <c r="Q60" s="153"/>
      <c r="R60" s="153"/>
      <c r="S60" s="153"/>
      <c r="T60" s="153"/>
      <c r="U60" s="153"/>
      <c r="V60" s="153"/>
    </row>
    <row r="61" spans="4:22" x14ac:dyDescent="0.3">
      <c r="D61" s="153"/>
      <c r="E61" s="153"/>
      <c r="F61" s="153"/>
      <c r="G61" s="153"/>
      <c r="H61" s="153"/>
      <c r="I61" s="153"/>
      <c r="J61" s="153"/>
      <c r="K61" s="153"/>
      <c r="L61" s="153"/>
      <c r="M61" s="153"/>
      <c r="N61" s="153"/>
      <c r="O61" s="153"/>
      <c r="P61" s="153"/>
      <c r="Q61" s="153"/>
      <c r="R61" s="153"/>
      <c r="S61" s="153"/>
      <c r="T61" s="153"/>
      <c r="U61" s="153"/>
      <c r="V61" s="153"/>
    </row>
    <row r="62" spans="4:22" x14ac:dyDescent="0.3">
      <c r="D62" s="153"/>
      <c r="E62" s="153"/>
      <c r="F62" s="153"/>
      <c r="G62" s="153"/>
      <c r="H62" s="153"/>
      <c r="I62" s="153"/>
      <c r="J62" s="153"/>
      <c r="K62" s="153"/>
      <c r="L62" s="153"/>
      <c r="M62" s="153"/>
      <c r="N62" s="153"/>
      <c r="O62" s="153"/>
      <c r="P62" s="153"/>
      <c r="Q62" s="153"/>
      <c r="R62" s="153"/>
      <c r="S62" s="153"/>
      <c r="T62" s="153"/>
      <c r="U62" s="153"/>
      <c r="V62" s="153"/>
    </row>
    <row r="63" spans="4:22" x14ac:dyDescent="0.3">
      <c r="D63" s="153"/>
      <c r="E63" s="153"/>
      <c r="F63" s="153"/>
      <c r="G63" s="153"/>
      <c r="H63" s="153"/>
      <c r="I63" s="153"/>
      <c r="J63" s="153"/>
      <c r="K63" s="153"/>
      <c r="L63" s="153"/>
      <c r="M63" s="153"/>
      <c r="N63" s="153"/>
      <c r="O63" s="153"/>
      <c r="P63" s="153"/>
      <c r="Q63" s="153"/>
      <c r="R63" s="153"/>
      <c r="S63" s="153"/>
      <c r="T63" s="153"/>
      <c r="U63" s="153"/>
      <c r="V63" s="153"/>
    </row>
    <row r="64" spans="4:22" x14ac:dyDescent="0.3">
      <c r="D64" s="153"/>
      <c r="E64" s="153"/>
      <c r="F64" s="153"/>
      <c r="G64" s="153"/>
      <c r="H64" s="153"/>
      <c r="I64" s="153"/>
      <c r="J64" s="153"/>
      <c r="K64" s="153"/>
      <c r="L64" s="153"/>
      <c r="M64" s="153"/>
      <c r="N64" s="153"/>
      <c r="O64" s="153"/>
      <c r="P64" s="153"/>
      <c r="Q64" s="153"/>
      <c r="R64" s="153"/>
      <c r="S64" s="153"/>
      <c r="T64" s="153"/>
      <c r="U64" s="153"/>
      <c r="V64" s="153"/>
    </row>
    <row r="65" spans="4:22" x14ac:dyDescent="0.3">
      <c r="D65" s="153"/>
      <c r="E65" s="153"/>
      <c r="F65" s="153"/>
      <c r="G65" s="153"/>
      <c r="H65" s="153"/>
      <c r="I65" s="153"/>
      <c r="J65" s="153"/>
      <c r="K65" s="153"/>
      <c r="L65" s="153"/>
      <c r="M65" s="153"/>
      <c r="N65" s="153"/>
      <c r="O65" s="153"/>
      <c r="P65" s="153"/>
      <c r="Q65" s="153"/>
      <c r="R65" s="153"/>
      <c r="S65" s="153"/>
      <c r="T65" s="153"/>
      <c r="U65" s="153"/>
      <c r="V65" s="153"/>
    </row>
    <row r="66" spans="4:22" x14ac:dyDescent="0.3">
      <c r="D66" s="153"/>
      <c r="E66" s="153"/>
      <c r="F66" s="153"/>
      <c r="G66" s="153"/>
      <c r="H66" s="153"/>
      <c r="I66" s="153"/>
      <c r="J66" s="153"/>
      <c r="K66" s="153"/>
      <c r="L66" s="153"/>
      <c r="M66" s="153"/>
      <c r="N66" s="153"/>
      <c r="O66" s="153"/>
      <c r="P66" s="153"/>
      <c r="Q66" s="153"/>
      <c r="R66" s="153"/>
      <c r="S66" s="153"/>
      <c r="T66" s="153"/>
      <c r="U66" s="153"/>
      <c r="V66" s="153"/>
    </row>
    <row r="67" spans="4:22" x14ac:dyDescent="0.3">
      <c r="D67" s="153"/>
      <c r="E67" s="153"/>
      <c r="F67" s="153"/>
      <c r="G67" s="153"/>
      <c r="H67" s="153"/>
      <c r="I67" s="153"/>
      <c r="J67" s="153"/>
      <c r="K67" s="153"/>
      <c r="L67" s="153"/>
      <c r="M67" s="153"/>
      <c r="N67" s="153"/>
      <c r="O67" s="153"/>
      <c r="P67" s="153"/>
      <c r="Q67" s="153"/>
      <c r="R67" s="153"/>
      <c r="S67" s="153"/>
      <c r="T67" s="153"/>
      <c r="U67" s="153"/>
      <c r="V67" s="153"/>
    </row>
    <row r="68" spans="4:22" x14ac:dyDescent="0.3">
      <c r="D68" s="153"/>
      <c r="E68" s="153"/>
      <c r="F68" s="153"/>
      <c r="G68" s="153"/>
      <c r="H68" s="153"/>
      <c r="I68" s="153"/>
      <c r="J68" s="153"/>
      <c r="K68" s="153"/>
      <c r="L68" s="153"/>
      <c r="M68" s="153"/>
      <c r="N68" s="153"/>
      <c r="O68" s="153"/>
      <c r="P68" s="153"/>
      <c r="Q68" s="153"/>
      <c r="R68" s="153"/>
      <c r="S68" s="153"/>
      <c r="T68" s="153"/>
      <c r="U68" s="153"/>
      <c r="V68" s="153"/>
    </row>
    <row r="69" spans="4:22" x14ac:dyDescent="0.3">
      <c r="D69" s="153"/>
      <c r="E69" s="153"/>
      <c r="F69" s="153"/>
      <c r="G69" s="153"/>
      <c r="H69" s="153"/>
      <c r="I69" s="153"/>
      <c r="J69" s="153"/>
      <c r="K69" s="153"/>
      <c r="L69" s="153"/>
      <c r="M69" s="153"/>
      <c r="N69" s="153"/>
      <c r="O69" s="153"/>
      <c r="P69" s="153"/>
      <c r="Q69" s="153"/>
      <c r="R69" s="153"/>
      <c r="S69" s="153"/>
      <c r="T69" s="153"/>
      <c r="U69" s="153"/>
      <c r="V69" s="153"/>
    </row>
    <row r="70" spans="4:22" x14ac:dyDescent="0.3">
      <c r="D70" s="153"/>
      <c r="E70" s="153"/>
      <c r="F70" s="153"/>
      <c r="G70" s="153"/>
      <c r="H70" s="153"/>
      <c r="I70" s="153"/>
      <c r="J70" s="153"/>
      <c r="K70" s="153"/>
      <c r="L70" s="153"/>
      <c r="M70" s="153"/>
      <c r="N70" s="153"/>
      <c r="O70" s="153"/>
      <c r="P70" s="153"/>
      <c r="Q70" s="153"/>
      <c r="R70" s="153"/>
      <c r="S70" s="153"/>
      <c r="T70" s="153"/>
      <c r="U70" s="153"/>
      <c r="V70" s="153"/>
    </row>
    <row r="71" spans="4:22" x14ac:dyDescent="0.3">
      <c r="D71" s="153"/>
      <c r="E71" s="153"/>
      <c r="F71" s="153"/>
      <c r="G71" s="153"/>
      <c r="H71" s="153"/>
      <c r="I71" s="153"/>
      <c r="J71" s="153"/>
      <c r="K71" s="153"/>
      <c r="L71" s="153"/>
      <c r="M71" s="153"/>
      <c r="N71" s="153"/>
      <c r="O71" s="153"/>
      <c r="P71" s="153"/>
      <c r="Q71" s="153"/>
      <c r="R71" s="153"/>
      <c r="S71" s="153"/>
      <c r="T71" s="153"/>
      <c r="U71" s="153"/>
      <c r="V71" s="153"/>
    </row>
    <row r="72" spans="4:22" x14ac:dyDescent="0.3">
      <c r="D72" s="153"/>
      <c r="E72" s="153"/>
      <c r="F72" s="153"/>
      <c r="G72" s="153"/>
      <c r="H72" s="153"/>
      <c r="I72" s="153"/>
      <c r="J72" s="153"/>
      <c r="K72" s="153"/>
      <c r="L72" s="153"/>
      <c r="M72" s="153"/>
      <c r="N72" s="153"/>
      <c r="O72" s="153"/>
      <c r="P72" s="153"/>
      <c r="Q72" s="153"/>
      <c r="R72" s="153"/>
      <c r="S72" s="153"/>
      <c r="T72" s="153"/>
      <c r="U72" s="153"/>
      <c r="V72" s="153"/>
    </row>
    <row r="73" spans="4:22" x14ac:dyDescent="0.3">
      <c r="D73" s="153"/>
      <c r="E73" s="153"/>
      <c r="F73" s="153"/>
      <c r="G73" s="153"/>
      <c r="H73" s="153"/>
      <c r="I73" s="153"/>
      <c r="J73" s="153"/>
      <c r="K73" s="153"/>
      <c r="L73" s="153"/>
      <c r="M73" s="153"/>
      <c r="N73" s="153"/>
      <c r="O73" s="153"/>
      <c r="P73" s="153"/>
      <c r="Q73" s="153"/>
      <c r="R73" s="153"/>
      <c r="S73" s="153"/>
      <c r="T73" s="153"/>
      <c r="U73" s="153"/>
      <c r="V73" s="153"/>
    </row>
    <row r="74" spans="4:22" x14ac:dyDescent="0.3">
      <c r="D74" s="153"/>
      <c r="E74" s="153"/>
      <c r="F74" s="153"/>
      <c r="G74" s="153"/>
      <c r="H74" s="153"/>
      <c r="I74" s="153"/>
      <c r="J74" s="153"/>
      <c r="K74" s="153"/>
      <c r="L74" s="153"/>
      <c r="M74" s="153"/>
      <c r="N74" s="153"/>
      <c r="O74" s="153"/>
      <c r="P74" s="153"/>
      <c r="Q74" s="153"/>
      <c r="R74" s="153"/>
      <c r="S74" s="153"/>
      <c r="T74" s="153"/>
      <c r="U74" s="153"/>
      <c r="V74" s="153"/>
    </row>
    <row r="75" spans="4:22" x14ac:dyDescent="0.3">
      <c r="D75" s="153"/>
      <c r="E75" s="153"/>
      <c r="F75" s="153"/>
      <c r="G75" s="153"/>
      <c r="H75" s="153"/>
      <c r="I75" s="153"/>
      <c r="J75" s="153"/>
      <c r="K75" s="153"/>
      <c r="L75" s="153"/>
      <c r="M75" s="153"/>
      <c r="N75" s="153"/>
      <c r="O75" s="153"/>
      <c r="P75" s="153"/>
      <c r="Q75" s="153"/>
      <c r="R75" s="153"/>
      <c r="S75" s="153"/>
      <c r="T75" s="153"/>
      <c r="U75" s="153"/>
      <c r="V75" s="153"/>
    </row>
    <row r="76" spans="4:22" x14ac:dyDescent="0.3">
      <c r="D76" s="153"/>
      <c r="E76" s="153"/>
      <c r="F76" s="153"/>
      <c r="G76" s="153"/>
      <c r="H76" s="153"/>
      <c r="I76" s="153"/>
      <c r="J76" s="153"/>
      <c r="K76" s="153"/>
      <c r="L76" s="153"/>
      <c r="M76" s="153"/>
      <c r="N76" s="153"/>
      <c r="O76" s="153"/>
      <c r="P76" s="153"/>
      <c r="Q76" s="153"/>
      <c r="R76" s="153"/>
      <c r="S76" s="153"/>
      <c r="T76" s="153"/>
      <c r="U76" s="153"/>
      <c r="V76" s="153"/>
    </row>
    <row r="77" spans="4:22" x14ac:dyDescent="0.3">
      <c r="D77" s="153"/>
      <c r="E77" s="153"/>
      <c r="F77" s="153"/>
      <c r="G77" s="153"/>
      <c r="H77" s="153"/>
      <c r="I77" s="153"/>
      <c r="J77" s="153"/>
      <c r="K77" s="153"/>
      <c r="L77" s="153"/>
      <c r="M77" s="153"/>
      <c r="N77" s="153"/>
      <c r="O77" s="153"/>
      <c r="P77" s="153"/>
      <c r="Q77" s="153"/>
      <c r="R77" s="153"/>
      <c r="S77" s="153"/>
      <c r="T77" s="153"/>
      <c r="U77" s="153"/>
      <c r="V77" s="153"/>
    </row>
    <row r="78" spans="4:22" x14ac:dyDescent="0.3">
      <c r="D78" s="153"/>
      <c r="E78" s="153"/>
      <c r="F78" s="153"/>
      <c r="G78" s="153"/>
      <c r="H78" s="153"/>
      <c r="I78" s="153"/>
      <c r="J78" s="153"/>
      <c r="K78" s="153"/>
      <c r="L78" s="153"/>
      <c r="M78" s="153"/>
      <c r="N78" s="153"/>
      <c r="O78" s="153"/>
      <c r="P78" s="153"/>
      <c r="Q78" s="153"/>
      <c r="R78" s="153"/>
      <c r="S78" s="153"/>
      <c r="T78" s="153"/>
      <c r="U78" s="153"/>
      <c r="V78" s="153"/>
    </row>
    <row r="79" spans="4:22" x14ac:dyDescent="0.3">
      <c r="D79" s="153"/>
      <c r="E79" s="153"/>
      <c r="F79" s="153"/>
      <c r="G79" s="153"/>
      <c r="H79" s="153"/>
      <c r="I79" s="153"/>
      <c r="J79" s="153"/>
      <c r="K79" s="153"/>
      <c r="L79" s="153"/>
      <c r="M79" s="153"/>
      <c r="N79" s="153"/>
      <c r="O79" s="153"/>
      <c r="P79" s="153"/>
      <c r="Q79" s="153"/>
      <c r="R79" s="153"/>
      <c r="S79" s="153"/>
      <c r="T79" s="153"/>
      <c r="U79" s="153"/>
      <c r="V79" s="153"/>
    </row>
    <row r="80" spans="4:22" x14ac:dyDescent="0.3">
      <c r="D80" s="153"/>
      <c r="E80" s="153"/>
      <c r="F80" s="153"/>
      <c r="G80" s="153"/>
      <c r="H80" s="153"/>
      <c r="I80" s="153"/>
      <c r="J80" s="153"/>
      <c r="K80" s="153"/>
      <c r="L80" s="153"/>
      <c r="M80" s="153"/>
      <c r="N80" s="153"/>
      <c r="O80" s="153"/>
      <c r="P80" s="153"/>
      <c r="Q80" s="153"/>
      <c r="R80" s="153"/>
      <c r="S80" s="153"/>
      <c r="T80" s="153"/>
      <c r="U80" s="153"/>
      <c r="V80" s="153"/>
    </row>
    <row r="81" spans="4:22" x14ac:dyDescent="0.3">
      <c r="D81" s="153"/>
      <c r="E81" s="153"/>
      <c r="F81" s="153"/>
      <c r="G81" s="153"/>
      <c r="H81" s="153"/>
      <c r="I81" s="153"/>
      <c r="J81" s="153"/>
      <c r="K81" s="153"/>
      <c r="L81" s="153"/>
      <c r="M81" s="153"/>
      <c r="N81" s="153"/>
      <c r="O81" s="153"/>
      <c r="P81" s="153"/>
      <c r="Q81" s="153"/>
      <c r="R81" s="153"/>
      <c r="S81" s="153"/>
      <c r="T81" s="153"/>
      <c r="U81" s="153"/>
      <c r="V81" s="153"/>
    </row>
    <row r="82" spans="4:22" x14ac:dyDescent="0.3">
      <c r="D82" s="153"/>
      <c r="E82" s="153"/>
      <c r="F82" s="153"/>
      <c r="G82" s="153"/>
      <c r="H82" s="153"/>
      <c r="I82" s="153"/>
      <c r="J82" s="153"/>
      <c r="K82" s="153"/>
      <c r="L82" s="153"/>
      <c r="M82" s="153"/>
      <c r="N82" s="153"/>
      <c r="O82" s="153"/>
      <c r="P82" s="153"/>
      <c r="Q82" s="153"/>
      <c r="R82" s="153"/>
      <c r="S82" s="153"/>
      <c r="T82" s="153"/>
      <c r="U82" s="153"/>
      <c r="V82" s="153"/>
    </row>
    <row r="83" spans="4:22" x14ac:dyDescent="0.3">
      <c r="D83" s="153"/>
      <c r="E83" s="153"/>
      <c r="F83" s="153"/>
      <c r="G83" s="153"/>
      <c r="H83" s="153"/>
      <c r="I83" s="153"/>
      <c r="J83" s="153"/>
      <c r="K83" s="153"/>
      <c r="L83" s="153"/>
      <c r="M83" s="153"/>
      <c r="N83" s="153"/>
      <c r="O83" s="153"/>
      <c r="P83" s="153"/>
      <c r="Q83" s="153"/>
      <c r="R83" s="153"/>
      <c r="S83" s="153"/>
      <c r="T83" s="153"/>
      <c r="U83" s="153"/>
      <c r="V83" s="153"/>
    </row>
    <row r="84" spans="4:22" x14ac:dyDescent="0.3">
      <c r="D84" s="153"/>
      <c r="E84" s="153"/>
      <c r="F84" s="153"/>
      <c r="G84" s="153"/>
      <c r="H84" s="153"/>
      <c r="I84" s="153"/>
      <c r="J84" s="153"/>
      <c r="K84" s="153"/>
      <c r="L84" s="153"/>
      <c r="M84" s="153"/>
      <c r="N84" s="153"/>
      <c r="O84" s="153"/>
      <c r="P84" s="153"/>
      <c r="Q84" s="153"/>
      <c r="R84" s="153"/>
      <c r="S84" s="153"/>
      <c r="T84" s="153"/>
      <c r="U84" s="153"/>
      <c r="V84" s="153"/>
    </row>
    <row r="85" spans="4:22" x14ac:dyDescent="0.3">
      <c r="D85" s="153"/>
      <c r="E85" s="153"/>
      <c r="F85" s="153"/>
      <c r="G85" s="153"/>
      <c r="H85" s="153"/>
      <c r="I85" s="153"/>
      <c r="J85" s="153"/>
      <c r="K85" s="153"/>
      <c r="L85" s="153"/>
      <c r="M85" s="153"/>
      <c r="N85" s="153"/>
      <c r="O85" s="153"/>
      <c r="P85" s="153"/>
      <c r="Q85" s="153"/>
      <c r="R85" s="153"/>
      <c r="S85" s="153"/>
      <c r="T85" s="153"/>
      <c r="U85" s="153"/>
      <c r="V85" s="153"/>
    </row>
    <row r="86" spans="4:22" x14ac:dyDescent="0.3">
      <c r="D86" s="153"/>
      <c r="E86" s="153"/>
      <c r="F86" s="153"/>
      <c r="G86" s="153"/>
      <c r="H86" s="153"/>
      <c r="I86" s="153"/>
      <c r="J86" s="153"/>
      <c r="K86" s="153"/>
      <c r="L86" s="153"/>
      <c r="M86" s="153"/>
      <c r="N86" s="153"/>
      <c r="O86" s="153"/>
      <c r="P86" s="153"/>
      <c r="Q86" s="153"/>
      <c r="R86" s="153"/>
      <c r="S86" s="153"/>
      <c r="T86" s="153"/>
      <c r="U86" s="153"/>
      <c r="V86" s="153"/>
    </row>
    <row r="87" spans="4:22" x14ac:dyDescent="0.3">
      <c r="D87" s="153"/>
      <c r="E87" s="153"/>
      <c r="F87" s="153"/>
      <c r="G87" s="153"/>
      <c r="H87" s="153"/>
      <c r="I87" s="153"/>
      <c r="J87" s="153"/>
      <c r="K87" s="153"/>
      <c r="L87" s="153"/>
      <c r="M87" s="153"/>
      <c r="N87" s="153"/>
      <c r="O87" s="153"/>
      <c r="P87" s="153"/>
      <c r="Q87" s="153"/>
      <c r="R87" s="153"/>
      <c r="S87" s="153"/>
      <c r="T87" s="153"/>
      <c r="U87" s="153"/>
      <c r="V87" s="153"/>
    </row>
    <row r="88" spans="4:22" x14ac:dyDescent="0.3">
      <c r="D88" s="153"/>
      <c r="E88" s="153"/>
      <c r="F88" s="153"/>
      <c r="G88" s="153"/>
      <c r="H88" s="153"/>
      <c r="I88" s="153"/>
      <c r="J88" s="153"/>
      <c r="K88" s="153"/>
      <c r="L88" s="153"/>
      <c r="M88" s="153"/>
      <c r="N88" s="153"/>
      <c r="O88" s="153"/>
      <c r="P88" s="153"/>
      <c r="Q88" s="153"/>
      <c r="R88" s="153"/>
      <c r="S88" s="153"/>
      <c r="T88" s="153"/>
      <c r="U88" s="153"/>
      <c r="V88" s="153"/>
    </row>
    <row r="89" spans="4:22" x14ac:dyDescent="0.3">
      <c r="D89" s="153"/>
      <c r="E89" s="153"/>
      <c r="F89" s="153"/>
      <c r="G89" s="153"/>
      <c r="H89" s="153"/>
      <c r="I89" s="153"/>
      <c r="J89" s="153"/>
      <c r="K89" s="153"/>
      <c r="L89" s="153"/>
      <c r="M89" s="153"/>
      <c r="N89" s="153"/>
      <c r="O89" s="153"/>
      <c r="P89" s="153"/>
      <c r="Q89" s="153"/>
      <c r="R89" s="153"/>
      <c r="S89" s="153"/>
      <c r="T89" s="153"/>
      <c r="U89" s="153"/>
      <c r="V89" s="153"/>
    </row>
    <row r="90" spans="4:22" x14ac:dyDescent="0.3">
      <c r="D90" s="153"/>
      <c r="E90" s="153"/>
      <c r="F90" s="153"/>
      <c r="G90" s="153"/>
      <c r="H90" s="153"/>
      <c r="I90" s="153"/>
      <c r="J90" s="153"/>
      <c r="K90" s="153"/>
      <c r="L90" s="153"/>
      <c r="M90" s="153"/>
      <c r="N90" s="153"/>
      <c r="O90" s="153"/>
      <c r="P90" s="153"/>
      <c r="Q90" s="153"/>
      <c r="R90" s="153"/>
      <c r="S90" s="153"/>
      <c r="T90" s="153"/>
      <c r="U90" s="153"/>
      <c r="V90" s="153"/>
    </row>
    <row r="91" spans="4:22" x14ac:dyDescent="0.3">
      <c r="D91" s="153"/>
      <c r="E91" s="153"/>
      <c r="F91" s="153"/>
      <c r="G91" s="153"/>
      <c r="H91" s="153"/>
      <c r="I91" s="153"/>
      <c r="J91" s="153"/>
      <c r="K91" s="153"/>
      <c r="L91" s="153"/>
      <c r="M91" s="153"/>
      <c r="N91" s="153"/>
      <c r="O91" s="153"/>
      <c r="P91" s="153"/>
      <c r="Q91" s="153"/>
      <c r="R91" s="153"/>
      <c r="S91" s="153"/>
      <c r="T91" s="153"/>
      <c r="U91" s="153"/>
      <c r="V91" s="153"/>
    </row>
    <row r="92" spans="4:22" x14ac:dyDescent="0.3">
      <c r="D92" s="153"/>
      <c r="E92" s="153"/>
      <c r="F92" s="153"/>
      <c r="G92" s="153"/>
      <c r="H92" s="153"/>
      <c r="I92" s="153"/>
      <c r="J92" s="153"/>
      <c r="K92" s="153"/>
      <c r="L92" s="153"/>
      <c r="M92" s="153"/>
      <c r="N92" s="153"/>
      <c r="O92" s="153"/>
      <c r="P92" s="153"/>
      <c r="Q92" s="153"/>
      <c r="R92" s="153"/>
      <c r="S92" s="153"/>
      <c r="T92" s="153"/>
      <c r="U92" s="153"/>
      <c r="V92" s="153"/>
    </row>
  </sheetData>
  <mergeCells count="1">
    <mergeCell ref="D7:V9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A9A6EF-3BBE-4717-8C70-5BAB66E08842}"/>
</file>

<file path=customXml/itemProps2.xml><?xml version="1.0" encoding="utf-8"?>
<ds:datastoreItem xmlns:ds="http://schemas.openxmlformats.org/officeDocument/2006/customXml" ds:itemID="{A3DE4C08-6C9F-49BA-B08D-FF33889ABEFB}"/>
</file>

<file path=customXml/itemProps3.xml><?xml version="1.0" encoding="utf-8"?>
<ds:datastoreItem xmlns:ds="http://schemas.openxmlformats.org/officeDocument/2006/customXml" ds:itemID="{0DE8F1BE-3428-4A53-B2C6-41EED10AC4E7}"/>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vt:lpstr>
      <vt:lpstr>Q! LO 1a Allen Ch 3</vt:lpstr>
      <vt:lpstr>A1</vt:lpstr>
      <vt:lpstr>Q3 LO 2a 2d McGill Ch 9</vt:lpstr>
      <vt:lpstr>A3</vt:lpstr>
      <vt:lpstr>Q4 LO 1b RET101-101-25</vt:lpstr>
      <vt:lpstr>A4</vt:lpstr>
      <vt:lpstr>Q5 LO 1c RET101-107-25</vt:lpstr>
      <vt:lpstr>A5</vt:lpstr>
      <vt:lpstr>Q6 LO 2b RET101-111-25</vt:lpstr>
      <vt:lpstr>A6</vt:lpstr>
      <vt:lpstr>Q8 LO 4a-4n Morneau Shep Ch 14</vt:lpstr>
      <vt:lpstr>A8</vt:lpstr>
      <vt:lpstr>Q9 LO 4a-4n RET101-115-25</vt:lpstr>
      <vt:lpstr>A9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2025-06-27T03:13:27Z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