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docProps/app.xml" ContentType="application/vnd.openxmlformats-officedocument.extended-properties+xml"/>
  <Override PartName="/xl/metadata.xml" ContentType="application/vnd.openxmlformats-officedocument.spreadsheetml.sheetMetadata+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76" documentId="11_F25DC773A252ABDACC1048E089DE79AE5ADE58ED" xr6:coauthVersionLast="47" xr6:coauthVersionMax="47" xr10:uidLastSave="{1CD8E986-8F79-417F-A455-BB9273CE972A}"/>
  <bookViews>
    <workbookView xWindow="28680" yWindow="-120" windowWidth="38640" windowHeight="21120" xr2:uid="{00000000-000D-0000-FFFF-FFFF00000000}"/>
  </bookViews>
  <sheets>
    <sheet name="Cover " sheetId="19" r:id="rId1"/>
    <sheet name="Q US GAAP Ch 4 1b" sheetId="3" r:id="rId2"/>
    <sheet name="A US GAAP Ch 4 1b" sheetId="4" r:id="rId3"/>
    <sheet name="Q US GAAP Ch 5 1b" sheetId="5" r:id="rId4"/>
    <sheet name="A US GAAP Ch 5 1b" sheetId="6" r:id="rId5"/>
    <sheet name="Q US GAAP Ch 11 1b" sheetId="7" r:id="rId6"/>
    <sheet name="A US GAAP Ch 11 1b" sheetId="8" r:id="rId7"/>
    <sheet name="Q US GAAP Ch 12 1b" sheetId="9" r:id="rId8"/>
    <sheet name="A US GAAP Ch 12 1b" sheetId="10" r:id="rId9"/>
    <sheet name="Q1 ILA 201-102-25 4c" sheetId="11" r:id="rId10"/>
    <sheet name="A1 ILA 201-102-25 4c" sheetId="12" r:id="rId11"/>
    <sheet name="Q2 ILA 201-102-25 4c" sheetId="13" r:id="rId12"/>
    <sheet name="A2 ILA 201-102-25 4c" sheetId="14" r:id="rId13"/>
    <sheet name="Q ILA201-100-25 3a" sheetId="17" r:id="rId14"/>
    <sheet name="A ILA201-100-25 3a" sheetId="18" r:id="rId15"/>
  </sheets>
  <externalReferences>
    <externalReference r:id="rId16"/>
    <externalReference r:id="rId17"/>
  </externalReferences>
  <definedNames>
    <definedName name="Allocations">#REF!</definedName>
    <definedName name="Non_Fac">'[1]User Input'!$C$74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6" i="18" l="1"/>
  <c r="F117" i="18" s="1"/>
  <c r="B115" i="18"/>
  <c r="B116" i="18" s="1"/>
  <c r="B117" i="18" s="1"/>
  <c r="B118" i="18" s="1"/>
  <c r="B119" i="18" s="1"/>
  <c r="B120" i="18" s="1"/>
  <c r="B121" i="18" s="1"/>
  <c r="B122" i="18" s="1"/>
  <c r="B123" i="18" s="1"/>
  <c r="B124" i="18" s="1"/>
  <c r="B125" i="18" s="1"/>
  <c r="B126" i="18" s="1"/>
  <c r="B127" i="18" s="1"/>
  <c r="B128" i="18" s="1"/>
  <c r="B129" i="18" s="1"/>
  <c r="C109" i="18" a="1"/>
  <c r="C109" i="18" s="1"/>
  <c r="D115" i="18" s="1"/>
  <c r="K115" i="18" s="1"/>
  <c r="C108" i="18" a="1"/>
  <c r="C108" i="18" s="1"/>
  <c r="C107" i="18" a="1"/>
  <c r="C107" i="18" s="1"/>
  <c r="E115" i="18" s="1"/>
  <c r="G106" i="18"/>
  <c r="G100" i="18"/>
  <c r="G99" i="18"/>
  <c r="B93" i="18"/>
  <c r="B92" i="18"/>
  <c r="B91" i="18"/>
  <c r="D88" i="18"/>
  <c r="C88" i="18"/>
  <c r="C87" i="18"/>
  <c r="G68" i="18"/>
  <c r="F68" i="18"/>
  <c r="F69" i="18" s="1"/>
  <c r="F70" i="18" s="1"/>
  <c r="F71" i="18" s="1"/>
  <c r="F72" i="18" s="1"/>
  <c r="F73" i="18" s="1"/>
  <c r="F74" i="18" s="1"/>
  <c r="F75" i="18" s="1"/>
  <c r="F76" i="18" s="1"/>
  <c r="F77" i="18" s="1"/>
  <c r="F78" i="18" s="1"/>
  <c r="F79" i="18" s="1"/>
  <c r="F80" i="18" s="1"/>
  <c r="J67" i="18"/>
  <c r="J68" i="18" s="1"/>
  <c r="G67" i="18"/>
  <c r="F67" i="18"/>
  <c r="P66" i="18"/>
  <c r="O66" i="18"/>
  <c r="K66" i="18"/>
  <c r="J66" i="18"/>
  <c r="B66" i="18"/>
  <c r="B67" i="18" s="1"/>
  <c r="B68" i="18" s="1"/>
  <c r="B69" i="18" s="1"/>
  <c r="B70" i="18" s="1"/>
  <c r="B71" i="18" s="1"/>
  <c r="B72" i="18" s="1"/>
  <c r="B73" i="18" s="1"/>
  <c r="B74" i="18" s="1"/>
  <c r="B75" i="18" s="1"/>
  <c r="B76" i="18" s="1"/>
  <c r="B77" i="18" s="1"/>
  <c r="B78" i="18" s="1"/>
  <c r="B79" i="18" s="1"/>
  <c r="B80" i="18" s="1"/>
  <c r="E60" i="18"/>
  <c r="E66" i="18" s="1"/>
  <c r="N66" i="18" s="1"/>
  <c r="D60" i="18"/>
  <c r="D66" i="18" s="1"/>
  <c r="D55" i="18"/>
  <c r="C55" i="18"/>
  <c r="G45" i="18"/>
  <c r="E45" i="18"/>
  <c r="E46" i="18" s="1"/>
  <c r="E47" i="18" s="1"/>
  <c r="E48" i="18" s="1"/>
  <c r="E49" i="18" s="1"/>
  <c r="E50" i="18" s="1"/>
  <c r="E51" i="18" s="1"/>
  <c r="E52" i="18" s="1"/>
  <c r="E53" i="18" s="1"/>
  <c r="E54" i="18" s="1"/>
  <c r="E55" i="18" s="1"/>
  <c r="E56" i="18" s="1"/>
  <c r="E57" i="18" s="1"/>
  <c r="O44" i="18"/>
  <c r="J44" i="18"/>
  <c r="G44" i="18"/>
  <c r="F44" i="18"/>
  <c r="F45" i="18" s="1"/>
  <c r="E44" i="18"/>
  <c r="Q43" i="18"/>
  <c r="O43" i="18"/>
  <c r="L43" i="18"/>
  <c r="J43" i="18"/>
  <c r="B43" i="18"/>
  <c r="B44" i="18" s="1"/>
  <c r="B45" i="18" s="1"/>
  <c r="B46" i="18" s="1"/>
  <c r="B47" i="18" s="1"/>
  <c r="B48" i="18" s="1"/>
  <c r="B49" i="18" s="1"/>
  <c r="B50" i="18" s="1"/>
  <c r="B51" i="18" s="1"/>
  <c r="B52" i="18" s="1"/>
  <c r="B53" i="18" s="1"/>
  <c r="B54" i="18" s="1"/>
  <c r="B55" i="18" s="1"/>
  <c r="B56" i="18" s="1"/>
  <c r="B57" i="18" s="1"/>
  <c r="E37" i="18"/>
  <c r="D56" i="18" s="1"/>
  <c r="D37" i="18"/>
  <c r="C56" i="18" s="1"/>
  <c r="D29" i="18"/>
  <c r="D30" i="18" s="1"/>
  <c r="D31" i="18" s="1"/>
  <c r="D32" i="18" s="1"/>
  <c r="D33" i="18" s="1"/>
  <c r="D34" i="18" s="1"/>
  <c r="G21" i="18"/>
  <c r="G22" i="18" s="1"/>
  <c r="D21" i="18"/>
  <c r="D22" i="18" s="1"/>
  <c r="D23" i="18" s="1"/>
  <c r="D24" i="18" s="1"/>
  <c r="D25" i="18" s="1"/>
  <c r="D26" i="18" s="1"/>
  <c r="D27" i="18" s="1"/>
  <c r="D28" i="18" s="1"/>
  <c r="M20" i="18"/>
  <c r="L20" i="18"/>
  <c r="I20" i="18"/>
  <c r="M21" i="18" s="1"/>
  <c r="E20" i="18"/>
  <c r="B20" i="18"/>
  <c r="B21" i="18" s="1"/>
  <c r="B22" i="18" s="1"/>
  <c r="B23" i="18" s="1"/>
  <c r="B24" i="18" s="1"/>
  <c r="B25" i="18" s="1"/>
  <c r="B26" i="18" s="1"/>
  <c r="B27" i="18" s="1"/>
  <c r="B28" i="18" s="1"/>
  <c r="B29" i="18" s="1"/>
  <c r="B30" i="18" s="1"/>
  <c r="B31" i="18" s="1"/>
  <c r="B32" i="18" s="1"/>
  <c r="B33" i="18" s="1"/>
  <c r="B34" i="18" s="1"/>
  <c r="E14" i="18"/>
  <c r="F20" i="18" s="1"/>
  <c r="D14" i="18"/>
  <c r="C14" i="18"/>
  <c r="B49" i="17"/>
  <c r="B50" i="17" s="1"/>
  <c r="B51" i="17" s="1"/>
  <c r="B52" i="17" s="1"/>
  <c r="B53" i="17" s="1"/>
  <c r="B54" i="17" s="1"/>
  <c r="B55" i="17" s="1"/>
  <c r="B56" i="17" s="1"/>
  <c r="B57" i="17" s="1"/>
  <c r="B58" i="17" s="1"/>
  <c r="B59" i="17" s="1"/>
  <c r="B60" i="17" s="1"/>
  <c r="B61" i="17" s="1"/>
  <c r="B62" i="17" s="1"/>
  <c r="B63" i="17" s="1"/>
  <c r="B64" i="17" s="1"/>
  <c r="B65" i="17" s="1"/>
  <c r="B66" i="17" s="1"/>
  <c r="B67" i="17" s="1"/>
  <c r="B68" i="17" s="1"/>
  <c r="B69" i="17" s="1"/>
  <c r="B70" i="17" s="1"/>
  <c r="B71" i="17" s="1"/>
  <c r="B72" i="17" s="1"/>
  <c r="B73" i="17" s="1"/>
  <c r="B74" i="17" s="1"/>
  <c r="B75" i="17" s="1"/>
  <c r="B76" i="17" s="1"/>
  <c r="B77" i="17" s="1"/>
  <c r="B78" i="17" s="1"/>
  <c r="B79" i="17" s="1"/>
  <c r="B80" i="17" s="1"/>
  <c r="B81" i="17" s="1"/>
  <c r="B82" i="17" s="1"/>
  <c r="B83" i="17" s="1"/>
  <c r="B84" i="17" s="1"/>
  <c r="B85" i="17" s="1"/>
  <c r="B86" i="17" s="1"/>
  <c r="B87" i="17" s="1"/>
  <c r="B88" i="17" s="1"/>
  <c r="B89" i="17" s="1"/>
  <c r="B90" i="17" s="1"/>
  <c r="B91" i="17" s="1"/>
  <c r="B92" i="17" s="1"/>
  <c r="B93" i="17" s="1"/>
  <c r="B94" i="17" s="1"/>
  <c r="B95" i="17" s="1"/>
  <c r="B96" i="17" s="1"/>
  <c r="B97" i="17" s="1"/>
  <c r="B98" i="17" s="1"/>
  <c r="B99" i="17" s="1"/>
  <c r="B100" i="17" s="1"/>
  <c r="B101" i="17" s="1"/>
  <c r="B102" i="17" s="1"/>
  <c r="B103" i="17" s="1"/>
  <c r="B104" i="17" s="1"/>
  <c r="B105" i="17" s="1"/>
  <c r="B106" i="17" s="1"/>
  <c r="B107" i="17" s="1"/>
  <c r="B108" i="17" s="1"/>
  <c r="B109" i="17" s="1"/>
  <c r="B110" i="17" s="1"/>
  <c r="B111" i="17" s="1"/>
  <c r="B112" i="17" s="1"/>
  <c r="B113" i="17" s="1"/>
  <c r="B114" i="17" s="1"/>
  <c r="B115" i="17" s="1"/>
  <c r="B116" i="17" s="1"/>
  <c r="B117" i="17" s="1"/>
  <c r="B118" i="17" s="1"/>
  <c r="B119" i="17" s="1"/>
  <c r="B120" i="17" s="1"/>
  <c r="B121" i="17" s="1"/>
  <c r="B122" i="17" s="1"/>
  <c r="B123" i="17" s="1"/>
  <c r="B124" i="17" s="1"/>
  <c r="B125" i="17" s="1"/>
  <c r="B126" i="17" s="1"/>
  <c r="B127" i="17" s="1"/>
  <c r="B128" i="17" s="1"/>
  <c r="B129" i="17" s="1"/>
  <c r="B130" i="17" s="1"/>
  <c r="B131" i="17" s="1"/>
  <c r="B132" i="17" s="1"/>
  <c r="B133" i="17" s="1"/>
  <c r="B134" i="17" s="1"/>
  <c r="B135" i="17" s="1"/>
  <c r="B136" i="17" s="1"/>
  <c r="B137" i="17" s="1"/>
  <c r="B138" i="17" s="1"/>
  <c r="B139" i="17" s="1"/>
  <c r="B140" i="17" s="1"/>
  <c r="B141" i="17" s="1"/>
  <c r="B142" i="17" s="1"/>
  <c r="B143" i="17" s="1"/>
  <c r="B144" i="17" s="1"/>
  <c r="B145" i="17" s="1"/>
  <c r="B146" i="17" s="1"/>
  <c r="B147" i="17" s="1"/>
  <c r="B148" i="17" s="1"/>
  <c r="B149" i="17" s="1"/>
  <c r="B150" i="17" s="1"/>
  <c r="B151" i="17" s="1"/>
  <c r="B152" i="17" s="1"/>
  <c r="B153" i="17" s="1"/>
  <c r="B154" i="17" s="1"/>
  <c r="B155" i="17" s="1"/>
  <c r="B156" i="17" s="1"/>
  <c r="B157" i="17" s="1"/>
  <c r="B158" i="17" s="1"/>
  <c r="B159" i="17" s="1"/>
  <c r="B160" i="17" s="1"/>
  <c r="B161" i="17" s="1"/>
  <c r="B162" i="17" s="1"/>
  <c r="B163" i="17" s="1"/>
  <c r="B164" i="17" s="1"/>
  <c r="B165" i="17" s="1"/>
  <c r="B166" i="17" s="1"/>
  <c r="B167" i="17" s="1"/>
  <c r="B168" i="17" s="1"/>
  <c r="B169" i="17" s="1"/>
  <c r="B170" i="17" s="1"/>
  <c r="B171" i="17" s="1"/>
  <c r="B172" i="17" s="1"/>
  <c r="B173" i="17" s="1"/>
  <c r="B174" i="17" s="1"/>
  <c r="B175" i="17" s="1"/>
  <c r="B176" i="17" s="1"/>
  <c r="B177" i="17" s="1"/>
  <c r="B178" i="17" s="1"/>
  <c r="B179" i="17" s="1"/>
  <c r="B180" i="17" s="1"/>
  <c r="B181" i="17" s="1"/>
  <c r="B182" i="17" s="1"/>
  <c r="B183" i="17" s="1"/>
  <c r="B184" i="17" s="1"/>
  <c r="B185" i="17" s="1"/>
  <c r="B186" i="17" s="1"/>
  <c r="B187" i="17" s="1"/>
  <c r="B188" i="17" s="1"/>
  <c r="B189" i="17" s="1"/>
  <c r="B190" i="17" s="1"/>
  <c r="B191" i="17" s="1"/>
  <c r="B192" i="17" s="1"/>
  <c r="B193" i="17" s="1"/>
  <c r="B194" i="17" s="1"/>
  <c r="B195" i="17" s="1"/>
  <c r="B196" i="17" s="1"/>
  <c r="B197" i="17" s="1"/>
  <c r="B198" i="17" s="1"/>
  <c r="B199" i="17" s="1"/>
  <c r="B200" i="17" s="1"/>
  <c r="B201" i="17" s="1"/>
  <c r="B202" i="17" s="1"/>
  <c r="B203" i="17" s="1"/>
  <c r="B204" i="17" s="1"/>
  <c r="B205" i="17" s="1"/>
  <c r="B206" i="17" s="1"/>
  <c r="B207" i="17" s="1"/>
  <c r="B208" i="17" s="1"/>
  <c r="B209" i="17" s="1"/>
  <c r="B210" i="17" s="1"/>
  <c r="B211" i="17" s="1"/>
  <c r="B212" i="17" s="1"/>
  <c r="B213" i="17" s="1"/>
  <c r="B214" i="17" s="1"/>
  <c r="B215" i="17" s="1"/>
  <c r="B216" i="17" s="1"/>
  <c r="B217" i="17" s="1"/>
  <c r="B218" i="17" s="1"/>
  <c r="B219" i="17" s="1"/>
  <c r="B220" i="17" s="1"/>
  <c r="B221" i="17" s="1"/>
  <c r="B222" i="17" s="1"/>
  <c r="B223" i="17" s="1"/>
  <c r="B224" i="17" s="1"/>
  <c r="B225" i="17" s="1"/>
  <c r="B226" i="17" s="1"/>
  <c r="B227" i="17" s="1"/>
  <c r="B228" i="17" s="1"/>
  <c r="B229" i="17" s="1"/>
  <c r="B230" i="17" s="1"/>
  <c r="B231" i="17" s="1"/>
  <c r="B232" i="17" s="1"/>
  <c r="B233" i="17" s="1"/>
  <c r="B234" i="17" s="1"/>
  <c r="B235" i="17" s="1"/>
  <c r="B236" i="17" s="1"/>
  <c r="B237" i="17" s="1"/>
  <c r="B238" i="17" s="1"/>
  <c r="B239" i="17" s="1"/>
  <c r="B240" i="17" s="1"/>
  <c r="B241" i="17" s="1"/>
  <c r="B242" i="17" s="1"/>
  <c r="B243" i="17" s="1"/>
  <c r="B244" i="17" s="1"/>
  <c r="B245" i="17" s="1"/>
  <c r="B246" i="17" s="1"/>
  <c r="B247" i="17" s="1"/>
  <c r="B248" i="17" s="1"/>
  <c r="B249" i="17" s="1"/>
  <c r="B250" i="17" s="1"/>
  <c r="B251" i="17" s="1"/>
  <c r="B252" i="17" s="1"/>
  <c r="B253" i="17" s="1"/>
  <c r="B254" i="17" s="1"/>
  <c r="B255" i="17" s="1"/>
  <c r="B256" i="17" s="1"/>
  <c r="B257" i="17" s="1"/>
  <c r="B258" i="17" s="1"/>
  <c r="B259" i="17" s="1"/>
  <c r="B260" i="17" s="1"/>
  <c r="B261" i="17" s="1"/>
  <c r="B262" i="17" s="1"/>
  <c r="B263" i="17" s="1"/>
  <c r="B264" i="17" s="1"/>
  <c r="B265" i="17" s="1"/>
  <c r="B266" i="17" s="1"/>
  <c r="B267" i="17" s="1"/>
  <c r="B268" i="17" s="1"/>
  <c r="B269" i="17" s="1"/>
  <c r="B270" i="17" s="1"/>
  <c r="B271" i="17" s="1"/>
  <c r="B272" i="17" s="1"/>
  <c r="B273" i="17" s="1"/>
  <c r="B274" i="17" s="1"/>
  <c r="B275" i="17" s="1"/>
  <c r="B276" i="17" s="1"/>
  <c r="B277" i="17" s="1"/>
  <c r="B278" i="17" s="1"/>
  <c r="B279" i="17" s="1"/>
  <c r="B280" i="17" s="1"/>
  <c r="B281" i="17" s="1"/>
  <c r="B282" i="17" s="1"/>
  <c r="B283" i="17" s="1"/>
  <c r="B284" i="17" s="1"/>
  <c r="B285" i="17" s="1"/>
  <c r="B286" i="17" s="1"/>
  <c r="B287" i="17" s="1"/>
  <c r="B288" i="17" s="1"/>
  <c r="B289" i="17" s="1"/>
  <c r="B290" i="17" s="1"/>
  <c r="B291" i="17" s="1"/>
  <c r="B292" i="17" s="1"/>
  <c r="B293" i="17" s="1"/>
  <c r="B294" i="17" s="1"/>
  <c r="B295" i="17" s="1"/>
  <c r="B296" i="17" s="1"/>
  <c r="B297" i="17" s="1"/>
  <c r="B298" i="17" s="1"/>
  <c r="B299" i="17" s="1"/>
  <c r="B300" i="17" s="1"/>
  <c r="B301" i="17" s="1"/>
  <c r="B302" i="17" s="1"/>
  <c r="B303" i="17" s="1"/>
  <c r="B304" i="17" s="1"/>
  <c r="B305" i="17" s="1"/>
  <c r="B306" i="17" s="1"/>
  <c r="B307" i="17" s="1"/>
  <c r="B308" i="17" s="1"/>
  <c r="B309" i="17" s="1"/>
  <c r="B310" i="17" s="1"/>
  <c r="B311" i="17" s="1"/>
  <c r="B312" i="17" s="1"/>
  <c r="B313" i="17" s="1"/>
  <c r="B314" i="17" s="1"/>
  <c r="B315" i="17" s="1"/>
  <c r="B316" i="17" s="1"/>
  <c r="B317" i="17" s="1"/>
  <c r="B318" i="17" s="1"/>
  <c r="B319" i="17" s="1"/>
  <c r="B320" i="17" s="1"/>
  <c r="B321" i="17" s="1"/>
  <c r="B322" i="17" s="1"/>
  <c r="B323" i="17" s="1"/>
  <c r="B324" i="17" s="1"/>
  <c r="B325" i="17" s="1"/>
  <c r="B326" i="17" s="1"/>
  <c r="B327" i="17" s="1"/>
  <c r="B328" i="17" s="1"/>
  <c r="B329" i="17" s="1"/>
  <c r="B330" i="17" s="1"/>
  <c r="B331" i="17" s="1"/>
  <c r="B332" i="17" s="1"/>
  <c r="B333" i="17" s="1"/>
  <c r="B334" i="17" s="1"/>
  <c r="B335" i="17" s="1"/>
  <c r="B336" i="17" s="1"/>
  <c r="B337" i="17" s="1"/>
  <c r="B338" i="17" s="1"/>
  <c r="B339" i="17" s="1"/>
  <c r="B340" i="17" s="1"/>
  <c r="B341" i="17" s="1"/>
  <c r="B342" i="17" s="1"/>
  <c r="B343" i="17" s="1"/>
  <c r="B344" i="17" s="1"/>
  <c r="B345" i="17" s="1"/>
  <c r="B346" i="17" s="1"/>
  <c r="B347" i="17" s="1"/>
  <c r="B348" i="17" s="1"/>
  <c r="B349" i="17" s="1"/>
  <c r="B350" i="17" s="1"/>
  <c r="B351" i="17" s="1"/>
  <c r="B352" i="17" s="1"/>
  <c r="B353" i="17" s="1"/>
  <c r="B354" i="17" s="1"/>
  <c r="B355" i="17" s="1"/>
  <c r="B356" i="17" s="1"/>
  <c r="B357" i="17" s="1"/>
  <c r="B358" i="17" s="1"/>
  <c r="B359" i="17" s="1"/>
  <c r="B360" i="17" s="1"/>
  <c r="B361" i="17" s="1"/>
  <c r="B362" i="17" s="1"/>
  <c r="B363" i="17" s="1"/>
  <c r="B364" i="17" s="1"/>
  <c r="B365" i="17" s="1"/>
  <c r="B366" i="17" s="1"/>
  <c r="B367" i="17" s="1"/>
  <c r="B368" i="17" s="1"/>
  <c r="B369" i="17" s="1"/>
  <c r="B370" i="17" s="1"/>
  <c r="B371" i="17" s="1"/>
  <c r="B372" i="17" s="1"/>
  <c r="B373" i="17" s="1"/>
  <c r="B374" i="17" s="1"/>
  <c r="B375" i="17" s="1"/>
  <c r="B376" i="17" s="1"/>
  <c r="B377" i="17" s="1"/>
  <c r="B378" i="17" s="1"/>
  <c r="B379" i="17" s="1"/>
  <c r="B380" i="17" s="1"/>
  <c r="B381" i="17" s="1"/>
  <c r="B382" i="17" s="1"/>
  <c r="B383" i="17" s="1"/>
  <c r="B384" i="17" s="1"/>
  <c r="B385" i="17" s="1"/>
  <c r="B386" i="17" s="1"/>
  <c r="B387" i="17" s="1"/>
  <c r="B388" i="17" s="1"/>
  <c r="B389" i="17" s="1"/>
  <c r="B390" i="17" s="1"/>
  <c r="B391" i="17" s="1"/>
  <c r="B392" i="17" s="1"/>
  <c r="B393" i="17" s="1"/>
  <c r="B394" i="17" s="1"/>
  <c r="B395" i="17" s="1"/>
  <c r="B396" i="17" s="1"/>
  <c r="B397" i="17" s="1"/>
  <c r="B398" i="17" s="1"/>
  <c r="B399" i="17" s="1"/>
  <c r="B400" i="17" s="1"/>
  <c r="B401" i="17" s="1"/>
  <c r="B402" i="17" s="1"/>
  <c r="B403" i="17" s="1"/>
  <c r="B404" i="17" s="1"/>
  <c r="B405" i="17" s="1"/>
  <c r="B406" i="17" s="1"/>
  <c r="B407" i="17" s="1"/>
  <c r="B408" i="17" s="1"/>
  <c r="B409" i="17" s="1"/>
  <c r="B410" i="17" s="1"/>
  <c r="B411" i="17" s="1"/>
  <c r="B412" i="17" s="1"/>
  <c r="B413" i="17" s="1"/>
  <c r="B414" i="17" s="1"/>
  <c r="B415" i="17" s="1"/>
  <c r="B416" i="17" s="1"/>
  <c r="B417" i="17" s="1"/>
  <c r="B418" i="17" s="1"/>
  <c r="B419" i="17" s="1"/>
  <c r="B420" i="17" s="1"/>
  <c r="B421" i="17" s="1"/>
  <c r="B422" i="17" s="1"/>
  <c r="B423" i="17" s="1"/>
  <c r="B424" i="17" s="1"/>
  <c r="B425" i="17" s="1"/>
  <c r="B426" i="17" s="1"/>
  <c r="B427" i="17" s="1"/>
  <c r="B428" i="17" s="1"/>
  <c r="B429" i="17" s="1"/>
  <c r="B430" i="17" s="1"/>
  <c r="B431" i="17" s="1"/>
  <c r="B432" i="17" s="1"/>
  <c r="B433" i="17" s="1"/>
  <c r="B434" i="17" s="1"/>
  <c r="B435" i="17" s="1"/>
  <c r="B436" i="17" s="1"/>
  <c r="B437" i="17" s="1"/>
  <c r="B438" i="17" s="1"/>
  <c r="B439" i="17" s="1"/>
  <c r="B440" i="17" s="1"/>
  <c r="B441" i="17" s="1"/>
  <c r="B442" i="17" s="1"/>
  <c r="B443" i="17" s="1"/>
  <c r="B444" i="17" s="1"/>
  <c r="B445" i="17" s="1"/>
  <c r="B446" i="17" s="1"/>
  <c r="B447" i="17" s="1"/>
  <c r="B448" i="17" s="1"/>
  <c r="B449" i="17" s="1"/>
  <c r="B450" i="17" s="1"/>
  <c r="B451" i="17" s="1"/>
  <c r="B452" i="17" s="1"/>
  <c r="B453" i="17" s="1"/>
  <c r="B454" i="17" s="1"/>
  <c r="B455" i="17" s="1"/>
  <c r="B456" i="17" s="1"/>
  <c r="B457" i="17" s="1"/>
  <c r="B458" i="17" s="1"/>
  <c r="B459" i="17" s="1"/>
  <c r="B460" i="17" s="1"/>
  <c r="B461" i="17" s="1"/>
  <c r="B462" i="17" s="1"/>
  <c r="B463" i="17" s="1"/>
  <c r="B464" i="17" s="1"/>
  <c r="B465" i="17" s="1"/>
  <c r="B466" i="17" s="1"/>
  <c r="B467" i="17" s="1"/>
  <c r="B468" i="17" s="1"/>
  <c r="B469" i="17" s="1"/>
  <c r="B470" i="17" s="1"/>
  <c r="B471" i="17" s="1"/>
  <c r="B472" i="17" s="1"/>
  <c r="B473" i="17" s="1"/>
  <c r="B474" i="17" s="1"/>
  <c r="B475" i="17" s="1"/>
  <c r="B476" i="17" s="1"/>
  <c r="B477" i="17" s="1"/>
  <c r="B478" i="17" s="1"/>
  <c r="B479" i="17" s="1"/>
  <c r="B480" i="17" s="1"/>
  <c r="B481" i="17" s="1"/>
  <c r="B482" i="17" s="1"/>
  <c r="B483" i="17" s="1"/>
  <c r="B484" i="17" s="1"/>
  <c r="B485" i="17" s="1"/>
  <c r="B486" i="17" s="1"/>
  <c r="B487" i="17" s="1"/>
  <c r="B488" i="17" s="1"/>
  <c r="B489" i="17" s="1"/>
  <c r="B490" i="17" s="1"/>
  <c r="B491" i="17" s="1"/>
  <c r="B492" i="17" s="1"/>
  <c r="B493" i="17" s="1"/>
  <c r="B494" i="17" s="1"/>
  <c r="B495" i="17" s="1"/>
  <c r="B496" i="17" s="1"/>
  <c r="B497" i="17" s="1"/>
  <c r="B498" i="17" s="1"/>
  <c r="B499" i="17" s="1"/>
  <c r="B500" i="17" s="1"/>
  <c r="B501" i="17" s="1"/>
  <c r="B502" i="17" s="1"/>
  <c r="B503" i="17" s="1"/>
  <c r="B504" i="17" s="1"/>
  <c r="B505" i="17" s="1"/>
  <c r="B506" i="17" s="1"/>
  <c r="B507" i="17" s="1"/>
  <c r="B508" i="17" s="1"/>
  <c r="B509" i="17" s="1"/>
  <c r="B510" i="17" s="1"/>
  <c r="B511" i="17" s="1"/>
  <c r="B512" i="17" s="1"/>
  <c r="B513" i="17" s="1"/>
  <c r="B514" i="17" s="1"/>
  <c r="B515" i="17" s="1"/>
  <c r="B516" i="17" s="1"/>
  <c r="B517" i="17" s="1"/>
  <c r="B518" i="17" s="1"/>
  <c r="B519" i="17" s="1"/>
  <c r="B520" i="17" s="1"/>
  <c r="B521" i="17" s="1"/>
  <c r="B522" i="17" s="1"/>
  <c r="B523" i="17" s="1"/>
  <c r="B524" i="17" s="1"/>
  <c r="B525" i="17" s="1"/>
  <c r="B526" i="17" s="1"/>
  <c r="B527" i="17" s="1"/>
  <c r="B528" i="17" s="1"/>
  <c r="B529" i="17" s="1"/>
  <c r="B530" i="17" s="1"/>
  <c r="B531" i="17" s="1"/>
  <c r="B532" i="17" s="1"/>
  <c r="B533" i="17" s="1"/>
  <c r="B534" i="17" s="1"/>
  <c r="B535" i="17" s="1"/>
  <c r="B536" i="17" s="1"/>
  <c r="B537" i="17" s="1"/>
  <c r="B538" i="17" s="1"/>
  <c r="B539" i="17" s="1"/>
  <c r="B540" i="17" s="1"/>
  <c r="B541" i="17" s="1"/>
  <c r="B542" i="17" s="1"/>
  <c r="B543" i="17" s="1"/>
  <c r="B544" i="17" s="1"/>
  <c r="B545" i="17" s="1"/>
  <c r="B546" i="17" s="1"/>
  <c r="B547" i="17" s="1"/>
  <c r="D41" i="17"/>
  <c r="C41" i="17"/>
  <c r="C40" i="17"/>
  <c r="E13" i="17"/>
  <c r="E14" i="17" s="1"/>
  <c r="D13" i="17"/>
  <c r="D14" i="17" s="1"/>
  <c r="D15" i="17" s="1"/>
  <c r="D16" i="17" s="1"/>
  <c r="D17" i="17" s="1"/>
  <c r="D18" i="17" s="1"/>
  <c r="D19" i="17" s="1"/>
  <c r="D20" i="17" s="1"/>
  <c r="D21" i="17" s="1"/>
  <c r="D22" i="17" s="1"/>
  <c r="D23" i="17" s="1"/>
  <c r="D24" i="17" s="1"/>
  <c r="D25" i="17" s="1"/>
  <c r="D26" i="17" s="1"/>
  <c r="C13" i="17"/>
  <c r="C14" i="17" s="1"/>
  <c r="C15" i="17" s="1"/>
  <c r="J12" i="17"/>
  <c r="I12" i="17"/>
  <c r="K12" i="17" s="1"/>
  <c r="H12" i="17"/>
  <c r="G12" i="17"/>
  <c r="A12" i="17"/>
  <c r="A13" i="17" s="1"/>
  <c r="A14" i="17" s="1"/>
  <c r="A15" i="17" s="1"/>
  <c r="A16" i="17" s="1"/>
  <c r="A17" i="17" s="1"/>
  <c r="A18" i="17" s="1"/>
  <c r="A19" i="17" s="1"/>
  <c r="A20" i="17" s="1"/>
  <c r="A21" i="17" s="1"/>
  <c r="A22" i="17" s="1"/>
  <c r="A23" i="17" s="1"/>
  <c r="A24" i="17" s="1"/>
  <c r="A25" i="17" s="1"/>
  <c r="A26" i="17" s="1"/>
  <c r="G13" i="17" l="1"/>
  <c r="I13" i="17"/>
  <c r="K13" i="17" s="1"/>
  <c r="J13" i="17"/>
  <c r="L22" i="18"/>
  <c r="D46" i="18"/>
  <c r="I21" i="18"/>
  <c r="I22" i="18" s="1"/>
  <c r="C43" i="18"/>
  <c r="K43" i="18" s="1"/>
  <c r="M43" i="18" s="1"/>
  <c r="C46" i="18"/>
  <c r="N20" i="18"/>
  <c r="C49" i="18"/>
  <c r="C52" i="18"/>
  <c r="L21" i="18"/>
  <c r="N21" i="18" s="1"/>
  <c r="D49" i="18"/>
  <c r="D52" i="18"/>
  <c r="C125" i="18"/>
  <c r="C122" i="18"/>
  <c r="C121" i="18"/>
  <c r="C128" i="18"/>
  <c r="C127" i="18"/>
  <c r="C116" i="18"/>
  <c r="C115" i="18"/>
  <c r="H115" i="18" s="1"/>
  <c r="D116" i="18"/>
  <c r="M23" i="18"/>
  <c r="I23" i="18"/>
  <c r="H13" i="17"/>
  <c r="H14" i="17" s="1"/>
  <c r="H15" i="17" s="1"/>
  <c r="H16" i="17" s="1"/>
  <c r="H17" i="17" s="1"/>
  <c r="H18" i="17" s="1"/>
  <c r="H19" i="17" s="1"/>
  <c r="H20" i="17" s="1"/>
  <c r="H21" i="17" s="1"/>
  <c r="H22" i="17" s="1"/>
  <c r="H23" i="17" s="1"/>
  <c r="H24" i="17" s="1"/>
  <c r="H25" i="17" s="1"/>
  <c r="H26" i="17" s="1"/>
  <c r="E15" i="17"/>
  <c r="I14" i="17"/>
  <c r="G23" i="18"/>
  <c r="K20" i="18"/>
  <c r="F21" i="18"/>
  <c r="F22" i="18" s="1"/>
  <c r="F23" i="18" s="1"/>
  <c r="F24" i="18" s="1"/>
  <c r="F25" i="18" s="1"/>
  <c r="F26" i="18" s="1"/>
  <c r="F27" i="18" s="1"/>
  <c r="F28" i="18" s="1"/>
  <c r="F29" i="18" s="1"/>
  <c r="F30" i="18" s="1"/>
  <c r="F31" i="18" s="1"/>
  <c r="F32" i="18" s="1"/>
  <c r="F33" i="18" s="1"/>
  <c r="F34" i="18" s="1"/>
  <c r="J69" i="18"/>
  <c r="J70" i="18" s="1"/>
  <c r="J71" i="18" s="1"/>
  <c r="J72" i="18" s="1"/>
  <c r="J73" i="18" s="1"/>
  <c r="J74" i="18" s="1"/>
  <c r="J75" i="18" s="1"/>
  <c r="J76" i="18" s="1"/>
  <c r="J77" i="18" s="1"/>
  <c r="J78" i="18" s="1"/>
  <c r="J79" i="18" s="1"/>
  <c r="J80" i="18" s="1"/>
  <c r="I115" i="18"/>
  <c r="E116" i="18"/>
  <c r="E117" i="18" s="1"/>
  <c r="E118" i="18" s="1"/>
  <c r="E119" i="18" s="1"/>
  <c r="E120" i="18" s="1"/>
  <c r="E121" i="18" s="1"/>
  <c r="E122" i="18" s="1"/>
  <c r="E123" i="18" s="1"/>
  <c r="E124" i="18" s="1"/>
  <c r="E125" i="18" s="1"/>
  <c r="E126" i="18" s="1"/>
  <c r="E127" i="18" s="1"/>
  <c r="E128" i="18" s="1"/>
  <c r="E129" i="18" s="1"/>
  <c r="G14" i="17"/>
  <c r="J14" i="17"/>
  <c r="N22" i="18"/>
  <c r="G69" i="18"/>
  <c r="J20" i="18"/>
  <c r="E21" i="18"/>
  <c r="E22" i="18" s="1"/>
  <c r="E23" i="18" s="1"/>
  <c r="E24" i="18" s="1"/>
  <c r="E25" i="18" s="1"/>
  <c r="E26" i="18" s="1"/>
  <c r="E27" i="18" s="1"/>
  <c r="E28" i="18" s="1"/>
  <c r="E29" i="18" s="1"/>
  <c r="E30" i="18" s="1"/>
  <c r="E31" i="18" s="1"/>
  <c r="E32" i="18" s="1"/>
  <c r="E33" i="18" s="1"/>
  <c r="E34" i="18" s="1"/>
  <c r="O67" i="18"/>
  <c r="O68" i="18" s="1"/>
  <c r="O69" i="18" s="1"/>
  <c r="O70" i="18" s="1"/>
  <c r="O71" i="18" s="1"/>
  <c r="O72" i="18" s="1"/>
  <c r="O73" i="18" s="1"/>
  <c r="O74" i="18" s="1"/>
  <c r="O75" i="18" s="1"/>
  <c r="O76" i="18" s="1"/>
  <c r="O77" i="18" s="1"/>
  <c r="O78" i="18" s="1"/>
  <c r="O79" i="18" s="1"/>
  <c r="O80" i="18" s="1"/>
  <c r="F118" i="18"/>
  <c r="F46" i="18"/>
  <c r="F47" i="18" s="1"/>
  <c r="F48" i="18" s="1"/>
  <c r="F49" i="18" s="1"/>
  <c r="F50" i="18" s="1"/>
  <c r="F51" i="18" s="1"/>
  <c r="F52" i="18" s="1"/>
  <c r="F53" i="18" s="1"/>
  <c r="F54" i="18" s="1"/>
  <c r="F55" i="18" s="1"/>
  <c r="F56" i="18" s="1"/>
  <c r="F57" i="18" s="1"/>
  <c r="J45" i="18"/>
  <c r="J46" i="18" s="1"/>
  <c r="J47" i="18" s="1"/>
  <c r="J48" i="18" s="1"/>
  <c r="J49" i="18" s="1"/>
  <c r="J50" i="18" s="1"/>
  <c r="J51" i="18" s="1"/>
  <c r="J52" i="18" s="1"/>
  <c r="J53" i="18" s="1"/>
  <c r="J54" i="18" s="1"/>
  <c r="J55" i="18" s="1"/>
  <c r="J56" i="18" s="1"/>
  <c r="J57" i="18" s="1"/>
  <c r="D118" i="18"/>
  <c r="C16" i="17"/>
  <c r="M22" i="18"/>
  <c r="G46" i="18"/>
  <c r="D117" i="18"/>
  <c r="D67" i="18"/>
  <c r="D68" i="18" s="1"/>
  <c r="D69" i="18" s="1"/>
  <c r="D70" i="18" s="1"/>
  <c r="D71" i="18" s="1"/>
  <c r="D72" i="18" s="1"/>
  <c r="D73" i="18" s="1"/>
  <c r="D74" i="18" s="1"/>
  <c r="D75" i="18" s="1"/>
  <c r="D76" i="18" s="1"/>
  <c r="D77" i="18" s="1"/>
  <c r="D78" i="18" s="1"/>
  <c r="D79" i="18" s="1"/>
  <c r="D80" i="18" s="1"/>
  <c r="L66" i="18"/>
  <c r="M66" i="18" s="1"/>
  <c r="I66" i="18"/>
  <c r="Q66" i="18"/>
  <c r="R66" i="18" s="1"/>
  <c r="E67" i="18"/>
  <c r="E68" i="18" s="1"/>
  <c r="E69" i="18" s="1"/>
  <c r="E70" i="18" s="1"/>
  <c r="E71" i="18" s="1"/>
  <c r="E72" i="18" s="1"/>
  <c r="E73" i="18" s="1"/>
  <c r="E74" i="18" s="1"/>
  <c r="E75" i="18" s="1"/>
  <c r="E76" i="18" s="1"/>
  <c r="E77" i="18" s="1"/>
  <c r="E78" i="18" s="1"/>
  <c r="E79" i="18" s="1"/>
  <c r="E80" i="18" s="1"/>
  <c r="P67" i="18"/>
  <c r="O45" i="18"/>
  <c r="C45" i="18"/>
  <c r="C48" i="18"/>
  <c r="C51" i="18"/>
  <c r="C54" i="18"/>
  <c r="C57" i="18"/>
  <c r="C118" i="18"/>
  <c r="C124" i="18"/>
  <c r="D45" i="18"/>
  <c r="D48" i="18"/>
  <c r="D51" i="18"/>
  <c r="D54" i="18"/>
  <c r="D57" i="18"/>
  <c r="C117" i="18"/>
  <c r="C123" i="18"/>
  <c r="C129" i="18"/>
  <c r="D43" i="18"/>
  <c r="C44" i="18"/>
  <c r="C47" i="18"/>
  <c r="C50" i="18"/>
  <c r="C53" i="18"/>
  <c r="C120" i="18"/>
  <c r="C126" i="18"/>
  <c r="D44" i="18"/>
  <c r="D47" i="18"/>
  <c r="D50" i="18"/>
  <c r="D53" i="18"/>
  <c r="C119" i="18"/>
  <c r="K14" i="17" l="1"/>
  <c r="J115" i="18"/>
  <c r="L115" i="18" s="1"/>
  <c r="I43" i="18"/>
  <c r="K44" i="18" s="1"/>
  <c r="D119" i="18"/>
  <c r="C17" i="17"/>
  <c r="G70" i="18"/>
  <c r="N43" i="18"/>
  <c r="P43" i="18"/>
  <c r="R43" i="18" s="1"/>
  <c r="N67" i="18"/>
  <c r="K21" i="18"/>
  <c r="K22" i="18" s="1"/>
  <c r="K23" i="18" s="1"/>
  <c r="K24" i="18" s="1"/>
  <c r="K25" i="18" s="1"/>
  <c r="K26" i="18" s="1"/>
  <c r="K27" i="18" s="1"/>
  <c r="K28" i="18" s="1"/>
  <c r="K29" i="18" s="1"/>
  <c r="K30" i="18" s="1"/>
  <c r="K31" i="18" s="1"/>
  <c r="K32" i="18" s="1"/>
  <c r="K33" i="18" s="1"/>
  <c r="K34" i="18" s="1"/>
  <c r="L23" i="18"/>
  <c r="N23" i="18" s="1"/>
  <c r="G24" i="18"/>
  <c r="F119" i="18"/>
  <c r="I15" i="17"/>
  <c r="E16" i="17"/>
  <c r="I67" i="18"/>
  <c r="K67" i="18"/>
  <c r="L67" i="18"/>
  <c r="J15" i="17"/>
  <c r="G15" i="17"/>
  <c r="Q67" i="18"/>
  <c r="R67" i="18" s="1"/>
  <c r="K116" i="18"/>
  <c r="H116" i="18"/>
  <c r="J116" i="18"/>
  <c r="L116" i="18" s="1"/>
  <c r="M24" i="18"/>
  <c r="I24" i="18"/>
  <c r="O46" i="18"/>
  <c r="O47" i="18" s="1"/>
  <c r="O48" i="18" s="1"/>
  <c r="O49" i="18" s="1"/>
  <c r="O50" i="18" s="1"/>
  <c r="O51" i="18" s="1"/>
  <c r="O52" i="18" s="1"/>
  <c r="O53" i="18" s="1"/>
  <c r="O54" i="18" s="1"/>
  <c r="O55" i="18" s="1"/>
  <c r="O56" i="18" s="1"/>
  <c r="O57" i="18" s="1"/>
  <c r="G47" i="18"/>
  <c r="J21" i="18"/>
  <c r="J22" i="18" s="1"/>
  <c r="J23" i="18" s="1"/>
  <c r="J24" i="18" s="1"/>
  <c r="J25" i="18" s="1"/>
  <c r="J26" i="18" s="1"/>
  <c r="J27" i="18" s="1"/>
  <c r="J28" i="18" s="1"/>
  <c r="J29" i="18" s="1"/>
  <c r="J30" i="18" s="1"/>
  <c r="J31" i="18" s="1"/>
  <c r="J32" i="18" s="1"/>
  <c r="J33" i="18" s="1"/>
  <c r="J34" i="18" s="1"/>
  <c r="I116" i="18"/>
  <c r="I117" i="18" s="1"/>
  <c r="I118" i="18" s="1"/>
  <c r="I119" i="18" s="1"/>
  <c r="I120" i="18" s="1"/>
  <c r="I121" i="18" s="1"/>
  <c r="I122" i="18" s="1"/>
  <c r="I123" i="18" s="1"/>
  <c r="I124" i="18" s="1"/>
  <c r="I125" i="18" s="1"/>
  <c r="I126" i="18" s="1"/>
  <c r="I127" i="18" s="1"/>
  <c r="I128" i="18" s="1"/>
  <c r="I129" i="18" s="1"/>
  <c r="M67" i="18" l="1"/>
  <c r="I44" i="18"/>
  <c r="L45" i="18" s="1"/>
  <c r="L44" i="18"/>
  <c r="M44" i="18" s="1"/>
  <c r="N68" i="18"/>
  <c r="Q68" i="18"/>
  <c r="P68" i="18"/>
  <c r="Q44" i="18"/>
  <c r="N44" i="18"/>
  <c r="P44" i="18"/>
  <c r="R44" i="18" s="1"/>
  <c r="L68" i="18"/>
  <c r="I68" i="18"/>
  <c r="K68" i="18"/>
  <c r="I16" i="17"/>
  <c r="E17" i="17"/>
  <c r="K117" i="18"/>
  <c r="H117" i="18"/>
  <c r="J117" i="18"/>
  <c r="F120" i="18"/>
  <c r="J16" i="17"/>
  <c r="G16" i="17"/>
  <c r="I25" i="18"/>
  <c r="M25" i="18"/>
  <c r="K15" i="17"/>
  <c r="G71" i="18"/>
  <c r="D120" i="18"/>
  <c r="C18" i="17"/>
  <c r="G25" i="18"/>
  <c r="L24" i="18"/>
  <c r="N24" i="18" s="1"/>
  <c r="G48" i="18"/>
  <c r="K45" i="18"/>
  <c r="I45" i="18" l="1"/>
  <c r="I46" i="18" s="1"/>
  <c r="G49" i="18"/>
  <c r="M68" i="18"/>
  <c r="I26" i="18"/>
  <c r="M26" i="18"/>
  <c r="I69" i="18"/>
  <c r="L69" i="18"/>
  <c r="K69" i="18"/>
  <c r="M69" i="18" s="1"/>
  <c r="G17" i="17"/>
  <c r="J17" i="17"/>
  <c r="L117" i="18"/>
  <c r="G26" i="18"/>
  <c r="L25" i="18"/>
  <c r="N25" i="18" s="1"/>
  <c r="N45" i="18"/>
  <c r="Q45" i="18"/>
  <c r="P45" i="18"/>
  <c r="F121" i="18"/>
  <c r="D121" i="18"/>
  <c r="C19" i="17"/>
  <c r="K118" i="18"/>
  <c r="H118" i="18"/>
  <c r="J118" i="18"/>
  <c r="R68" i="18"/>
  <c r="M45" i="18"/>
  <c r="E18" i="17"/>
  <c r="I17" i="17"/>
  <c r="N69" i="18"/>
  <c r="Q69" i="18"/>
  <c r="P69" i="18"/>
  <c r="G72" i="18"/>
  <c r="K16" i="17"/>
  <c r="L46" i="18" l="1"/>
  <c r="M46" i="18" s="1"/>
  <c r="K46" i="18"/>
  <c r="R69" i="18"/>
  <c r="G18" i="17"/>
  <c r="J18" i="17"/>
  <c r="L70" i="18"/>
  <c r="I70" i="18"/>
  <c r="K70" i="18"/>
  <c r="M70" i="18" s="1"/>
  <c r="F122" i="18"/>
  <c r="Q70" i="18"/>
  <c r="N70" i="18"/>
  <c r="P70" i="18"/>
  <c r="R45" i="18"/>
  <c r="I27" i="18"/>
  <c r="M27" i="18"/>
  <c r="H119" i="18"/>
  <c r="K119" i="18"/>
  <c r="J119" i="18"/>
  <c r="K17" i="17"/>
  <c r="E19" i="17"/>
  <c r="I18" i="17"/>
  <c r="K18" i="17" s="1"/>
  <c r="N46" i="18"/>
  <c r="Q46" i="18"/>
  <c r="P46" i="18"/>
  <c r="R46" i="18" s="1"/>
  <c r="I47" i="18"/>
  <c r="L47" i="18"/>
  <c r="K47" i="18"/>
  <c r="D122" i="18"/>
  <c r="C20" i="17"/>
  <c r="G73" i="18"/>
  <c r="G27" i="18"/>
  <c r="L26" i="18"/>
  <c r="N26" i="18" s="1"/>
  <c r="G50" i="18"/>
  <c r="L118" i="18"/>
  <c r="R70" i="18" l="1"/>
  <c r="L119" i="18"/>
  <c r="G51" i="18"/>
  <c r="I19" i="17"/>
  <c r="E20" i="17"/>
  <c r="F123" i="18"/>
  <c r="J19" i="17"/>
  <c r="G19" i="17"/>
  <c r="Q71" i="18"/>
  <c r="N71" i="18"/>
  <c r="P71" i="18"/>
  <c r="R71" i="18" s="1"/>
  <c r="G74" i="18"/>
  <c r="I28" i="18"/>
  <c r="M28" i="18"/>
  <c r="Q47" i="18"/>
  <c r="N47" i="18"/>
  <c r="P47" i="18"/>
  <c r="R47" i="18" s="1"/>
  <c r="D123" i="18"/>
  <c r="C21" i="17"/>
  <c r="I71" i="18"/>
  <c r="L71" i="18"/>
  <c r="K71" i="18"/>
  <c r="M71" i="18" s="1"/>
  <c r="L48" i="18"/>
  <c r="I48" i="18"/>
  <c r="K48" i="18"/>
  <c r="G28" i="18"/>
  <c r="L27" i="18"/>
  <c r="N27" i="18" s="1"/>
  <c r="K120" i="18"/>
  <c r="H120" i="18"/>
  <c r="J120" i="18"/>
  <c r="M47" i="18"/>
  <c r="M48" i="18" l="1"/>
  <c r="L120" i="18"/>
  <c r="F124" i="18"/>
  <c r="H121" i="18"/>
  <c r="K121" i="18"/>
  <c r="J121" i="18"/>
  <c r="L121" i="18" s="1"/>
  <c r="I29" i="18"/>
  <c r="M29" i="18"/>
  <c r="I20" i="17"/>
  <c r="K20" i="17" s="1"/>
  <c r="E21" i="17"/>
  <c r="N72" i="18"/>
  <c r="Q72" i="18"/>
  <c r="P72" i="18"/>
  <c r="K19" i="17"/>
  <c r="D124" i="18"/>
  <c r="C22" i="17"/>
  <c r="G29" i="18"/>
  <c r="L28" i="18"/>
  <c r="N28" i="18" s="1"/>
  <c r="G52" i="18"/>
  <c r="N48" i="18"/>
  <c r="Q48" i="18"/>
  <c r="P48" i="18"/>
  <c r="I49" i="18"/>
  <c r="L49" i="18"/>
  <c r="K49" i="18"/>
  <c r="M49" i="18" s="1"/>
  <c r="L72" i="18"/>
  <c r="I72" i="18"/>
  <c r="K72" i="18"/>
  <c r="J20" i="17"/>
  <c r="G20" i="17"/>
  <c r="G75" i="18"/>
  <c r="M72" i="18" l="1"/>
  <c r="N49" i="18"/>
  <c r="Q49" i="18"/>
  <c r="P49" i="18"/>
  <c r="R49" i="18" s="1"/>
  <c r="E22" i="17"/>
  <c r="I21" i="17"/>
  <c r="G21" i="17"/>
  <c r="J21" i="17"/>
  <c r="D125" i="18"/>
  <c r="C23" i="17"/>
  <c r="G76" i="18"/>
  <c r="K122" i="18"/>
  <c r="H122" i="18"/>
  <c r="J122" i="18"/>
  <c r="G53" i="18"/>
  <c r="F125" i="18"/>
  <c r="N73" i="18"/>
  <c r="Q73" i="18"/>
  <c r="P73" i="18"/>
  <c r="I30" i="18"/>
  <c r="M30" i="18"/>
  <c r="I73" i="18"/>
  <c r="L73" i="18"/>
  <c r="K73" i="18"/>
  <c r="G30" i="18"/>
  <c r="L29" i="18"/>
  <c r="N29" i="18" s="1"/>
  <c r="I50" i="18"/>
  <c r="L50" i="18"/>
  <c r="K50" i="18"/>
  <c r="M50" i="18" s="1"/>
  <c r="R72" i="18"/>
  <c r="R48" i="18"/>
  <c r="R73" i="18" l="1"/>
  <c r="L122" i="18"/>
  <c r="M73" i="18"/>
  <c r="D126" i="18"/>
  <c r="C24" i="17"/>
  <c r="Q74" i="18"/>
  <c r="N74" i="18"/>
  <c r="P74" i="18"/>
  <c r="R74" i="18" s="1"/>
  <c r="F126" i="18"/>
  <c r="K21" i="17"/>
  <c r="I31" i="18"/>
  <c r="M31" i="18"/>
  <c r="L51" i="18"/>
  <c r="I51" i="18"/>
  <c r="K51" i="18"/>
  <c r="E23" i="17"/>
  <c r="I22" i="17"/>
  <c r="L74" i="18"/>
  <c r="I74" i="18"/>
  <c r="K74" i="18"/>
  <c r="M74" i="18" s="1"/>
  <c r="K123" i="18"/>
  <c r="H123" i="18"/>
  <c r="J123" i="18"/>
  <c r="L123" i="18" s="1"/>
  <c r="G77" i="18"/>
  <c r="G22" i="17"/>
  <c r="J22" i="17"/>
  <c r="G31" i="18"/>
  <c r="L30" i="18"/>
  <c r="N30" i="18" s="1"/>
  <c r="G54" i="18"/>
  <c r="Q50" i="18"/>
  <c r="N50" i="18"/>
  <c r="P50" i="18"/>
  <c r="R50" i="18" s="1"/>
  <c r="K22" i="17" l="1"/>
  <c r="N51" i="18"/>
  <c r="Q51" i="18"/>
  <c r="P51" i="18"/>
  <c r="I32" i="18"/>
  <c r="M32" i="18"/>
  <c r="F127" i="18"/>
  <c r="I52" i="18"/>
  <c r="L52" i="18"/>
  <c r="K52" i="18"/>
  <c r="M52" i="18" s="1"/>
  <c r="G78" i="18"/>
  <c r="G55" i="18"/>
  <c r="I75" i="18"/>
  <c r="L75" i="18"/>
  <c r="K75" i="18"/>
  <c r="Q75" i="18"/>
  <c r="N75" i="18"/>
  <c r="P75" i="18"/>
  <c r="R75" i="18" s="1"/>
  <c r="K124" i="18"/>
  <c r="H124" i="18"/>
  <c r="J124" i="18"/>
  <c r="L31" i="18"/>
  <c r="N31" i="18" s="1"/>
  <c r="G32" i="18"/>
  <c r="I23" i="17"/>
  <c r="E24" i="17"/>
  <c r="C25" i="17"/>
  <c r="D127" i="18"/>
  <c r="J23" i="17"/>
  <c r="G23" i="17"/>
  <c r="M51" i="18"/>
  <c r="R51" i="18" l="1"/>
  <c r="M75" i="18"/>
  <c r="J24" i="17"/>
  <c r="G24" i="17"/>
  <c r="I53" i="18"/>
  <c r="L53" i="18"/>
  <c r="K53" i="18"/>
  <c r="M53" i="18" s="1"/>
  <c r="C26" i="17"/>
  <c r="D129" i="18" s="1"/>
  <c r="D128" i="18"/>
  <c r="F128" i="18"/>
  <c r="H125" i="18"/>
  <c r="K125" i="18"/>
  <c r="J125" i="18"/>
  <c r="I24" i="17"/>
  <c r="E25" i="17"/>
  <c r="L76" i="18"/>
  <c r="I76" i="18"/>
  <c r="K76" i="18"/>
  <c r="M76" i="18" s="1"/>
  <c r="N76" i="18"/>
  <c r="Q76" i="18"/>
  <c r="P76" i="18"/>
  <c r="R76" i="18" s="1"/>
  <c r="M33" i="18"/>
  <c r="I33" i="18"/>
  <c r="K23" i="17"/>
  <c r="L32" i="18"/>
  <c r="N32" i="18" s="1"/>
  <c r="G33" i="18"/>
  <c r="G56" i="18"/>
  <c r="G79" i="18"/>
  <c r="L124" i="18"/>
  <c r="N52" i="18"/>
  <c r="Q52" i="18"/>
  <c r="P52" i="18"/>
  <c r="R52" i="18" s="1"/>
  <c r="K24" i="17" l="1"/>
  <c r="L125" i="18"/>
  <c r="Q53" i="18"/>
  <c r="N53" i="18"/>
  <c r="P53" i="18"/>
  <c r="R53" i="18" s="1"/>
  <c r="M34" i="18"/>
  <c r="I34" i="18"/>
  <c r="F129" i="18"/>
  <c r="I77" i="18"/>
  <c r="L77" i="18"/>
  <c r="K77" i="18"/>
  <c r="N77" i="18"/>
  <c r="Q77" i="18"/>
  <c r="P77" i="18"/>
  <c r="L54" i="18"/>
  <c r="I54" i="18"/>
  <c r="K54" i="18"/>
  <c r="M54" i="18" s="1"/>
  <c r="K126" i="18"/>
  <c r="H126" i="18"/>
  <c r="J126" i="18"/>
  <c r="L126" i="18" s="1"/>
  <c r="G80" i="18"/>
  <c r="E26" i="17"/>
  <c r="I25" i="17"/>
  <c r="G25" i="17"/>
  <c r="J25" i="17"/>
  <c r="G57" i="18"/>
  <c r="L33" i="18"/>
  <c r="N33" i="18" s="1"/>
  <c r="G34" i="18"/>
  <c r="L34" i="18" s="1"/>
  <c r="K25" i="17" l="1"/>
  <c r="I26" i="17"/>
  <c r="M77" i="18"/>
  <c r="N34" i="18"/>
  <c r="Q78" i="18"/>
  <c r="N78" i="18"/>
  <c r="P78" i="18"/>
  <c r="R78" i="18" s="1"/>
  <c r="D15" i="18"/>
  <c r="E15" i="18"/>
  <c r="H127" i="18"/>
  <c r="K127" i="18"/>
  <c r="J127" i="18"/>
  <c r="I55" i="18"/>
  <c r="L55" i="18"/>
  <c r="K55" i="18"/>
  <c r="M55" i="18" s="1"/>
  <c r="L78" i="18"/>
  <c r="I78" i="18"/>
  <c r="K78" i="18"/>
  <c r="N54" i="18"/>
  <c r="Q54" i="18"/>
  <c r="P54" i="18"/>
  <c r="R54" i="18" s="1"/>
  <c r="G26" i="17"/>
  <c r="J26" i="17"/>
  <c r="K26" i="17" s="1"/>
  <c r="K9" i="17" s="1"/>
  <c r="R77" i="18"/>
  <c r="L127" i="18" l="1"/>
  <c r="N55" i="18"/>
  <c r="Q55" i="18"/>
  <c r="P55" i="18"/>
  <c r="R55" i="18" s="1"/>
  <c r="K128" i="18"/>
  <c r="H128" i="18"/>
  <c r="J128" i="18"/>
  <c r="M78" i="18"/>
  <c r="I79" i="18"/>
  <c r="L79" i="18"/>
  <c r="K79" i="18"/>
  <c r="M79" i="18" s="1"/>
  <c r="G107" i="18"/>
  <c r="G108" i="18" s="1"/>
  <c r="C38" i="18"/>
  <c r="C15" i="18"/>
  <c r="C16" i="18" s="1"/>
  <c r="C61" i="18"/>
  <c r="Q79" i="18"/>
  <c r="N79" i="18"/>
  <c r="P79" i="18"/>
  <c r="I56" i="18"/>
  <c r="L56" i="18"/>
  <c r="K56" i="18"/>
  <c r="M56" i="18" s="1"/>
  <c r="C91" i="18" l="1"/>
  <c r="L80" i="18"/>
  <c r="I80" i="18"/>
  <c r="K80" i="18"/>
  <c r="M80" i="18" s="1"/>
  <c r="D61" i="18" s="1"/>
  <c r="L57" i="18"/>
  <c r="I57" i="18"/>
  <c r="K57" i="18"/>
  <c r="M57" i="18" s="1"/>
  <c r="D38" i="18" s="1"/>
  <c r="R79" i="18"/>
  <c r="L128" i="18"/>
  <c r="N80" i="18"/>
  <c r="Q80" i="18"/>
  <c r="P80" i="18"/>
  <c r="K129" i="18"/>
  <c r="H129" i="18"/>
  <c r="J129" i="18"/>
  <c r="Q56" i="18"/>
  <c r="N56" i="18"/>
  <c r="P56" i="18"/>
  <c r="R56" i="18" s="1"/>
  <c r="N57" i="18" l="1"/>
  <c r="Q57" i="18"/>
  <c r="P57" i="18"/>
  <c r="R57" i="18" s="1"/>
  <c r="E38" i="18" s="1"/>
  <c r="C39" i="18" s="1"/>
  <c r="L129" i="18"/>
  <c r="L112" i="18" s="1"/>
  <c r="C110" i="18" s="1"/>
  <c r="C133" i="18" s="1"/>
  <c r="R80" i="18"/>
  <c r="E61" i="18" s="1"/>
  <c r="C62" i="18" s="1"/>
  <c r="C93" i="18" s="1"/>
  <c r="C92" i="18" l="1"/>
  <c r="H93" i="18" s="1" a="1"/>
  <c r="H93" i="18" s="1"/>
  <c r="H91" i="18"/>
  <c r="H92" i="18" s="1"/>
  <c r="D14" i="14" l="1"/>
  <c r="E14" i="14"/>
  <c r="F14" i="14"/>
  <c r="G14" i="14"/>
  <c r="D15" i="14"/>
  <c r="E15" i="14"/>
  <c r="F15" i="14"/>
  <c r="G15" i="14"/>
  <c r="D16" i="14"/>
  <c r="E16" i="14"/>
  <c r="F16" i="14"/>
  <c r="G16" i="14"/>
  <c r="F17" i="14" s="1"/>
  <c r="E25" i="14"/>
  <c r="F25" i="14"/>
  <c r="G25" i="14"/>
  <c r="E37" i="14"/>
  <c r="E42" i="14" s="1"/>
  <c r="E43" i="14" s="1"/>
  <c r="F42" i="14"/>
  <c r="F43" i="14" s="1"/>
  <c r="G42" i="14"/>
  <c r="D51" i="14"/>
  <c r="D53" i="14" s="1"/>
  <c r="E51" i="14"/>
  <c r="E53" i="14" s="1"/>
  <c r="E80" i="14" s="1"/>
  <c r="E82" i="14" s="1"/>
  <c r="F51" i="14"/>
  <c r="F53" i="14" s="1"/>
  <c r="F80" i="14" s="1"/>
  <c r="G51" i="14"/>
  <c r="G53" i="14" s="1"/>
  <c r="D52" i="14"/>
  <c r="E52" i="14"/>
  <c r="F52" i="14"/>
  <c r="G52" i="14"/>
  <c r="D68" i="14"/>
  <c r="D72" i="14" s="1"/>
  <c r="D73" i="14" s="1"/>
  <c r="D81" i="14" s="1"/>
  <c r="D94" i="14"/>
  <c r="E95" i="14" s="1"/>
  <c r="E68" i="14" s="1"/>
  <c r="E72" i="14" s="1"/>
  <c r="E73" i="14" s="1"/>
  <c r="E81" i="14" s="1"/>
  <c r="E94" i="14"/>
  <c r="F95" i="14" s="1"/>
  <c r="F68" i="14" s="1"/>
  <c r="F72" i="14" s="1"/>
  <c r="F73" i="14" s="1"/>
  <c r="F81" i="14" s="1"/>
  <c r="F94" i="14"/>
  <c r="G94" i="14"/>
  <c r="G95" i="14"/>
  <c r="G68" i="14" s="1"/>
  <c r="G72" i="14" s="1"/>
  <c r="G73" i="14" s="1"/>
  <c r="G81" i="14" s="1"/>
  <c r="E21" i="12"/>
  <c r="F21" i="12"/>
  <c r="G21" i="12"/>
  <c r="E22" i="12"/>
  <c r="F22" i="12" s="1"/>
  <c r="G22" i="12"/>
  <c r="E23" i="12"/>
  <c r="F23" i="12"/>
  <c r="G23" i="12"/>
  <c r="E24" i="12"/>
  <c r="F24" i="12" s="1"/>
  <c r="G24" i="12"/>
  <c r="E25" i="12"/>
  <c r="F25" i="12"/>
  <c r="G25" i="12"/>
  <c r="F49" i="12"/>
  <c r="H49" i="12" s="1"/>
  <c r="G49" i="12"/>
  <c r="I49" i="12"/>
  <c r="F50" i="12"/>
  <c r="H50" i="12" s="1"/>
  <c r="G50" i="12"/>
  <c r="I50" i="12" s="1"/>
  <c r="F51" i="12"/>
  <c r="G51" i="12"/>
  <c r="I51" i="12" s="1"/>
  <c r="H51" i="12"/>
  <c r="F52" i="12"/>
  <c r="H52" i="12" s="1"/>
  <c r="G52" i="12"/>
  <c r="I52" i="12" s="1"/>
  <c r="D53" i="12"/>
  <c r="E53" i="12"/>
  <c r="D67" i="12"/>
  <c r="E67" i="12"/>
  <c r="E68" i="12"/>
  <c r="E83" i="12"/>
  <c r="F83" i="12" s="1"/>
  <c r="E84" i="12"/>
  <c r="F84" i="12"/>
  <c r="E85" i="12"/>
  <c r="F85" i="12" s="1"/>
  <c r="E86" i="12"/>
  <c r="F86" i="12"/>
  <c r="D87" i="12"/>
  <c r="H53" i="12" l="1"/>
  <c r="F26" i="12"/>
  <c r="E37" i="12" s="1"/>
  <c r="E38" i="12" s="1"/>
  <c r="F87" i="12"/>
  <c r="F53" i="12"/>
  <c r="I53" i="12"/>
  <c r="G26" i="12"/>
  <c r="I55" i="12" s="1"/>
  <c r="I56" i="12" s="1"/>
  <c r="G53" i="12"/>
  <c r="E17" i="14"/>
  <c r="D17" i="14"/>
  <c r="G80" i="14"/>
  <c r="G82" i="14" s="1"/>
  <c r="F83" i="14" s="1"/>
  <c r="F54" i="14"/>
  <c r="H55" i="12"/>
  <c r="H56" i="12" s="1"/>
  <c r="D18" i="14"/>
  <c r="F82" i="14"/>
  <c r="D54" i="14"/>
  <c r="D55" i="14" s="1"/>
  <c r="E54" i="14"/>
  <c r="D80" i="14"/>
  <c r="D82" i="14" s="1"/>
  <c r="N8" i="10"/>
  <c r="E9" i="10"/>
  <c r="F9" i="10"/>
  <c r="G9" i="10" s="1"/>
  <c r="E10" i="10"/>
  <c r="F10" i="10" s="1"/>
  <c r="G10" i="10"/>
  <c r="E11" i="10"/>
  <c r="E12" i="10"/>
  <c r="E13" i="10"/>
  <c r="E14" i="10"/>
  <c r="E15" i="10"/>
  <c r="E16" i="10"/>
  <c r="E17" i="10"/>
  <c r="E18" i="10"/>
  <c r="E19" i="10"/>
  <c r="E20" i="10"/>
  <c r="E21" i="10"/>
  <c r="E22" i="10"/>
  <c r="E23" i="10"/>
  <c r="E24" i="10"/>
  <c r="E25" i="10"/>
  <c r="E26" i="10"/>
  <c r="E27" i="10"/>
  <c r="N34" i="10"/>
  <c r="E35" i="10"/>
  <c r="F35" i="10" s="1"/>
  <c r="E36" i="10"/>
  <c r="E38" i="10"/>
  <c r="E39" i="10"/>
  <c r="E40" i="10"/>
  <c r="E41" i="10"/>
  <c r="E42" i="10"/>
  <c r="E43" i="10"/>
  <c r="E44" i="10"/>
  <c r="E45" i="10"/>
  <c r="E46" i="10"/>
  <c r="E47" i="10"/>
  <c r="E48" i="10"/>
  <c r="E49" i="10"/>
  <c r="E50" i="10"/>
  <c r="E51" i="10"/>
  <c r="E52" i="10"/>
  <c r="E53" i="10"/>
  <c r="I8" i="9"/>
  <c r="I9" i="9"/>
  <c r="I10" i="9"/>
  <c r="I11" i="9"/>
  <c r="I12" i="9"/>
  <c r="I13" i="9"/>
  <c r="I14" i="9"/>
  <c r="I15" i="9"/>
  <c r="I16" i="9"/>
  <c r="I17" i="9"/>
  <c r="I18" i="9"/>
  <c r="I19" i="9"/>
  <c r="I20" i="9"/>
  <c r="I21" i="9"/>
  <c r="I22" i="9"/>
  <c r="I23" i="9"/>
  <c r="I24" i="9"/>
  <c r="I25" i="9"/>
  <c r="I26" i="9"/>
  <c r="F11" i="10" l="1"/>
  <c r="I57" i="12"/>
  <c r="E83" i="14"/>
  <c r="D85" i="14"/>
  <c r="D56" i="14"/>
  <c r="D57" i="14" s="1"/>
  <c r="D83" i="14"/>
  <c r="D84" i="14" s="1"/>
  <c r="D86" i="14" s="1"/>
  <c r="F12" i="10"/>
  <c r="G11" i="10"/>
  <c r="F36" i="10"/>
  <c r="G35" i="10"/>
  <c r="L9" i="8"/>
  <c r="S9" i="8" s="1"/>
  <c r="O9" i="8"/>
  <c r="P9" i="8" s="1"/>
  <c r="V9" i="8"/>
  <c r="V10" i="8" s="1"/>
  <c r="V11" i="8" s="1"/>
  <c r="V12" i="8" s="1"/>
  <c r="V13" i="8" s="1"/>
  <c r="V14" i="8" s="1"/>
  <c r="V15" i="8" s="1"/>
  <c r="V16" i="8" s="1"/>
  <c r="V17" i="8" s="1"/>
  <c r="V18" i="8" s="1"/>
  <c r="V19" i="8" s="1"/>
  <c r="V20" i="8" s="1"/>
  <c r="V21" i="8" s="1"/>
  <c r="V22" i="8" s="1"/>
  <c r="V23" i="8" s="1"/>
  <c r="V24" i="8" s="1"/>
  <c r="V25" i="8" s="1"/>
  <c r="V26" i="8" s="1"/>
  <c r="V27" i="8" s="1"/>
  <c r="V28" i="8" s="1"/>
  <c r="L10" i="8"/>
  <c r="S33" i="8" s="1"/>
  <c r="L11" i="8"/>
  <c r="L12" i="8"/>
  <c r="L13" i="8"/>
  <c r="L14" i="8"/>
  <c r="L15" i="8"/>
  <c r="L16" i="8"/>
  <c r="L17" i="8"/>
  <c r="L18" i="8"/>
  <c r="L19" i="8"/>
  <c r="L20" i="8"/>
  <c r="L21" i="8"/>
  <c r="L22" i="8"/>
  <c r="L23" i="8"/>
  <c r="L24" i="8"/>
  <c r="L25" i="8"/>
  <c r="L26" i="8"/>
  <c r="L27" i="8"/>
  <c r="L28" i="8"/>
  <c r="N28" i="8"/>
  <c r="V33" i="8"/>
  <c r="V34" i="8"/>
  <c r="V35" i="8" s="1"/>
  <c r="V36" i="8" s="1"/>
  <c r="V37" i="8" s="1"/>
  <c r="V38" i="8" s="1"/>
  <c r="V39" i="8" s="1"/>
  <c r="V40" i="8" s="1"/>
  <c r="V41" i="8" s="1"/>
  <c r="V42" i="8" s="1"/>
  <c r="V43" i="8" s="1"/>
  <c r="V44" i="8" s="1"/>
  <c r="V45" i="8" s="1"/>
  <c r="V46" i="8" s="1"/>
  <c r="V47" i="8" s="1"/>
  <c r="V48" i="8" s="1"/>
  <c r="V49" i="8" s="1"/>
  <c r="V50" i="8" s="1"/>
  <c r="V51" i="8" s="1"/>
  <c r="N51" i="8"/>
  <c r="L8" i="7"/>
  <c r="L9" i="7"/>
  <c r="L10" i="7"/>
  <c r="L11" i="7"/>
  <c r="L12" i="7"/>
  <c r="L13" i="7"/>
  <c r="L14" i="7"/>
  <c r="L15" i="7"/>
  <c r="L16" i="7"/>
  <c r="L17" i="7"/>
  <c r="L18" i="7"/>
  <c r="L19" i="7"/>
  <c r="L20" i="7"/>
  <c r="L21" i="7"/>
  <c r="L22" i="7"/>
  <c r="L23" i="7"/>
  <c r="L24" i="7"/>
  <c r="L25" i="7"/>
  <c r="L26" i="7"/>
  <c r="L27" i="7"/>
  <c r="F37" i="10" l="1"/>
  <c r="G36" i="10"/>
  <c r="G12" i="10"/>
  <c r="F13" i="10"/>
  <c r="S34" i="8"/>
  <c r="O33" i="8"/>
  <c r="X9" i="8"/>
  <c r="Q9" i="8"/>
  <c r="O10" i="8" s="1"/>
  <c r="S10" i="8"/>
  <c r="N18" i="6"/>
  <c r="O18" i="6"/>
  <c r="P18" i="6"/>
  <c r="D8" i="6" s="1"/>
  <c r="N35" i="6"/>
  <c r="O35" i="6"/>
  <c r="P35" i="6"/>
  <c r="N37" i="6"/>
  <c r="Q32" i="6" s="1"/>
  <c r="Q30" i="6" l="1"/>
  <c r="R26" i="6"/>
  <c r="Q31" i="6"/>
  <c r="Q26" i="6"/>
  <c r="F14" i="10"/>
  <c r="G13" i="10"/>
  <c r="G37" i="10"/>
  <c r="F38" i="10"/>
  <c r="S11" i="8"/>
  <c r="P10" i="8"/>
  <c r="Q10" i="8" s="1"/>
  <c r="O11" i="8" s="1"/>
  <c r="P33" i="8"/>
  <c r="X33" i="8" s="1"/>
  <c r="S35" i="8"/>
  <c r="Q12" i="6"/>
  <c r="Q16" i="6"/>
  <c r="Q8" i="6"/>
  <c r="R9" i="6"/>
  <c r="R8" i="6"/>
  <c r="Q13" i="6"/>
  <c r="Q14" i="6"/>
  <c r="Q11" i="6"/>
  <c r="Q9" i="6"/>
  <c r="Q15" i="6"/>
  <c r="Q10" i="6"/>
  <c r="R10" i="6"/>
  <c r="R25" i="6"/>
  <c r="R35" i="6" s="1"/>
  <c r="N38" i="6" s="1"/>
  <c r="Q29" i="6"/>
  <c r="Q28" i="6"/>
  <c r="Q25" i="6"/>
  <c r="E22" i="6" s="1"/>
  <c r="Q33" i="6"/>
  <c r="R27" i="6"/>
  <c r="Q27" i="6"/>
  <c r="E15" i="4"/>
  <c r="F15" i="4" s="1"/>
  <c r="E16" i="4"/>
  <c r="E17" i="4"/>
  <c r="E18" i="4"/>
  <c r="D19" i="4"/>
  <c r="F37" i="4"/>
  <c r="G37" i="4" s="1"/>
  <c r="D41" i="4"/>
  <c r="E41" i="4"/>
  <c r="G38" i="4" s="1"/>
  <c r="E55" i="4"/>
  <c r="E56" i="4"/>
  <c r="E57" i="4"/>
  <c r="E58" i="4"/>
  <c r="E59" i="4"/>
  <c r="E60" i="4"/>
  <c r="E61" i="4"/>
  <c r="E62" i="4"/>
  <c r="E63" i="4"/>
  <c r="F63" i="4"/>
  <c r="D87" i="4"/>
  <c r="G87" i="4"/>
  <c r="H87" i="4" s="1"/>
  <c r="I87" i="4" s="1"/>
  <c r="D88" i="4"/>
  <c r="G88" i="4"/>
  <c r="D89" i="4"/>
  <c r="G89" i="4"/>
  <c r="D90" i="4"/>
  <c r="G90" i="4"/>
  <c r="D91" i="4"/>
  <c r="G91" i="4"/>
  <c r="D92" i="4"/>
  <c r="E93" i="4" s="1"/>
  <c r="G92" i="4"/>
  <c r="G93" i="4"/>
  <c r="G94" i="4"/>
  <c r="G95" i="4"/>
  <c r="G96" i="4"/>
  <c r="L96" i="4"/>
  <c r="F16" i="4" l="1"/>
  <c r="F17" i="4" s="1"/>
  <c r="F18" i="4" s="1"/>
  <c r="F62" i="4"/>
  <c r="F61" i="4" s="1"/>
  <c r="F60" i="4" s="1"/>
  <c r="F59" i="4" s="1"/>
  <c r="F58" i="4" s="1"/>
  <c r="F57" i="4" s="1"/>
  <c r="F56" i="4" s="1"/>
  <c r="F55" i="4" s="1"/>
  <c r="G55" i="4" s="1"/>
  <c r="H55" i="4" s="1"/>
  <c r="G56" i="4" s="1"/>
  <c r="G38" i="10"/>
  <c r="F39" i="10"/>
  <c r="G14" i="10"/>
  <c r="F15" i="10"/>
  <c r="P11" i="8"/>
  <c r="X11" i="8" s="1"/>
  <c r="X10" i="8"/>
  <c r="S12" i="8"/>
  <c r="S36" i="8"/>
  <c r="Q33" i="8"/>
  <c r="O34" i="8" s="1"/>
  <c r="R18" i="6"/>
  <c r="D14" i="6" s="1"/>
  <c r="S26" i="6"/>
  <c r="S28" i="6"/>
  <c r="S25" i="6"/>
  <c r="S32" i="6"/>
  <c r="S27" i="6"/>
  <c r="S33" i="6"/>
  <c r="S29" i="6"/>
  <c r="S30" i="6"/>
  <c r="S31" i="6"/>
  <c r="K87" i="4"/>
  <c r="O87" i="4"/>
  <c r="F38" i="4"/>
  <c r="H88" i="4"/>
  <c r="G39" i="4"/>
  <c r="L87" i="4"/>
  <c r="H56" i="4" l="1"/>
  <c r="G39" i="10"/>
  <c r="F40" i="10"/>
  <c r="G15" i="10"/>
  <c r="F16" i="10"/>
  <c r="P34" i="8"/>
  <c r="X34" i="8" s="1"/>
  <c r="S13" i="8"/>
  <c r="S37" i="8"/>
  <c r="Q11" i="8"/>
  <c r="O12" i="8" s="1"/>
  <c r="S13" i="6"/>
  <c r="S9" i="6"/>
  <c r="S11" i="6"/>
  <c r="S12" i="6"/>
  <c r="S8" i="6"/>
  <c r="E23" i="6" s="1"/>
  <c r="E24" i="6" s="1"/>
  <c r="E25" i="6" s="1"/>
  <c r="S10" i="6"/>
  <c r="S14" i="6"/>
  <c r="S16" i="6"/>
  <c r="S15" i="6"/>
  <c r="F40" i="4"/>
  <c r="G40" i="4" s="1"/>
  <c r="H89" i="4"/>
  <c r="I88" i="4"/>
  <c r="L88" i="4"/>
  <c r="G57" i="4"/>
  <c r="H57" i="4" s="1"/>
  <c r="F39" i="4"/>
  <c r="G40" i="10" l="1"/>
  <c r="F41" i="10"/>
  <c r="G16" i="10"/>
  <c r="F17" i="10"/>
  <c r="S38" i="8"/>
  <c r="P12" i="8"/>
  <c r="Q12" i="8" s="1"/>
  <c r="O13" i="8" s="1"/>
  <c r="S14" i="8"/>
  <c r="Q34" i="8"/>
  <c r="O35" i="8" s="1"/>
  <c r="K88" i="4"/>
  <c r="I89" i="4"/>
  <c r="K89" i="4" s="1"/>
  <c r="L89" i="4"/>
  <c r="H90" i="4"/>
  <c r="G58" i="4"/>
  <c r="H58" i="4" s="1"/>
  <c r="G17" i="10" l="1"/>
  <c r="F18" i="10"/>
  <c r="F42" i="10"/>
  <c r="G41" i="10"/>
  <c r="P13" i="8"/>
  <c r="X13" i="8" s="1"/>
  <c r="P35" i="8"/>
  <c r="X35" i="8" s="1"/>
  <c r="S15" i="8"/>
  <c r="X12" i="8"/>
  <c r="S39" i="8"/>
  <c r="G59" i="4"/>
  <c r="H59" i="4" s="1"/>
  <c r="I90" i="4"/>
  <c r="K90" i="4" s="1"/>
  <c r="L90" i="4"/>
  <c r="H91" i="4"/>
  <c r="G42" i="10" l="1"/>
  <c r="F43" i="10"/>
  <c r="F19" i="10"/>
  <c r="G18" i="10"/>
  <c r="S40" i="8"/>
  <c r="S16" i="8"/>
  <c r="Q35" i="8"/>
  <c r="O36" i="8" s="1"/>
  <c r="Q13" i="8"/>
  <c r="O14" i="8" s="1"/>
  <c r="G60" i="4"/>
  <c r="H60" i="4" s="1"/>
  <c r="L91" i="4"/>
  <c r="H92" i="4"/>
  <c r="I91" i="4"/>
  <c r="K91" i="4" s="1"/>
  <c r="F44" i="10" l="1"/>
  <c r="G43" i="10"/>
  <c r="F20" i="10"/>
  <c r="G19" i="10"/>
  <c r="P14" i="8"/>
  <c r="P36" i="8"/>
  <c r="X36" i="8" s="1"/>
  <c r="S17" i="8"/>
  <c r="S41" i="8"/>
  <c r="G61" i="4"/>
  <c r="H61" i="4" s="1"/>
  <c r="I92" i="4"/>
  <c r="K92" i="4" s="1"/>
  <c r="H93" i="4"/>
  <c r="L92" i="4"/>
  <c r="F21" i="10" l="1"/>
  <c r="G20" i="10"/>
  <c r="G44" i="10"/>
  <c r="F45" i="10"/>
  <c r="X14" i="8"/>
  <c r="S42" i="8"/>
  <c r="S18" i="8"/>
  <c r="Q36" i="8"/>
  <c r="O37" i="8" s="1"/>
  <c r="Q14" i="8"/>
  <c r="O15" i="8" s="1"/>
  <c r="G62" i="4"/>
  <c r="H62" i="4"/>
  <c r="L93" i="4"/>
  <c r="H94" i="4"/>
  <c r="J93" i="4"/>
  <c r="G45" i="10" l="1"/>
  <c r="F46" i="10"/>
  <c r="F22" i="10"/>
  <c r="G21" i="10"/>
  <c r="P37" i="8"/>
  <c r="X37" i="8" s="1"/>
  <c r="S19" i="8"/>
  <c r="P15" i="8"/>
  <c r="Q15" i="8" s="1"/>
  <c r="O16" i="8" s="1"/>
  <c r="S43" i="8"/>
  <c r="G63" i="4"/>
  <c r="H63" i="4" s="1"/>
  <c r="G64" i="4" s="1"/>
  <c r="L94" i="4"/>
  <c r="H95" i="4"/>
  <c r="L95" i="4" s="1"/>
  <c r="G46" i="10" l="1"/>
  <c r="F47" i="10"/>
  <c r="G22" i="10"/>
  <c r="F23" i="10"/>
  <c r="P16" i="8"/>
  <c r="X16" i="8" s="1"/>
  <c r="S44" i="8"/>
  <c r="X15" i="8"/>
  <c r="S20" i="8"/>
  <c r="Q37" i="8"/>
  <c r="O38" i="8" s="1"/>
  <c r="M96" i="4"/>
  <c r="M95" i="4" s="1"/>
  <c r="M94" i="4" s="1"/>
  <c r="Q16" i="8" l="1"/>
  <c r="O17" i="8" s="1"/>
  <c r="G23" i="10"/>
  <c r="F24" i="10"/>
  <c r="G47" i="10"/>
  <c r="F48" i="10"/>
  <c r="S45" i="8"/>
  <c r="P38" i="8"/>
  <c r="X38" i="8" s="1"/>
  <c r="S21" i="8"/>
  <c r="P17" i="8"/>
  <c r="X17" i="8" s="1"/>
  <c r="Q17" i="8"/>
  <c r="O18" i="8" s="1"/>
  <c r="M93" i="4"/>
  <c r="F49" i="10" l="1"/>
  <c r="G48" i="10"/>
  <c r="F25" i="10"/>
  <c r="G24" i="10"/>
  <c r="S22" i="8"/>
  <c r="P18" i="8"/>
  <c r="X18" i="8" s="1"/>
  <c r="Q38" i="8"/>
  <c r="O39" i="8" s="1"/>
  <c r="S46" i="8"/>
  <c r="M92" i="4"/>
  <c r="F26" i="10" l="1"/>
  <c r="G25" i="10"/>
  <c r="G49" i="10"/>
  <c r="F50" i="10"/>
  <c r="P39" i="8"/>
  <c r="X39" i="8" s="1"/>
  <c r="S47" i="8"/>
  <c r="Q18" i="8"/>
  <c r="O19" i="8" s="1"/>
  <c r="S23" i="8"/>
  <c r="M91" i="4"/>
  <c r="G26" i="10" l="1"/>
  <c r="F27" i="10"/>
  <c r="G50" i="10"/>
  <c r="F51" i="10"/>
  <c r="S24" i="8"/>
  <c r="P19" i="8"/>
  <c r="X19" i="8" s="1"/>
  <c r="S48" i="8"/>
  <c r="Q39" i="8"/>
  <c r="O40" i="8" s="1"/>
  <c r="M90" i="4"/>
  <c r="G51" i="10" l="1"/>
  <c r="F52" i="10"/>
  <c r="G27" i="10"/>
  <c r="O25" i="10" s="1"/>
  <c r="P25" i="10" s="1"/>
  <c r="F28" i="10"/>
  <c r="O22" i="10"/>
  <c r="P22" i="10" s="1"/>
  <c r="S49" i="8"/>
  <c r="P40" i="8"/>
  <c r="X40" i="8" s="1"/>
  <c r="Q19" i="8"/>
  <c r="O20" i="8" s="1"/>
  <c r="S25" i="8"/>
  <c r="M89" i="4"/>
  <c r="H26" i="10" l="1"/>
  <c r="O27" i="10"/>
  <c r="P27" i="10"/>
  <c r="O9" i="10"/>
  <c r="P9" i="10" s="1"/>
  <c r="Q9" i="10" s="1"/>
  <c r="R9" i="10" s="1"/>
  <c r="O10" i="10"/>
  <c r="P10" i="10" s="1"/>
  <c r="O12" i="10"/>
  <c r="P12" i="10" s="1"/>
  <c r="O11" i="10"/>
  <c r="P11" i="10" s="1"/>
  <c r="O13" i="10"/>
  <c r="P13" i="10" s="1"/>
  <c r="O14" i="10"/>
  <c r="P14" i="10" s="1"/>
  <c r="O15" i="10"/>
  <c r="P15" i="10" s="1"/>
  <c r="O20" i="10"/>
  <c r="P20" i="10" s="1"/>
  <c r="O17" i="10"/>
  <c r="P17" i="10" s="1"/>
  <c r="O18" i="10"/>
  <c r="P18" i="10" s="1"/>
  <c r="O16" i="10"/>
  <c r="P16" i="10" s="1"/>
  <c r="O19" i="10"/>
  <c r="P19" i="10" s="1"/>
  <c r="O21" i="10"/>
  <c r="P21" i="10" s="1"/>
  <c r="O23" i="10"/>
  <c r="P23" i="10" s="1"/>
  <c r="O24" i="10"/>
  <c r="P24" i="10" s="1"/>
  <c r="F53" i="10"/>
  <c r="G52" i="10"/>
  <c r="O26" i="10"/>
  <c r="P26" i="10" s="1"/>
  <c r="S26" i="8"/>
  <c r="P20" i="8"/>
  <c r="X20" i="8" s="1"/>
  <c r="Q40" i="8"/>
  <c r="O41" i="8" s="1"/>
  <c r="S50" i="8"/>
  <c r="M88" i="4"/>
  <c r="Q10" i="10" l="1"/>
  <c r="I26" i="10"/>
  <c r="H25" i="10"/>
  <c r="F54" i="10"/>
  <c r="G53" i="10"/>
  <c r="O50" i="10" s="1"/>
  <c r="P50" i="10" s="1"/>
  <c r="R10" i="10"/>
  <c r="Q11" i="10" s="1"/>
  <c r="O47" i="10"/>
  <c r="P47" i="10" s="1"/>
  <c r="O49" i="10"/>
  <c r="P49" i="10" s="1"/>
  <c r="Q20" i="8"/>
  <c r="O21" i="8" s="1"/>
  <c r="S51" i="8"/>
  <c r="P41" i="8"/>
  <c r="X41" i="8" s="1"/>
  <c r="S27" i="8"/>
  <c r="M87" i="4"/>
  <c r="N87" i="4" s="1"/>
  <c r="N88" i="4"/>
  <c r="O88" i="4" s="1"/>
  <c r="O52" i="10" l="1"/>
  <c r="P52" i="10" s="1"/>
  <c r="O48" i="10"/>
  <c r="P48" i="10" s="1"/>
  <c r="I25" i="10"/>
  <c r="H24" i="10"/>
  <c r="R11" i="10"/>
  <c r="H52" i="10"/>
  <c r="O53" i="10"/>
  <c r="P53" i="10" s="1"/>
  <c r="O36" i="10"/>
  <c r="P36" i="10" s="1"/>
  <c r="O35" i="10"/>
  <c r="P35" i="10" s="1"/>
  <c r="Q35" i="10" s="1"/>
  <c r="R35" i="10" s="1"/>
  <c r="O37" i="10"/>
  <c r="P37" i="10" s="1"/>
  <c r="O38" i="10"/>
  <c r="P38" i="10" s="1"/>
  <c r="O39" i="10"/>
  <c r="P39" i="10" s="1"/>
  <c r="O40" i="10"/>
  <c r="P40" i="10" s="1"/>
  <c r="O41" i="10"/>
  <c r="P41" i="10" s="1"/>
  <c r="O45" i="10"/>
  <c r="P45" i="10" s="1"/>
  <c r="O46" i="10"/>
  <c r="P46" i="10" s="1"/>
  <c r="O43" i="10"/>
  <c r="P43" i="10" s="1"/>
  <c r="O42" i="10"/>
  <c r="P42" i="10" s="1"/>
  <c r="O44" i="10"/>
  <c r="P44" i="10" s="1"/>
  <c r="O51" i="10"/>
  <c r="P51" i="10" s="1"/>
  <c r="S28" i="8"/>
  <c r="Q41" i="8"/>
  <c r="O42" i="8" s="1"/>
  <c r="P21" i="8"/>
  <c r="X21" i="8" s="1"/>
  <c r="N89" i="4"/>
  <c r="O89" i="4" s="1"/>
  <c r="Q36" i="10" l="1"/>
  <c r="R36" i="10" s="1"/>
  <c r="I52" i="10"/>
  <c r="H51" i="10"/>
  <c r="Q12" i="10"/>
  <c r="R12" i="10" s="1"/>
  <c r="I24" i="10"/>
  <c r="H23" i="10"/>
  <c r="Q21" i="8"/>
  <c r="O22" i="8" s="1"/>
  <c r="P42" i="8"/>
  <c r="X42" i="8" s="1"/>
  <c r="N90" i="4"/>
  <c r="O90" i="4" s="1"/>
  <c r="Q37" i="10" l="1"/>
  <c r="R37" i="10" s="1"/>
  <c r="I51" i="10"/>
  <c r="H50" i="10"/>
  <c r="Q13" i="10"/>
  <c r="R13" i="10" s="1"/>
  <c r="H22" i="10"/>
  <c r="I23" i="10"/>
  <c r="Q42" i="8"/>
  <c r="O43" i="8" s="1"/>
  <c r="P22" i="8"/>
  <c r="X22" i="8" s="1"/>
  <c r="N91" i="4"/>
  <c r="O91" i="4" s="1"/>
  <c r="Q22" i="8" l="1"/>
  <c r="O23" i="8" s="1"/>
  <c r="Q38" i="10"/>
  <c r="R38" i="10" s="1"/>
  <c r="Q14" i="10"/>
  <c r="R14" i="10" s="1"/>
  <c r="I22" i="10"/>
  <c r="H21" i="10"/>
  <c r="H49" i="10"/>
  <c r="I50" i="10"/>
  <c r="P43" i="8"/>
  <c r="X43" i="8" s="1"/>
  <c r="P23" i="8"/>
  <c r="X23" i="8" s="1"/>
  <c r="N92" i="4"/>
  <c r="O92" i="4" s="1"/>
  <c r="Q15" i="10" l="1"/>
  <c r="R15" i="10" s="1"/>
  <c r="Q39" i="10"/>
  <c r="R39" i="10" s="1"/>
  <c r="H48" i="10"/>
  <c r="I49" i="10"/>
  <c r="H20" i="10"/>
  <c r="I21" i="10"/>
  <c r="Q43" i="8"/>
  <c r="O44" i="8" s="1"/>
  <c r="Q23" i="8"/>
  <c r="O24" i="8" s="1"/>
  <c r="N93" i="4"/>
  <c r="O93" i="4" s="1"/>
  <c r="Q40" i="10" l="1"/>
  <c r="R40" i="10" s="1"/>
  <c r="H47" i="10"/>
  <c r="I48" i="10"/>
  <c r="H19" i="10"/>
  <c r="I20" i="10"/>
  <c r="Q16" i="10"/>
  <c r="R16" i="10" s="1"/>
  <c r="P24" i="8"/>
  <c r="X24" i="8" s="1"/>
  <c r="P44" i="8"/>
  <c r="X44" i="8" s="1"/>
  <c r="N94" i="4"/>
  <c r="O94" i="4" s="1"/>
  <c r="Q24" i="8" l="1"/>
  <c r="O25" i="8" s="1"/>
  <c r="P25" i="8" s="1"/>
  <c r="X25" i="8" s="1"/>
  <c r="Q17" i="10"/>
  <c r="R17" i="10" s="1"/>
  <c r="Q41" i="10"/>
  <c r="R41" i="10" s="1"/>
  <c r="I47" i="10"/>
  <c r="H46" i="10"/>
  <c r="H18" i="10"/>
  <c r="I19" i="10"/>
  <c r="Q44" i="8"/>
  <c r="O45" i="8" s="1"/>
  <c r="N95" i="4"/>
  <c r="O95" i="4" s="1"/>
  <c r="Q42" i="10" l="1"/>
  <c r="R42" i="10" s="1"/>
  <c r="Q18" i="10"/>
  <c r="R18" i="10" s="1"/>
  <c r="H17" i="10"/>
  <c r="I18" i="10"/>
  <c r="H45" i="10"/>
  <c r="I46" i="10"/>
  <c r="Q25" i="8"/>
  <c r="O26" i="8" s="1"/>
  <c r="P45" i="8"/>
  <c r="X45" i="8" s="1"/>
  <c r="N96" i="4"/>
  <c r="O96" i="4" s="1"/>
  <c r="Q45" i="8" l="1"/>
  <c r="O46" i="8" s="1"/>
  <c r="Q19" i="10"/>
  <c r="R19" i="10" s="1"/>
  <c r="Q43" i="10"/>
  <c r="R43" i="10" s="1"/>
  <c r="H44" i="10"/>
  <c r="I45" i="10"/>
  <c r="H16" i="10"/>
  <c r="I17" i="10"/>
  <c r="P46" i="8"/>
  <c r="X46" i="8" s="1"/>
  <c r="P26" i="8"/>
  <c r="X26" i="8" s="1"/>
  <c r="Q26" i="8" l="1"/>
  <c r="O27" i="8" s="1"/>
  <c r="P27" i="8" s="1"/>
  <c r="X27" i="8" s="1"/>
  <c r="Q44" i="10"/>
  <c r="R44" i="10" s="1"/>
  <c r="Q20" i="10"/>
  <c r="R20" i="10" s="1"/>
  <c r="H15" i="10"/>
  <c r="I16" i="10"/>
  <c r="I44" i="10"/>
  <c r="H43" i="10"/>
  <c r="Q46" i="8"/>
  <c r="O47" i="8" s="1"/>
  <c r="Q27" i="8" l="1"/>
  <c r="O28" i="8" s="1"/>
  <c r="Q21" i="10"/>
  <c r="R21" i="10" s="1"/>
  <c r="Q45" i="10"/>
  <c r="R45" i="10" s="1"/>
  <c r="H14" i="10"/>
  <c r="I15" i="10"/>
  <c r="I43" i="10"/>
  <c r="H42" i="10"/>
  <c r="P47" i="8"/>
  <c r="X47" i="8" s="1"/>
  <c r="P28" i="8"/>
  <c r="Q22" i="10" l="1"/>
  <c r="R22" i="10" s="1"/>
  <c r="I42" i="10"/>
  <c r="H41" i="10"/>
  <c r="I14" i="10"/>
  <c r="H13" i="10"/>
  <c r="R46" i="10"/>
  <c r="Q46" i="10"/>
  <c r="E13" i="8"/>
  <c r="X28" i="8"/>
  <c r="Q28" i="8"/>
  <c r="R28" i="8" s="1"/>
  <c r="W28" i="8" s="1"/>
  <c r="E10" i="8" s="1"/>
  <c r="Q47" i="8"/>
  <c r="O48" i="8" s="1"/>
  <c r="Q23" i="10" l="1"/>
  <c r="R23" i="10" s="1"/>
  <c r="Q47" i="10"/>
  <c r="R47" i="10" s="1"/>
  <c r="H40" i="10"/>
  <c r="I41" i="10"/>
  <c r="I13" i="10"/>
  <c r="H12" i="10"/>
  <c r="P48" i="8"/>
  <c r="X48" i="8" s="1"/>
  <c r="Q48" i="10" l="1"/>
  <c r="R48" i="10" s="1"/>
  <c r="Q24" i="10"/>
  <c r="R24" i="10" s="1"/>
  <c r="H39" i="10"/>
  <c r="I40" i="10"/>
  <c r="I12" i="10"/>
  <c r="H11" i="10"/>
  <c r="Q48" i="8"/>
  <c r="O49" i="8" s="1"/>
  <c r="Q25" i="10" l="1"/>
  <c r="R25" i="10" s="1"/>
  <c r="Q49" i="10"/>
  <c r="R49" i="10" s="1"/>
  <c r="I39" i="10"/>
  <c r="H38" i="10"/>
  <c r="H10" i="10"/>
  <c r="I11" i="10"/>
  <c r="P49" i="8"/>
  <c r="X49" i="8" s="1"/>
  <c r="Q49" i="8"/>
  <c r="O50" i="8" s="1"/>
  <c r="Q26" i="10" l="1"/>
  <c r="R26" i="10" s="1"/>
  <c r="Q50" i="10"/>
  <c r="R50" i="10" s="1"/>
  <c r="I10" i="10"/>
  <c r="H9" i="10"/>
  <c r="H37" i="10"/>
  <c r="I38" i="10"/>
  <c r="P50" i="8"/>
  <c r="X50" i="8" s="1"/>
  <c r="Q51" i="10" l="1"/>
  <c r="R51" i="10" s="1"/>
  <c r="H8" i="10"/>
  <c r="I9" i="10"/>
  <c r="H36" i="10"/>
  <c r="I37" i="10"/>
  <c r="Q27" i="10"/>
  <c r="R27" i="10" s="1"/>
  <c r="Q50" i="8"/>
  <c r="O51" i="8" s="1"/>
  <c r="R52" i="10" l="1"/>
  <c r="Q52" i="10"/>
  <c r="H35" i="10"/>
  <c r="I36" i="10"/>
  <c r="I8" i="10"/>
  <c r="I29" i="10" s="1"/>
  <c r="M8" i="10"/>
  <c r="P51" i="8"/>
  <c r="X51" i="8" s="1"/>
  <c r="F36" i="8" s="1"/>
  <c r="Q51" i="8"/>
  <c r="R51" i="8" s="1"/>
  <c r="W51" i="8" s="1"/>
  <c r="F35" i="8" s="1"/>
  <c r="Q53" i="10" l="1"/>
  <c r="R53" i="10" s="1"/>
  <c r="J9" i="10"/>
  <c r="I35" i="10"/>
  <c r="H34" i="10"/>
  <c r="F37" i="8"/>
  <c r="I34" i="10" l="1"/>
  <c r="I55" i="10" s="1"/>
  <c r="M34" i="10"/>
  <c r="J10" i="10"/>
  <c r="K9" i="10"/>
  <c r="L9" i="10" l="1"/>
  <c r="M9" i="10" s="1"/>
  <c r="J35" i="10"/>
  <c r="J11" i="10"/>
  <c r="K10" i="10"/>
  <c r="L10" i="10" l="1"/>
  <c r="M10" i="10" s="1"/>
  <c r="K11" i="10"/>
  <c r="J12" i="10"/>
  <c r="K35" i="10"/>
  <c r="J36" i="10"/>
  <c r="L11" i="10" l="1"/>
  <c r="M11" i="10" s="1"/>
  <c r="J37" i="10"/>
  <c r="K36" i="10"/>
  <c r="L35" i="10"/>
  <c r="M35" i="10" s="1"/>
  <c r="K12" i="10"/>
  <c r="J13" i="10"/>
  <c r="L36" i="10" l="1"/>
  <c r="M36" i="10" s="1"/>
  <c r="L12" i="10"/>
  <c r="M12" i="10" s="1"/>
  <c r="K13" i="10"/>
  <c r="J14" i="10"/>
  <c r="J38" i="10"/>
  <c r="K37" i="10"/>
  <c r="L13" i="10" l="1"/>
  <c r="M13" i="10" s="1"/>
  <c r="L37" i="10"/>
  <c r="M37" i="10" s="1"/>
  <c r="J39" i="10"/>
  <c r="K38" i="10"/>
  <c r="J15" i="10"/>
  <c r="K14" i="10"/>
  <c r="M38" i="10" l="1"/>
  <c r="L38" i="10"/>
  <c r="L14" i="10"/>
  <c r="M14" i="10" s="1"/>
  <c r="K15" i="10"/>
  <c r="J16" i="10"/>
  <c r="J40" i="10"/>
  <c r="K39" i="10"/>
  <c r="L15" i="10" l="1"/>
  <c r="M15" i="10" s="1"/>
  <c r="K16" i="10"/>
  <c r="J17" i="10"/>
  <c r="K40" i="10"/>
  <c r="J41" i="10"/>
  <c r="L39" i="10"/>
  <c r="M39" i="10" s="1"/>
  <c r="L40" i="10" l="1"/>
  <c r="M40" i="10" s="1"/>
  <c r="L16" i="10"/>
  <c r="M16" i="10"/>
  <c r="K41" i="10"/>
  <c r="J42" i="10"/>
  <c r="K17" i="10"/>
  <c r="J18" i="10"/>
  <c r="L41" i="10" l="1"/>
  <c r="M41" i="10" s="1"/>
  <c r="K42" i="10"/>
  <c r="J43" i="10"/>
  <c r="J19" i="10"/>
  <c r="K18" i="10"/>
  <c r="L17" i="10"/>
  <c r="M17" i="10"/>
  <c r="L42" i="10" l="1"/>
  <c r="M42" i="10" s="1"/>
  <c r="L18" i="10"/>
  <c r="M18" i="10" s="1"/>
  <c r="K43" i="10"/>
  <c r="J44" i="10"/>
  <c r="J20" i="10"/>
  <c r="K19" i="10"/>
  <c r="L19" i="10" l="1"/>
  <c r="M19" i="10" s="1"/>
  <c r="L43" i="10"/>
  <c r="M43" i="10" s="1"/>
  <c r="K20" i="10"/>
  <c r="J21" i="10"/>
  <c r="J45" i="10"/>
  <c r="K44" i="10"/>
  <c r="M44" i="10" l="1"/>
  <c r="L44" i="10"/>
  <c r="L20" i="10"/>
  <c r="M20" i="10"/>
  <c r="J22" i="10"/>
  <c r="K21" i="10"/>
  <c r="K45" i="10"/>
  <c r="J46" i="10"/>
  <c r="K46" i="10" l="1"/>
  <c r="J47" i="10"/>
  <c r="K22" i="10"/>
  <c r="J23" i="10"/>
  <c r="L21" i="10"/>
  <c r="M21" i="10" s="1"/>
  <c r="L45" i="10"/>
  <c r="M45" i="10" s="1"/>
  <c r="L46" i="10" l="1"/>
  <c r="M46" i="10" s="1"/>
  <c r="L22" i="10"/>
  <c r="M22" i="10" s="1"/>
  <c r="K23" i="10"/>
  <c r="J24" i="10"/>
  <c r="K47" i="10"/>
  <c r="J48" i="10"/>
  <c r="L47" i="10" l="1"/>
  <c r="M47" i="10"/>
  <c r="J49" i="10"/>
  <c r="K48" i="10"/>
  <c r="K24" i="10"/>
  <c r="J25" i="10"/>
  <c r="L23" i="10"/>
  <c r="M23" i="10" s="1"/>
  <c r="L24" i="10" l="1"/>
  <c r="M24" i="10" s="1"/>
  <c r="L48" i="10"/>
  <c r="M48" i="10" s="1"/>
  <c r="K25" i="10"/>
  <c r="J26" i="10"/>
  <c r="K49" i="10"/>
  <c r="J50" i="10"/>
  <c r="L49" i="10" l="1"/>
  <c r="M49" i="10" s="1"/>
  <c r="L25" i="10"/>
  <c r="M25" i="10" s="1"/>
  <c r="J27" i="10"/>
  <c r="K27" i="10" s="1"/>
  <c r="K26" i="10"/>
  <c r="K50" i="10"/>
  <c r="J51" i="10"/>
  <c r="L26" i="10" l="1"/>
  <c r="M26" i="10"/>
  <c r="L50" i="10"/>
  <c r="M50" i="10"/>
  <c r="J52" i="10"/>
  <c r="K51" i="10"/>
  <c r="K52" i="10" l="1"/>
  <c r="J53" i="10"/>
  <c r="K53" i="10" s="1"/>
  <c r="L51" i="10"/>
  <c r="M51" i="10" s="1"/>
  <c r="L52" i="10" l="1"/>
  <c r="M52"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<sst xmlns="http://schemas.openxmlformats.org/spreadsheetml/2006/main" count="1008" uniqueCount="563">
  <si>
    <t>Calculate the Sales Inducement Asset and Amortization using the group contract method assuming 1,000 policies.</t>
  </si>
  <si>
    <t>Rates</t>
  </si>
  <si>
    <t>Values</t>
  </si>
  <si>
    <t>Duration</t>
  </si>
  <si>
    <t xml:space="preserve">Termination </t>
  </si>
  <si>
    <t>Account</t>
  </si>
  <si>
    <t>The Account Values per policy  and Termination Rates by duration are</t>
  </si>
  <si>
    <t>The deferred annuity contract has a 10% sales inducement that is credited at duration 7 for persisting contractholders</t>
  </si>
  <si>
    <t>Calculate the DAC amortization using the straight line method</t>
  </si>
  <si>
    <t>Expense</t>
  </si>
  <si>
    <t>Termination</t>
  </si>
  <si>
    <t xml:space="preserve">Deferrable </t>
  </si>
  <si>
    <t>The whole life policy Deferred Expenses and Termination Rates are</t>
  </si>
  <si>
    <t>(b) The DAC amortization after the company revises its expected earned premium in the second quarter to $2,500</t>
  </si>
  <si>
    <t>(a) The initial DAC amortization by quarter</t>
  </si>
  <si>
    <t>Calculate:</t>
  </si>
  <si>
    <t>In the second quarter, quarterly earned premiums have increased to $2,500</t>
  </si>
  <si>
    <t>The one year travel accident policy has quarterly earned premiums of $1,500 and deferable expenses of $160</t>
  </si>
  <si>
    <t>A deferred annuity contract</t>
  </si>
  <si>
    <t xml:space="preserve">A whole life insurance policy </t>
  </si>
  <si>
    <t>A one year travel accident policy</t>
  </si>
  <si>
    <t>A life insurance company issued the following products:</t>
  </si>
  <si>
    <t>US GAAP for Insurers, Chapter 4</t>
  </si>
  <si>
    <t>Source:</t>
  </si>
  <si>
    <t>End of year</t>
  </si>
  <si>
    <t>EOY</t>
  </si>
  <si>
    <t>Beginning of year</t>
  </si>
  <si>
    <t>BOY</t>
  </si>
  <si>
    <t>Sales Inducement Asset</t>
  </si>
  <si>
    <t>SIA</t>
  </si>
  <si>
    <t>The following abbreviations are used :</t>
  </si>
  <si>
    <t>NOTE: Pay close attention to column headings; at each duration, some values are end of year, ithers are beginning of year</t>
  </si>
  <si>
    <t>SIA Asset (EOY) =  Liability (cohort) - SIA Amortization + Deferred Amount (EOY)</t>
  </si>
  <si>
    <t>Column (M)</t>
  </si>
  <si>
    <t>SIA Amortization = SIA Asset (EOY) * inforce Measure (EOY) / Sum of Current and Future inforce</t>
  </si>
  <si>
    <t>Column (L)</t>
  </si>
  <si>
    <t>Sum of Current and Future inforce starts at the EOY inforce in duration 9  and adds up the table to duration 1 using the last duration Inforce Measure + the prior period Sum of Current and Future Inforce</t>
  </si>
  <si>
    <t>Column (K)</t>
  </si>
  <si>
    <t>Inforce Measure starts at 10,000,000 times the Survival Rate</t>
  </si>
  <si>
    <t>Column (J)</t>
  </si>
  <si>
    <t xml:space="preserve">Deferred Amount (EOY) = current year Liability (cohort)  -  prior year Liability (cohort) </t>
  </si>
  <si>
    <t>Column (I)  years  2+</t>
  </si>
  <si>
    <t>Deferable amount (EOY)= Liability (cohort)</t>
  </si>
  <si>
    <t>Column (I)  year 1</t>
  </si>
  <si>
    <t>Credited (cohort) = Credited (per policy) *  Policies (EOY)</t>
  </si>
  <si>
    <t>Column (H)</t>
  </si>
  <si>
    <t>Liability (cohort) = Liability per policy * Policies (EOY)</t>
  </si>
  <si>
    <t xml:space="preserve">Column (G) </t>
  </si>
  <si>
    <t>1,000 policies * Survival Rate</t>
  </si>
  <si>
    <t xml:space="preserve">Column (F) </t>
  </si>
  <si>
    <t>Survival Rate = 1 - Termination Rate</t>
  </si>
  <si>
    <t>Column (E)</t>
  </si>
  <si>
    <t>Input from question</t>
  </si>
  <si>
    <t>Column (D)</t>
  </si>
  <si>
    <t>Credited per policy  = (prior period account value + prior year liability ) * 10%</t>
  </si>
  <si>
    <t>Column (C)</t>
  </si>
  <si>
    <t>Liability (per policy ) = accrual rate * completion ratio * Account Value = (10% accrual rate) * policy year / 7 * Account Value</t>
  </si>
  <si>
    <t>Column (B)</t>
  </si>
  <si>
    <t>Column (A)</t>
  </si>
  <si>
    <t>Amortization</t>
  </si>
  <si>
    <t>(Cohort)</t>
  </si>
  <si>
    <t>End of Year</t>
  </si>
  <si>
    <t>Rate</t>
  </si>
  <si>
    <t>per Policy</t>
  </si>
  <si>
    <t>Year</t>
  </si>
  <si>
    <t>SIA Asset</t>
  </si>
  <si>
    <t>Inforce</t>
  </si>
  <si>
    <t>Measure</t>
  </si>
  <si>
    <t>Amount</t>
  </si>
  <si>
    <t>Credited</t>
  </si>
  <si>
    <t>Liability</t>
  </si>
  <si>
    <t>Policies</t>
  </si>
  <si>
    <t>Survival</t>
  </si>
  <si>
    <t xml:space="preserve">Liability </t>
  </si>
  <si>
    <t xml:space="preserve">Value </t>
  </si>
  <si>
    <t>And Future</t>
  </si>
  <si>
    <t>In Force</t>
  </si>
  <si>
    <t>Deferred</t>
  </si>
  <si>
    <t>Sum of Current</t>
  </si>
  <si>
    <t>(M)</t>
  </si>
  <si>
    <t>(L)</t>
  </si>
  <si>
    <t>(K)</t>
  </si>
  <si>
    <t>(J)</t>
  </si>
  <si>
    <t>(I)</t>
  </si>
  <si>
    <t>(H)</t>
  </si>
  <si>
    <t>(G)</t>
  </si>
  <si>
    <t>(F)</t>
  </si>
  <si>
    <t>(E)</t>
  </si>
  <si>
    <t>(D)</t>
  </si>
  <si>
    <t>(C)</t>
  </si>
  <si>
    <t>(B)</t>
  </si>
  <si>
    <t>(A)</t>
  </si>
  <si>
    <t xml:space="preserve">     The final step is to calculate the Sales Inducement Asset and its amortization--columns (L) and (M)</t>
  </si>
  <si>
    <t xml:space="preserve">     The second step is to convert the calculation to a group amortization--columns (F) through (K)</t>
  </si>
  <si>
    <t xml:space="preserve">     The first step is to calculate the liability on a per policy basis--columns (A) through (E)</t>
  </si>
  <si>
    <t>The calculation shown has three distinct steps</t>
  </si>
  <si>
    <t>Calculation of the Sales Inducement Asset on a group basis</t>
  </si>
  <si>
    <t xml:space="preserve">DAC Balance = prior year DAC Asset - DAC Amortization (current year) + Deferred Expense (current year) </t>
  </si>
  <si>
    <t>Column (F) years 2+</t>
  </si>
  <si>
    <t>DAC Balance = Deferred Expense (year 1) - DAC Amortization</t>
  </si>
  <si>
    <t>Column (F) year 1</t>
  </si>
  <si>
    <t xml:space="preserve">DAC Amortization = prior period ending DAC Balance / Expected Future Life </t>
  </si>
  <si>
    <t>Column (E) years 2+</t>
  </si>
  <si>
    <t xml:space="preserve">DAC Amortization = Deferred Expense / Expected Future Life </t>
  </si>
  <si>
    <t>Column (E) year 1</t>
  </si>
  <si>
    <t>Expected Future Life starts at 1 in duration 10 and adds up the table to duration 1 using the last duration Expected Future Life * the current period Survival Rate   +1</t>
  </si>
  <si>
    <t>Survival rate = 1 - Termination Rate</t>
  </si>
  <si>
    <t>Column (A) and (B)</t>
  </si>
  <si>
    <t>Balance</t>
  </si>
  <si>
    <t>Future Life</t>
  </si>
  <si>
    <t>Ending DAC</t>
  </si>
  <si>
    <t>DAC</t>
  </si>
  <si>
    <t xml:space="preserve">Expected </t>
  </si>
  <si>
    <t>A whole life contract is a long duration contract that is amortized using the straight line method</t>
  </si>
  <si>
    <t>DAC Balance =  Deferred Expense * Future Expected Earned Premium in column (C) / lifetime Policy Premiums in column (C) total</t>
  </si>
  <si>
    <t>Column (E) Q2-Q4</t>
  </si>
  <si>
    <t>DAC Balance  = Expense Deferred  -  DAC Amortization</t>
  </si>
  <si>
    <t>Column (E) Q1</t>
  </si>
  <si>
    <t>DAC Amortization is the difference between  the prior period DAC Asset and the current period DAC Asset (NOTE: DAC asset is calculated before DAC Amortization)</t>
  </si>
  <si>
    <t>Column (D) Q2-Q4</t>
  </si>
  <si>
    <t>DAC Amortization = Deferred Expense * Original Premium Earned in the period (column B)  /  the Sum of the Earned Premiums in column (B)</t>
  </si>
  <si>
    <t>Column (D) Q1</t>
  </si>
  <si>
    <t>Input from question--Earned Premium revised in Q2 for all future quarters</t>
  </si>
  <si>
    <t>Total</t>
  </si>
  <si>
    <t>Revised Q2</t>
  </si>
  <si>
    <t>Original</t>
  </si>
  <si>
    <t>Quarter</t>
  </si>
  <si>
    <t xml:space="preserve">Premium </t>
  </si>
  <si>
    <t xml:space="preserve">Earned </t>
  </si>
  <si>
    <t>DAC is fully written off at the end  of the policy term</t>
  </si>
  <si>
    <t>DAC Asset and DAC Amortization  changes because the Earned Premium changes</t>
  </si>
  <si>
    <t>The first quarter DAC and DAC Amortization are unchanged from solution 1 (a) because it is using the Original Earned Premium in column (B)</t>
  </si>
  <si>
    <t>This is similar to the previous solution in 1 (a), except that the premium estimate has changed in the second quarter</t>
  </si>
  <si>
    <t>1 (b)</t>
  </si>
  <si>
    <t>DAC Balance  is prior period DAC Balance less current period  DAC Amortization</t>
  </si>
  <si>
    <t>Column (D) Q2 - Q4</t>
  </si>
  <si>
    <t>DAC Balance  is Expense Deferred less DAC Amortization</t>
  </si>
  <si>
    <t>DAC Amortization = Deferrable Expense * Premium Earned in the current quarter  / the Sum of the Earned Premiums  (column B total)</t>
  </si>
  <si>
    <t>Premium</t>
  </si>
  <si>
    <t>DAC  amortization is written off on a straight line basis using the premium in the current period divided by the entire anticipated premium</t>
  </si>
  <si>
    <t>Earned premium by quarter is estimated at policy inception and does not differ from expectation over the life of the policy</t>
  </si>
  <si>
    <t>The DAC amortization for the short term contracts is based on earned premium.</t>
  </si>
  <si>
    <t>The travel accident policy  is  a short term contract because its term is one year.</t>
  </si>
  <si>
    <t>1 (a)</t>
  </si>
  <si>
    <t>Claims</t>
  </si>
  <si>
    <t>in Force</t>
  </si>
  <si>
    <t>Gross</t>
  </si>
  <si>
    <t xml:space="preserve">Insurance </t>
  </si>
  <si>
    <t>Calculate the remeasurement  amount included in income for year 2.</t>
  </si>
  <si>
    <t>(iii)</t>
  </si>
  <si>
    <t>Calculate the revised deferred profit liability for years 2 and later.</t>
  </si>
  <si>
    <t>(ii)</t>
  </si>
  <si>
    <t>Part  (c) table with updated claims</t>
  </si>
  <si>
    <t>Calculate the revised benefit reserves for years 2 and later.</t>
  </si>
  <si>
    <t>(i)</t>
  </si>
  <si>
    <t>As a result, expected amounts of insurance inforce in future years is updated, as shown in the table to the right.</t>
  </si>
  <si>
    <t>All assumptions are realized in year 1.  But in year 2, death benefits  are  600.</t>
  </si>
  <si>
    <t>(c)</t>
  </si>
  <si>
    <t>Calculate the deferred profit liability for years 1-9.</t>
  </si>
  <si>
    <t>(b)</t>
  </si>
  <si>
    <t>Calculate GAAP benefit reserves for years 1-9.</t>
  </si>
  <si>
    <t>Calculate the net premium ratio used for calculating GAAP benefit reserves.</t>
  </si>
  <si>
    <t>(a)</t>
  </si>
  <si>
    <t>The  yield of an upper-medium grade fixed income investment is 0.05.</t>
  </si>
  <si>
    <t>of insurance are assumed to be constant throughout each year.  There are no surrender benefits.</t>
  </si>
  <si>
    <t xml:space="preserve">in force for a cohort of policies are shown in the table to the right.  The death benefits are paid at the end of each year. The amounts </t>
  </si>
  <si>
    <t xml:space="preserve">at the beginning of each year for the first 3 years only.  Expected premiums, expected death benefits and expected amounts of insurance </t>
  </si>
  <si>
    <t xml:space="preserve">Consider a cohort of   10-year nonparticipating term life insurances.  Premiums are payable </t>
  </si>
  <si>
    <t>US GAAP for Insurers, Chapter 5</t>
  </si>
  <si>
    <t>DPR</t>
  </si>
  <si>
    <t>NPR</t>
  </si>
  <si>
    <t>EPV</t>
  </si>
  <si>
    <t>Remeasurement gain</t>
  </si>
  <si>
    <t>Minus NP</t>
  </si>
  <si>
    <t>Reserve</t>
  </si>
  <si>
    <t>Total reserve increase</t>
  </si>
  <si>
    <t>Def Profit</t>
  </si>
  <si>
    <t>Gross Prem</t>
  </si>
  <si>
    <t>Benefit</t>
  </si>
  <si>
    <t>Change in DPL</t>
  </si>
  <si>
    <t>Change in ben reserve</t>
  </si>
  <si>
    <t>The remeasurment is calculated based on reserves at the beginning of the year.  Here,</t>
  </si>
  <si>
    <t>See column S and the DPR in cell N34</t>
  </si>
  <si>
    <t>See column Q and the NPR in cell N33</t>
  </si>
  <si>
    <t>ANSWER to part (c)</t>
  </si>
  <si>
    <t>DPL is shown in column S</t>
  </si>
  <si>
    <t>Deferred premium ratio:</t>
  </si>
  <si>
    <t>EPV of inforce is shown in cell N14.  As in the textbook, this is as of year end, so NPV is not multiplied by 1.05.</t>
  </si>
  <si>
    <t>Excess of Gross over Net Premium is calculated as (1-NPR) times gross premium.</t>
  </si>
  <si>
    <t>ANSWER to part (b)</t>
  </si>
  <si>
    <t>Benefit reserves shown in column Q</t>
  </si>
  <si>
    <t>Net premium ratio:</t>
  </si>
  <si>
    <t>EPV of gross premiums and claims shown below table, columns O and P</t>
  </si>
  <si>
    <t>ANSWER to part (a)</t>
  </si>
  <si>
    <t>Calculate the market risk benefit liability for this scenario.</t>
  </si>
  <si>
    <t>underlying assets.</t>
  </si>
  <si>
    <t xml:space="preserve">The scenario used in part (a) is used to forecast future rates of return on the annuity's </t>
  </si>
  <si>
    <t xml:space="preserve">There is no change to the own credit rate.  </t>
  </si>
  <si>
    <t>At the end of one year, the unit value decreases 5%. The risk-free rate decreases to 0.025.</t>
  </si>
  <si>
    <t>accumulation benefit is 18.5%.</t>
  </si>
  <si>
    <t xml:space="preserve">Based on multiscenario testing, the attributed fee ratio for the guaranteed minimum </t>
  </si>
  <si>
    <t>Calculate the present value of the fees in this scenario.</t>
  </si>
  <si>
    <t>minimum accumulation benefit in this scenario.</t>
  </si>
  <si>
    <t>Calculate the present value of the excess payments for the guaranteed</t>
  </si>
  <si>
    <t>Tha annuitant contributes 100,000 to the annuity at issue.</t>
  </si>
  <si>
    <t>of survivors surrender the annuity.  There are no surrenders past year 10.</t>
  </si>
  <si>
    <t xml:space="preserve">Mortality rates for the 20 years are shown in the table to the right. In each of the first ten years, 5% </t>
  </si>
  <si>
    <t>and the own credit rate for the company is 0.002.</t>
  </si>
  <si>
    <t>one of the scenarios is shown in the table to the right.  In this scenario, the risk-free rate is 0.03,</t>
  </si>
  <si>
    <t>To value the market risk benefit for GAAP purposes, 1000 scenarios are run.  The unit values for</t>
  </si>
  <si>
    <t>The annuity charges a fee of 1.5% of the account value, deducted at the beginning of the year.</t>
  </si>
  <si>
    <t>end of 20 years.</t>
  </si>
  <si>
    <t xml:space="preserve">earn a minimum annual rate of 4% if the annuity is held for 20 years.  The annuity matures at the </t>
  </si>
  <si>
    <t>Value</t>
  </si>
  <si>
    <t>A variable deferred annuity has a guaranteed minimum accumulation benefit.  The premium will</t>
  </si>
  <si>
    <t>Mortality</t>
  </si>
  <si>
    <t>Unit</t>
  </si>
  <si>
    <t>US GAAP for Insurers, Chapter 11</t>
  </si>
  <si>
    <t>Market risk benefit liability</t>
  </si>
  <si>
    <t>PV(fees)</t>
  </si>
  <si>
    <t>PV(claims)</t>
  </si>
  <si>
    <t>by 0.95.</t>
  </si>
  <si>
    <t>accoiunt value is the premium minus the first year fee, multiplied</t>
  </si>
  <si>
    <t>Fees</t>
  </si>
  <si>
    <t>Persistency</t>
  </si>
  <si>
    <t>Exposure</t>
  </si>
  <si>
    <t>Value EOY</t>
  </si>
  <si>
    <t>Fee</t>
  </si>
  <si>
    <t>Value BOY</t>
  </si>
  <si>
    <t>Base</t>
  </si>
  <si>
    <t>We use the revised risk free rate and account value. The revised</t>
  </si>
  <si>
    <t>Projected</t>
  </si>
  <si>
    <t>Discount</t>
  </si>
  <si>
    <t>Own Credit</t>
  </si>
  <si>
    <t>Risk Free</t>
  </si>
  <si>
    <t>GMAB</t>
  </si>
  <si>
    <t>that fees are payable at the end of they year.</t>
  </si>
  <si>
    <t>Note: The textbook's eample  Tables 15 and 16 assume</t>
  </si>
  <si>
    <t>PV of fees</t>
  </si>
  <si>
    <t>0, 1, 2, …, 19 years.</t>
  </si>
  <si>
    <t>Since fees are paid at beginning of year, we discount fees for</t>
  </si>
  <si>
    <t>PV of claims</t>
  </si>
  <si>
    <t>Since  benefit if paid at end of year, we discount for 20 years.</t>
  </si>
  <si>
    <t>GMAB is only potentially made at the end of year 20.</t>
  </si>
  <si>
    <t>Unlike the textbook's example with a GMDB, the excess payment on this</t>
  </si>
  <si>
    <t>based on year 3 experience.</t>
  </si>
  <si>
    <t>In the DAC calculation, update amortization in year 3</t>
  </si>
  <si>
    <t>Calculate the revised DAC at all durations.</t>
  </si>
  <si>
    <t>Calculate the revised DPL at all durations.</t>
  </si>
  <si>
    <t>Calculate the revised benefit reserve at all durations.</t>
  </si>
  <si>
    <t>In year 3, the actual mortality rate is 0.05.</t>
  </si>
  <si>
    <t>Calculate the DAC at each duration.</t>
  </si>
  <si>
    <t>Calculate the deferred profit liabliity at each duration.</t>
  </si>
  <si>
    <t>value of future reserves.</t>
  </si>
  <si>
    <t xml:space="preserve">The deferred profit liability is amortized over the present </t>
  </si>
  <si>
    <t>Calculate the benefit reserve at all durations.</t>
  </si>
  <si>
    <t>The upper-medium fixed income instrument yield is 5%.</t>
  </si>
  <si>
    <t>The mortality table is shown to the right.</t>
  </si>
  <si>
    <t>expenses.</t>
  </si>
  <si>
    <t>The commission rate for the annuities is 3%. There are no other deferrable acquisition</t>
  </si>
  <si>
    <t>they are issued.</t>
  </si>
  <si>
    <t xml:space="preserve">annuity is 50000.  The annuities pay 7000 annually for life, starting at the end of they year </t>
  </si>
  <si>
    <t>A cohort of 200 payout annuities are issued on the same day.  The premium for each</t>
  </si>
  <si>
    <t>US GAAP for Insurers, Chapter 12</t>
  </si>
  <si>
    <t>Sum</t>
  </si>
  <si>
    <t>later.</t>
  </si>
  <si>
    <t>only for years 3 and</t>
  </si>
  <si>
    <t>are actually updated</t>
  </si>
  <si>
    <t>reserve,  DPL, and DAC</t>
  </si>
  <si>
    <t>rate. However, the</t>
  </si>
  <si>
    <t xml:space="preserve">revised mortality </t>
  </si>
  <si>
    <t>recomputed using the</t>
  </si>
  <si>
    <t>all quantities are</t>
  </si>
  <si>
    <t>In the table to the right,</t>
  </si>
  <si>
    <t>(EOY)</t>
  </si>
  <si>
    <t>Percentage</t>
  </si>
  <si>
    <t>Payments</t>
  </si>
  <si>
    <t>Liability (EOY)</t>
  </si>
  <si>
    <t>DPL</t>
  </si>
  <si>
    <t xml:space="preserve"> Reserves</t>
  </si>
  <si>
    <t>Payment</t>
  </si>
  <si>
    <t>Amortixation</t>
  </si>
  <si>
    <t>Annuity</t>
  </si>
  <si>
    <t xml:space="preserve"> Deferrable</t>
  </si>
  <si>
    <t>Deferred Profit</t>
  </si>
  <si>
    <t>Interest on</t>
  </si>
  <si>
    <t>PV of Future</t>
  </si>
  <si>
    <t>(b)(iii)</t>
  </si>
  <si>
    <t>Sum of Future</t>
  </si>
  <si>
    <t>(b)(ii)</t>
  </si>
  <si>
    <t>(b)(i)</t>
  </si>
  <si>
    <t>(a)(iii)</t>
  </si>
  <si>
    <t>(a)(ii)</t>
  </si>
  <si>
    <t>(a)(i)</t>
  </si>
  <si>
    <t>Assuming there are no additional asset categories available for investment, make a recommendation as to whether the company should increase  the Investment Department incentive to increase yield</t>
  </si>
  <si>
    <t>1 (c)</t>
  </si>
  <si>
    <t>Determine the  performance of the Investment Department</t>
  </si>
  <si>
    <t>Calculate shareholder equity</t>
  </si>
  <si>
    <t>The Investment Department incentive compensation is based on a percentage of  the increase in performance over the strategic asset allocation yield</t>
  </si>
  <si>
    <t>Total assets</t>
  </si>
  <si>
    <t>Mortgages</t>
  </si>
  <si>
    <t>Corporate bonds</t>
  </si>
  <si>
    <t>Treasury bonds</t>
  </si>
  <si>
    <t>Cash</t>
  </si>
  <si>
    <t>Portfolio</t>
  </si>
  <si>
    <t>Yield</t>
  </si>
  <si>
    <t>Bond</t>
  </si>
  <si>
    <t>Investment</t>
  </si>
  <si>
    <t>SAA</t>
  </si>
  <si>
    <t xml:space="preserve">Current </t>
  </si>
  <si>
    <t xml:space="preserve">Coupon </t>
  </si>
  <si>
    <t>Underwriting</t>
  </si>
  <si>
    <t xml:space="preserve">Actual </t>
  </si>
  <si>
    <t xml:space="preserve">Zero </t>
  </si>
  <si>
    <t>Given the following underwriting and investment information for an insurance company</t>
  </si>
  <si>
    <t>HOW INSURERS CREATE VALUE</t>
  </si>
  <si>
    <t>ILA201-102-25: Economics of Insurance: How Insurers Create Value for Shareholders, pp. 4-31</t>
  </si>
  <si>
    <t xml:space="preserve">     To improve yield, assets move from less risky to more risky assets which increase the required and target capital and their capital costs</t>
  </si>
  <si>
    <t xml:space="preserve">     Since there is only one asset, there is no diversification other than within that asset class</t>
  </si>
  <si>
    <t xml:space="preserve">     Liquidity is substantially reduced to the interest rate on mortgages and possible prepayments; however, liabilities are fixed</t>
  </si>
  <si>
    <t>In addition, there are three major downsides to this approach</t>
  </si>
  <si>
    <t>This reduces the maximum yield improvement to an even smaller 0.25%</t>
  </si>
  <si>
    <t>However, all the assets in cash and treasuries are needed to cover first year liabilities, so they cannot be used to improve yield</t>
  </si>
  <si>
    <t>Overall, the maximum increase in yield is very small  0.65%</t>
  </si>
  <si>
    <t>Column (p) = column (o) * Column (m)</t>
  </si>
  <si>
    <t>Column (o) = 6.5% - Investment yield for asset</t>
  </si>
  <si>
    <t>Increase</t>
  </si>
  <si>
    <t>Allocation</t>
  </si>
  <si>
    <t xml:space="preserve">Yield </t>
  </si>
  <si>
    <t xml:space="preserve">Portfolio </t>
  </si>
  <si>
    <t xml:space="preserve">Possible </t>
  </si>
  <si>
    <t>(p)</t>
  </si>
  <si>
    <t>(o)</t>
  </si>
  <si>
    <t>(n)</t>
  </si>
  <si>
    <t>(m)</t>
  </si>
  <si>
    <t>Assuming all assets are moved to the highest yielding asset category, mortgages, the increases in yield and the overall portfolio increase in yield are</t>
  </si>
  <si>
    <t>Using only the assets available, investment yield can only be increased by moving from lower yield assets to higher yield assets</t>
  </si>
  <si>
    <t xml:space="preserve">     There are significant downsides in terms of loss of liquidity, loss of diversification and an  increase in capital and capital costs</t>
  </si>
  <si>
    <t xml:space="preserve">     There is no significant increase in yield over the current actual asset allocation, and</t>
  </si>
  <si>
    <t>Recommendation: Do not increase the Investment Department incentive to increase yield for the following reasons</t>
  </si>
  <si>
    <t>= Investment Department performance</t>
  </si>
  <si>
    <t>Difference over weighted average yield</t>
  </si>
  <si>
    <t>Weighted average SAA target yield</t>
  </si>
  <si>
    <t>Investment Department performance can also be calculated as:</t>
  </si>
  <si>
    <t>Column (l) = Column  (f) * Column (j)</t>
  </si>
  <si>
    <t>Column (k) = Column  (f) * Column (i)</t>
  </si>
  <si>
    <t>Column (j) = 1000 * Column (h)</t>
  </si>
  <si>
    <t>Column (i) = 1000 * Column (g)</t>
  </si>
  <si>
    <t>Columns (f), (g), (h) are given inputs</t>
  </si>
  <si>
    <t>Investment Department Performance</t>
  </si>
  <si>
    <t>Net investment income</t>
  </si>
  <si>
    <t>Deduct investment income needed by replicating portfolio</t>
  </si>
  <si>
    <t>Investment Income</t>
  </si>
  <si>
    <t>(l)</t>
  </si>
  <si>
    <t>(k)</t>
  </si>
  <si>
    <t>(j)</t>
  </si>
  <si>
    <t>(h)</t>
  </si>
  <si>
    <t>(g)</t>
  </si>
  <si>
    <t>(f)</t>
  </si>
  <si>
    <t>and the  expected performance of the strategic asset allocation</t>
  </si>
  <si>
    <t xml:space="preserve">The performance of the Investment Department  is the difference between the actual investment performance </t>
  </si>
  <si>
    <t>Shareholder Equity</t>
  </si>
  <si>
    <t>=</t>
  </si>
  <si>
    <t>Replicating portfolio</t>
  </si>
  <si>
    <t>-</t>
  </si>
  <si>
    <t>Actual Assets</t>
  </si>
  <si>
    <t>From the treasury balance sheet</t>
  </si>
  <si>
    <t>Shareholder equity is the difference between actual assets and the replicating portfolio</t>
  </si>
  <si>
    <t>Column (a) * Column (b)</t>
  </si>
  <si>
    <t>Column (e)</t>
  </si>
  <si>
    <t>Column (a) * Column (c)</t>
  </si>
  <si>
    <t>Column (d)</t>
  </si>
  <si>
    <t>1 / (1 + Zero Coupon Bond) ^ Duration</t>
  </si>
  <si>
    <t>Column (c)</t>
  </si>
  <si>
    <t>Given inputs</t>
  </si>
  <si>
    <t>Column (a) and (b)</t>
  </si>
  <si>
    <t>Income</t>
  </si>
  <si>
    <t>Factor</t>
  </si>
  <si>
    <t xml:space="preserve">Value of </t>
  </si>
  <si>
    <t xml:space="preserve">Discount </t>
  </si>
  <si>
    <t>End of</t>
  </si>
  <si>
    <t>Present</t>
  </si>
  <si>
    <t>(e)</t>
  </si>
  <si>
    <t>(d)</t>
  </si>
  <si>
    <t>The replicating portfolio is the present value of underwriting liabilities discounted at the zero coupon rate</t>
  </si>
  <si>
    <t>Shareholder Equity = Actual Assets - Replicating Portfolio</t>
  </si>
  <si>
    <t>Actual assets = Replicating portfolio + Shareholder Equity</t>
  </si>
  <si>
    <t>To determine the shareholder liability, create the treasury balance sheet</t>
  </si>
  <si>
    <t>\</t>
  </si>
  <si>
    <t>Udsing all income statement items, calculate the change in economic profit from default, liquidity and double taxation</t>
  </si>
  <si>
    <t>1  (c)</t>
  </si>
  <si>
    <t>Calculate the change in economic profit in question 1(a) from the frictional costs of default and liquidity</t>
  </si>
  <si>
    <t>1  (b)</t>
  </si>
  <si>
    <t>Calculate the economic profit using only premiums, claims and expenses and assuming the risk capital charge is the only  frictional cost</t>
  </si>
  <si>
    <t>Liquidity premium in corporate debt</t>
  </si>
  <si>
    <t>Spread on standard debt issued by the company</t>
  </si>
  <si>
    <t>Discount rate for maturity</t>
  </si>
  <si>
    <t>Tax rare</t>
  </si>
  <si>
    <t>Risk change on capital at end of year</t>
  </si>
  <si>
    <t>Risk capital</t>
  </si>
  <si>
    <t>Regulatory and tax reserves</t>
  </si>
  <si>
    <t>Expenses</t>
  </si>
  <si>
    <t>An insurance  company issues an insurance risk contract with cash flows payable over three years</t>
  </si>
  <si>
    <t>Given the following information</t>
  </si>
  <si>
    <t>Investment return of 5% paid at end of year</t>
  </si>
  <si>
    <t>Investment return</t>
  </si>
  <si>
    <t>Sum of risk capital and regulatory and tax reserves</t>
  </si>
  <si>
    <t xml:space="preserve"> Total assets</t>
  </si>
  <si>
    <t>Given input</t>
  </si>
  <si>
    <t>Calculation of investment income</t>
  </si>
  <si>
    <t>Note: the discount rate used accounts for the frictional cost of default and liquidity</t>
  </si>
  <si>
    <t>Difference in economic profit after default, liquidity, and double taxation frictional costs</t>
  </si>
  <si>
    <t xml:space="preserve">Change in economic profit </t>
  </si>
  <si>
    <t>See line B above</t>
  </si>
  <si>
    <t>Economic profit before default, liquidity and double taxation</t>
  </si>
  <si>
    <t>Net cash flow after tax less economic liabilities</t>
  </si>
  <si>
    <t>Economic profit after default, liquidity and double taxation</t>
  </si>
  <si>
    <t>PV of economic liabilities at 5.5%</t>
  </si>
  <si>
    <t>Economic Liabilities</t>
  </si>
  <si>
    <t>Sum net cash flow after frictional costs and tax</t>
  </si>
  <si>
    <t>Net cash flow after tax</t>
  </si>
  <si>
    <t>See line D above</t>
  </si>
  <si>
    <t>Tax</t>
  </si>
  <si>
    <t>See line A above</t>
  </si>
  <si>
    <t>Net cash flow after frictional costs</t>
  </si>
  <si>
    <t>Incorporate tax into economic profit and liabilities</t>
  </si>
  <si>
    <t>35% of tax result</t>
  </si>
  <si>
    <t xml:space="preserve">Tax </t>
  </si>
  <si>
    <t>D</t>
  </si>
  <si>
    <t xml:space="preserve">Sum </t>
  </si>
  <si>
    <t>Tax Result</t>
  </si>
  <si>
    <t>Given input  with reserve change by year</t>
  </si>
  <si>
    <t>Change in regulatory reserves</t>
  </si>
  <si>
    <t>See calculation below</t>
  </si>
  <si>
    <t>Calculate tax</t>
  </si>
  <si>
    <t>An income statement includes the insurance cash flows, investment income and the chanfe in reserves.</t>
  </si>
  <si>
    <t>Double taxation, default and liquidity</t>
  </si>
  <si>
    <t>Difference in economic profit after default and liquidity  frictional costs</t>
  </si>
  <si>
    <t>Economic profit before default and liquidity</t>
  </si>
  <si>
    <t>Net cash flow after frictional cost less economic liabilities</t>
  </si>
  <si>
    <t>Economic profit after default and liquidity</t>
  </si>
  <si>
    <t>Net cash flow after frictional cost</t>
  </si>
  <si>
    <t>See line C above</t>
  </si>
  <si>
    <t>Risk capital cost</t>
  </si>
  <si>
    <t xml:space="preserve">Net cash payments </t>
  </si>
  <si>
    <t>New discount rate for default and liquidity</t>
  </si>
  <si>
    <t>The net increase to the discount rate does not change</t>
  </si>
  <si>
    <t>Addition to discount rate</t>
  </si>
  <si>
    <t>Discount rate</t>
  </si>
  <si>
    <t>Maturity</t>
  </si>
  <si>
    <t>Duration 3</t>
  </si>
  <si>
    <t>Duration 2</t>
  </si>
  <si>
    <t>Duration 1</t>
  </si>
  <si>
    <t>=spread on own debt less liquidity premium on own debt</t>
  </si>
  <si>
    <t>Net increase to the discount rate</t>
  </si>
  <si>
    <t xml:space="preserve">     Liquidity premium in corporate debt</t>
  </si>
  <si>
    <t xml:space="preserve">     Spread on standard debt issued by the company</t>
  </si>
  <si>
    <t xml:space="preserve">The proxies for these items are the </t>
  </si>
  <si>
    <t>This is calculated by increasing the discount rate for the frictional costs of an insurer's own default and liquidity risks</t>
  </si>
  <si>
    <t>Default and liquidity</t>
  </si>
  <si>
    <t>= Risk Capital * 2.5% paid at end of year</t>
  </si>
  <si>
    <t>C</t>
  </si>
  <si>
    <t>Calculation of risk capital costs</t>
  </si>
  <si>
    <t>= Net cash after frictional cost - economic liabilities</t>
  </si>
  <si>
    <t xml:space="preserve">Economic profit </t>
  </si>
  <si>
    <t>B</t>
  </si>
  <si>
    <t>Present value of future liabilities at the discount rate for maturity</t>
  </si>
  <si>
    <t>= Net cash payments - Risk capital cost</t>
  </si>
  <si>
    <t>A</t>
  </si>
  <si>
    <t>=Premiums - claims - expenses</t>
  </si>
  <si>
    <t>Calculate economic profit</t>
  </si>
  <si>
    <t>Source</t>
  </si>
  <si>
    <t>ILA201-100-25: Diversification: Consideration on Modelling Aspects &amp; Related Fungibility and Transferability, CRO, Oct 2013, pp. 1-18 (Section 3)</t>
  </si>
  <si>
    <t>Description</t>
  </si>
  <si>
    <t>This example explores various risk aggregation approaches, including simple summation, fixed diversification percentage, variance-covariance matrix, copulas, and an integrated model. For simplicity, only three risk types are considered: interest rate risk (affecting discounting), mortality risk, and lapse risk.</t>
  </si>
  <si>
    <t>Baseline Assumptions</t>
  </si>
  <si>
    <t>Baseline Liability Cashflows</t>
  </si>
  <si>
    <t>Best Estimate Liability (BEL)</t>
  </si>
  <si>
    <t>Time</t>
  </si>
  <si>
    <t>Mortality Rate per 1000</t>
  </si>
  <si>
    <t>Lapse Rate</t>
  </si>
  <si>
    <t>Interest Rate</t>
  </si>
  <si>
    <t>Sum Assured</t>
  </si>
  <si>
    <t>Cash Surrender Value</t>
  </si>
  <si>
    <t>Number of Policies</t>
  </si>
  <si>
    <t>Discount Factor</t>
  </si>
  <si>
    <t>Death Benefit</t>
  </si>
  <si>
    <t>Surrender Benefit</t>
  </si>
  <si>
    <t>Total Liability</t>
  </si>
  <si>
    <t>Question</t>
  </si>
  <si>
    <t>a)</t>
  </si>
  <si>
    <t>Calculate the required captial for each individual risk category using the following stress scenarios. Required captial = Max(Liability under shock up scenario - BEL, Liability under shock down scenario - BEL,  0)</t>
  </si>
  <si>
    <t>Stress Scenarios for Capital Requirement</t>
  </si>
  <si>
    <t>Shock Up</t>
  </si>
  <si>
    <t>Shock Down</t>
  </si>
  <si>
    <t>Interest Rate Risk</t>
  </si>
  <si>
    <t>Mortality Risk (Multiple)</t>
  </si>
  <si>
    <t>Lapse Risk (Multiple)</t>
  </si>
  <si>
    <t>b)</t>
  </si>
  <si>
    <t>Calculate the aggregated required captial using the following three approaches:
i) Summation assuming perfect correlation among stress scenarios;
ii) A diversification benefit of 25%; and
iii) Variance-covariance matrix approach using the correlation matrix specified below</t>
  </si>
  <si>
    <t>Correlation Matrix</t>
  </si>
  <si>
    <t>Lapse</t>
  </si>
  <si>
    <t>c)</t>
  </si>
  <si>
    <r>
      <t xml:space="preserve">Explore the impact of nonlinear correlation on joint distrbution using the Gaussian copula and Gumbel copula. Assume two risk factors, X and Y, with 95th percentile values defined as x and y, respectively.
    Ρ(X≤x) = u = 0.95
    Ρ(Y≤y) = v = 0.95
The joint probability based on a copula function is defined as: Ρ(X ≤ x,Y ≤ y) = C(Ρ(X ≤ x), Ρ(Y ≤ y)) = C(u, v). Assuming a linear correlation of 0.85 (Gaussian copula), the joint  probability C(u,v) is 0.928. However, the relationship can be nonlinear in reality. Here we want to assess the probability using two other copulas. They exhibit the same level of correlation coefficient at the aggregated level as the Gaussian copula, but different tail behaviors.
Calculate the probability based on the joint distribution defined by a copula funtion: Ρ(X ≤ x,Y ≤ y) = C(Ρ(X ≤ x), Ρ(Y ≤ y)) = C(u, v)
i) Clayton copula with </t>
    </r>
    <r>
      <rPr>
        <sz val="11"/>
        <color theme="1"/>
        <rFont val="Symbol"/>
        <family val="1"/>
        <charset val="2"/>
      </rPr>
      <t>q = 4.</t>
    </r>
    <r>
      <rPr>
        <sz val="11"/>
        <color theme="1"/>
        <rFont val="Calibri"/>
        <family val="2"/>
        <scheme val="minor"/>
      </rPr>
      <t xml:space="preserve"> Here function C(u,v) = (u</t>
    </r>
    <r>
      <rPr>
        <vertAlign val="superscript"/>
        <sz val="11"/>
        <color theme="1"/>
        <rFont val="Calibri"/>
        <family val="2"/>
        <scheme val="minor"/>
      </rPr>
      <t>-</t>
    </r>
    <r>
      <rPr>
        <vertAlign val="superscript"/>
        <sz val="11"/>
        <color theme="1"/>
        <rFont val="Symbol"/>
        <family val="1"/>
        <charset val="2"/>
      </rPr>
      <t>q</t>
    </r>
    <r>
      <rPr>
        <sz val="11"/>
        <color theme="1"/>
        <rFont val="Calibri"/>
        <family val="2"/>
        <scheme val="minor"/>
      </rPr>
      <t>+v</t>
    </r>
    <r>
      <rPr>
        <vertAlign val="superscript"/>
        <sz val="11"/>
        <color theme="1"/>
        <rFont val="Calibri"/>
        <family val="2"/>
        <scheme val="minor"/>
      </rPr>
      <t>-</t>
    </r>
    <r>
      <rPr>
        <vertAlign val="superscript"/>
        <sz val="11"/>
        <color theme="1"/>
        <rFont val="Symbol"/>
        <family val="1"/>
        <charset val="2"/>
      </rPr>
      <t>q</t>
    </r>
    <r>
      <rPr>
        <sz val="11"/>
        <color theme="1"/>
        <rFont val="Calibri"/>
        <family val="2"/>
        <scheme val="minor"/>
      </rPr>
      <t>)</t>
    </r>
    <r>
      <rPr>
        <vertAlign val="superscript"/>
        <sz val="11"/>
        <color theme="1"/>
        <rFont val="Calibri"/>
        <family val="2"/>
        <scheme val="minor"/>
      </rPr>
      <t>-1/</t>
    </r>
    <r>
      <rPr>
        <vertAlign val="superscript"/>
        <sz val="11"/>
        <color theme="1"/>
        <rFont val="Symbol"/>
        <family val="1"/>
        <charset val="2"/>
      </rPr>
      <t>q</t>
    </r>
    <r>
      <rPr>
        <sz val="11"/>
        <color theme="1"/>
        <rFont val="Calibri"/>
        <family val="2"/>
        <scheme val="minor"/>
      </rPr>
      <t xml:space="preserve"> ;
ii) Gumbel copula with </t>
    </r>
    <r>
      <rPr>
        <sz val="11"/>
        <color theme="1"/>
        <rFont val="Symbol"/>
        <family val="1"/>
        <charset val="2"/>
      </rPr>
      <t>q</t>
    </r>
    <r>
      <rPr>
        <sz val="11"/>
        <color theme="1"/>
        <rFont val="Calibri"/>
        <family val="2"/>
        <scheme val="minor"/>
      </rPr>
      <t xml:space="preserve"> = 3. Here function C(u,v) = exp(−((−log (u))</t>
    </r>
    <r>
      <rPr>
        <vertAlign val="superscript"/>
        <sz val="11"/>
        <color theme="1"/>
        <rFont val="Symbol"/>
        <family val="1"/>
        <charset val="2"/>
      </rPr>
      <t>q</t>
    </r>
    <r>
      <rPr>
        <sz val="11"/>
        <color theme="1"/>
        <rFont val="Calibri"/>
        <family val="2"/>
        <scheme val="minor"/>
      </rPr>
      <t>+(−log (v))</t>
    </r>
    <r>
      <rPr>
        <vertAlign val="superscript"/>
        <sz val="11"/>
        <color theme="1"/>
        <rFont val="Symbol"/>
        <family val="1"/>
        <charset val="2"/>
      </rPr>
      <t>q</t>
    </r>
    <r>
      <rPr>
        <sz val="11"/>
        <color theme="1"/>
        <rFont val="Calibri"/>
        <family val="2"/>
        <scheme val="minor"/>
      </rPr>
      <t>)</t>
    </r>
    <r>
      <rPr>
        <vertAlign val="superscript"/>
        <sz val="11"/>
        <color theme="1"/>
        <rFont val="Symbol"/>
        <family val="1"/>
        <charset val="2"/>
      </rPr>
      <t>1/q</t>
    </r>
    <r>
      <rPr>
        <sz val="11"/>
        <color theme="1"/>
        <rFont val="Calibri"/>
        <family val="2"/>
        <scheme val="minor"/>
      </rPr>
      <t xml:space="preserve">) </t>
    </r>
  </si>
  <si>
    <t>d)</t>
  </si>
  <si>
    <t>Calculate the aggregated required captial using integrated model approach.The following 500 scenarios incorporate the dependency structure among the three risk types. The capital requirement is defined as max(95th percentile of liability - BEL, 0)</t>
  </si>
  <si>
    <t>Scen #</t>
  </si>
  <si>
    <t>Mortality Rate Multiple</t>
  </si>
  <si>
    <t>Lapse Rate Multiple</t>
  </si>
  <si>
    <t>Baseline</t>
  </si>
  <si>
    <t>Shock up</t>
  </si>
  <si>
    <t>Shock down</t>
  </si>
  <si>
    <t>Required Capital</t>
  </si>
  <si>
    <t>Interest Rate (Shock Up)</t>
  </si>
  <si>
    <t>Interest Rate (Shock Down)</t>
  </si>
  <si>
    <t>Discount Factor (Shock Up)</t>
  </si>
  <si>
    <t>Discount Factor (Shock Down)</t>
  </si>
  <si>
    <t>Mortality Risk</t>
  </si>
  <si>
    <t>Mortality Shock Up</t>
  </si>
  <si>
    <t>Mortality Shock Down</t>
  </si>
  <si>
    <t>Mortality Rate per 1000 (Shock Up)</t>
  </si>
  <si>
    <t>Mortality Rate per 1000 (Shock Down)</t>
  </si>
  <si>
    <t>Lapse Risk</t>
  </si>
  <si>
    <t>Lapse Shock Up</t>
  </si>
  <si>
    <t>Lapse Shock Down</t>
  </si>
  <si>
    <t>Lapse Rate (Shock Up)</t>
  </si>
  <si>
    <t>Lapse Rate (Shock Down)</t>
  </si>
  <si>
    <t>Risk</t>
  </si>
  <si>
    <t>Method</t>
  </si>
  <si>
    <t>Aggregated Required Capital</t>
  </si>
  <si>
    <t>Summation assuming perfect correlation</t>
  </si>
  <si>
    <t>Diversification with 25%</t>
  </si>
  <si>
    <t>Variance-covariance matrix</t>
  </si>
  <si>
    <t>Parameter</t>
  </si>
  <si>
    <t>Parameter Value</t>
  </si>
  <si>
    <t>u</t>
  </si>
  <si>
    <t>v</t>
  </si>
  <si>
    <t>C(u,v)</t>
  </si>
  <si>
    <t>Clayton copula</t>
  </si>
  <si>
    <t>𝜃</t>
  </si>
  <si>
    <t>Gumbel copula</t>
  </si>
  <si>
    <t>Copulas can be used to model different nonlinear relationships.</t>
  </si>
  <si>
    <t>95th Percentile</t>
  </si>
  <si>
    <t>BEL</t>
  </si>
  <si>
    <t>Assumptions</t>
  </si>
  <si>
    <t>Liability Cashflows</t>
  </si>
  <si>
    <t>Use Data Table to calculate liability value for each scenario</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</si>
  <si>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</si>
  <si>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</si>
  <si>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</si>
  <si>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</si>
  <si>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</si>
  <si>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</si>
  <si>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These guided examples have been developed by an actuarial subject matter expert (see tabs for details)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</si>
  <si>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education@soa.org</t>
  </si>
  <si>
    <t>Version 2025-1</t>
  </si>
  <si>
    <t>Updated: July 8, 2025</t>
  </si>
  <si>
    <t xml:space="preserve">Copyright © Society of Actuaries </t>
  </si>
  <si>
    <t>ILA 201-U - Valuation and Advanced Product and Risk Management, U.S.</t>
  </si>
  <si>
    <t>= net cash payments - risk capital cost</t>
  </si>
  <si>
    <r>
      <t xml:space="preserve">This guided example has been developed by </t>
    </r>
    <r>
      <rPr>
        <b/>
        <sz val="11"/>
        <color theme="1"/>
        <rFont val="Aptos"/>
        <family val="2"/>
      </rPr>
      <t>Kailan Shang (FSA),</t>
    </r>
    <r>
      <rPr>
        <sz val="11"/>
        <color theme="1"/>
        <rFont val="Aptos"/>
        <family val="2"/>
      </rPr>
      <t xml:space="preserve"> with review and edits as appropriate by course curriculum volunteers and SOA staff.  </t>
    </r>
  </si>
  <si>
    <r>
      <t xml:space="preserve">This guided example has been developed by </t>
    </r>
    <r>
      <rPr>
        <b/>
        <sz val="11"/>
        <color theme="1"/>
        <rFont val="Aptos"/>
        <family val="2"/>
      </rPr>
      <t>John Aprill (FSA, MAAA), ACTEX Learning</t>
    </r>
    <r>
      <rPr>
        <sz val="11"/>
        <color theme="1"/>
        <rFont val="Aptos"/>
        <family val="2"/>
      </rPr>
      <t xml:space="preserve">, with review and edits as appropriate by course curriculum volunteers and SOA staff.  </t>
    </r>
  </si>
  <si>
    <r>
      <t xml:space="preserve">This guided example has been developed by </t>
    </r>
    <r>
      <rPr>
        <b/>
        <sz val="11"/>
        <color theme="1"/>
        <rFont val="Aptos"/>
        <family val="2"/>
      </rPr>
      <t>Abraham Weishaus (PhD, FSA, CFA, MAAA), ASM Study Manuals,</t>
    </r>
    <r>
      <rPr>
        <sz val="11"/>
        <color theme="1"/>
        <rFont val="Aptos"/>
        <family val="2"/>
      </rPr>
      <t xml:space="preserve"> with review and edits as appropriate by course curriculum volunteers and SOA staff.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</si>
</sst>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_);_(* \(#,##0\);_(* &quot;-&quot;??_);_(@_)"/>
    <numFmt numFmtId="165" formatCode="0.0000"/>
    <numFmt numFmtId="166" formatCode="0.000"/>
    <numFmt numFmtId="167" formatCode="_(* #,##0.0000_);_(* \(#,##0.0000\);_(* &quot;-&quot;??_);_(@_)"/>
    <numFmt numFmtId="168" formatCode="0.0%"/>
    <numFmt numFmtId="169" formatCode="0.000%"/>
    <numFmt numFmtId="170" formatCode="#,##0.000"/>
    <numFmt numFmtId="171" formatCode="#,##0.0000"/>
  </numFmts>
  <fonts count="20"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u/>
      <sz val="11"/>
      <color theme="1"/>
      <name val="Calibri"/>
      <family val="2"/>
      <scheme val="minor"/>
    </font>
    <font>
      <sz val="11"/>
      <color theme="1"/>
      <name val="Aptos"/>
      <family val="2"/>
    </font>
    <font>
      <b/>
      <i/>
      <sz val="11"/>
      <color theme="1"/>
      <name val="Calibri"/>
      <family val="2"/>
      <scheme val="minor"/>
    </font>
    <font>
      <sz val="10"/>
      <color theme="1"/>
      <name val="Arial"/>
      <family val="2"/>
    </font>
    <font>
      <sz val="11"/>
      <color theme="1"/>
      <name val="Symbol"/>
      <family val="1"/>
      <charset val="2"/>
    </font>
    <font>
      <vertAlign val="superscript"/>
      <sz val="11"/>
      <color theme="1"/>
      <name val="Calibri"/>
      <family val="2"/>
      <scheme val="minor"/>
    </font>
    <font>
      <vertAlign val="superscript"/>
      <sz val="11"/>
      <color theme="1"/>
      <name val="Symbol"/>
      <family val="1"/>
      <charset val="2"/>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b/>
      <sz val="11"/>
      <color theme="1"/>
      <name val="Aptos"/>
      <family val="2"/>
    </font>
  </fonts>
  <fills count="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dashed">
        <color auto="1"/>
      </right>
      <top style="medium">
        <color auto="1"/>
      </top>
      <bottom style="dashed">
        <color auto="1"/>
      </bottom>
      <diagonal/>
    </border>
    <border>
      <left style="dashed">
        <color auto="1"/>
      </left>
      <right style="dashed">
        <color auto="1"/>
      </right>
      <top style="medium">
        <color auto="1"/>
      </top>
      <bottom style="dashed">
        <color auto="1"/>
      </bottom>
      <diagonal/>
    </border>
    <border>
      <left style="dashed">
        <color auto="1"/>
      </left>
      <right style="medium">
        <color auto="1"/>
      </right>
      <top style="medium">
        <color auto="1"/>
      </top>
      <bottom style="dashed">
        <color auto="1"/>
      </bottom>
      <diagonal/>
    </border>
    <border>
      <left style="medium">
        <color auto="1"/>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medium">
        <color auto="1"/>
      </right>
      <top style="dashed">
        <color auto="1"/>
      </top>
      <bottom style="dashed">
        <color auto="1"/>
      </bottom>
      <diagonal/>
    </border>
    <border>
      <left style="medium">
        <color auto="1"/>
      </left>
      <right style="dashed">
        <color auto="1"/>
      </right>
      <top style="dashed">
        <color auto="1"/>
      </top>
      <bottom style="medium">
        <color auto="1"/>
      </bottom>
      <diagonal/>
    </border>
    <border>
      <left style="dashed">
        <color auto="1"/>
      </left>
      <right/>
      <top style="dashed">
        <color auto="1"/>
      </top>
      <bottom style="medium">
        <color auto="1"/>
      </bottom>
      <diagonal/>
    </border>
    <border>
      <left/>
      <right/>
      <top style="dashed">
        <color auto="1"/>
      </top>
      <bottom style="medium">
        <color auto="1"/>
      </bottom>
      <diagonal/>
    </border>
    <border>
      <left/>
      <right style="medium">
        <color auto="1"/>
      </right>
      <top style="dashed">
        <color auto="1"/>
      </top>
      <bottom style="medium">
        <color auto="1"/>
      </bottom>
      <diagonal/>
    </border>
    <border>
      <left style="thin">
        <color indexed="64"/>
      </left>
      <right style="thick">
        <color auto="1"/>
      </right>
      <top style="thin">
        <color indexed="64"/>
      </top>
      <bottom style="medium">
        <color indexed="64"/>
      </bottom>
      <diagonal/>
    </border>
    <border>
      <left style="thick">
        <color auto="1"/>
      </left>
      <right style="thin">
        <color auto="1"/>
      </right>
      <top style="thin">
        <color indexed="64"/>
      </top>
      <bottom style="medium">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11" fillId="0" borderId="0" applyNumberFormat="0" applyFill="0" applyBorder="0" applyAlignment="0" applyProtection="0"/>
  </cellStyleXfs>
  <cellXfs count="172">
    <xf numFmtId="0" fontId="0" fillId="0" borderId="0" xfId="0"/>
    <xf numFmtId="0" fontId="0" fillId="0" borderId="0" xfId="0" applyAlignment="1">
      <alignment horizontal="center"/>
    </xf>
    <xf numFmtId="9" fontId="0" fillId="0" borderId="0" xfId="0" applyNumberFormat="1" applyAlignment="1">
      <alignment horizontal="center"/>
    </xf>
    <xf numFmtId="3" fontId="0" fillId="0" borderId="0" xfId="0" applyNumberFormat="1" applyAlignment="1">
      <alignment horizontal="center"/>
    </xf>
    <xf numFmtId="1" fontId="0" fillId="0" borderId="0" xfId="0" applyNumberFormat="1" applyAlignment="1">
      <alignment horizontal="center"/>
    </xf>
    <xf numFmtId="9" fontId="0" fillId="0" borderId="0" xfId="0" applyNumberFormat="1"/>
    <xf numFmtId="0" fontId="0" fillId="0" borderId="0" xfId="0" applyAlignment="1">
      <alignment horizontal="left"/>
    </xf>
    <xf numFmtId="0" fontId="3" fillId="0" borderId="0" xfId="0" applyFont="1"/>
    <xf numFmtId="3" fontId="0" fillId="0" borderId="0" xfId="0" applyNumberFormat="1"/>
    <xf numFmtId="2" fontId="0" fillId="0" borderId="0" xfId="0" applyNumberFormat="1" applyAlignment="1">
      <alignment horizontal="center"/>
    </xf>
    <xf numFmtId="4" fontId="0" fillId="0" borderId="0" xfId="0" applyNumberFormat="1"/>
    <xf numFmtId="4" fontId="0" fillId="0" borderId="0" xfId="0" applyNumberFormat="1" applyAlignment="1">
      <alignment horizontal="center"/>
    </xf>
    <xf numFmtId="0" fontId="2" fillId="0" borderId="0" xfId="0" applyFont="1"/>
    <xf numFmtId="164" fontId="2" fillId="0" borderId="0" xfId="0" applyNumberFormat="1" applyFont="1"/>
    <xf numFmtId="164" fontId="0" fillId="0" borderId="0" xfId="0" applyNumberFormat="1"/>
    <xf numFmtId="164" fontId="0" fillId="0" borderId="0" xfId="1" applyNumberFormat="1" applyFont="1"/>
    <xf numFmtId="0" fontId="0" fillId="2" borderId="1" xfId="0" applyFill="1" applyBorder="1"/>
    <xf numFmtId="164" fontId="0" fillId="2" borderId="1" xfId="1" applyNumberFormat="1" applyFont="1" applyFill="1" applyBorder="1"/>
    <xf numFmtId="43" fontId="0" fillId="0" borderId="0" xfId="0" applyNumberFormat="1"/>
    <xf numFmtId="0" fontId="2" fillId="0" borderId="0" xfId="0" applyFont="1" applyAlignment="1">
      <alignment horizontal="center"/>
    </xf>
    <xf numFmtId="0" fontId="2" fillId="0" borderId="2" xfId="0" applyFont="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0" fillId="2" borderId="0" xfId="0" applyFill="1"/>
    <xf numFmtId="0" fontId="2" fillId="2" borderId="7" xfId="0" applyFont="1" applyFill="1" applyBorder="1" applyAlignment="1">
      <alignment horizontal="center"/>
    </xf>
    <xf numFmtId="164" fontId="0" fillId="0" borderId="0" xfId="1" applyNumberFormat="1" applyFont="1" applyFill="1"/>
    <xf numFmtId="164" fontId="0" fillId="0" borderId="0" xfId="1" applyNumberFormat="1" applyFont="1" applyFill="1" applyBorder="1"/>
    <xf numFmtId="0" fontId="0" fillId="3" borderId="0" xfId="0" applyFill="1"/>
    <xf numFmtId="0" fontId="2" fillId="3" borderId="0" xfId="0" applyFont="1" applyFill="1"/>
    <xf numFmtId="165" fontId="0" fillId="3" borderId="1" xfId="0" applyNumberFormat="1" applyFill="1" applyBorder="1"/>
    <xf numFmtId="2" fontId="0" fillId="3" borderId="1" xfId="0" applyNumberFormat="1" applyFill="1" applyBorder="1"/>
    <xf numFmtId="0" fontId="0" fillId="3" borderId="1" xfId="0" applyFill="1" applyBorder="1"/>
    <xf numFmtId="0" fontId="0" fillId="0" borderId="0" xfId="1" applyNumberFormat="1" applyFont="1" applyFill="1" applyBorder="1"/>
    <xf numFmtId="0" fontId="2" fillId="3" borderId="4" xfId="0" applyFont="1" applyFill="1" applyBorder="1" applyAlignment="1">
      <alignment horizontal="center"/>
    </xf>
    <xf numFmtId="0" fontId="2" fillId="3" borderId="8" xfId="0" applyFont="1" applyFill="1" applyBorder="1" applyAlignment="1">
      <alignment horizontal="center"/>
    </xf>
    <xf numFmtId="0" fontId="2" fillId="3" borderId="6" xfId="0" applyFont="1" applyFill="1" applyBorder="1" applyAlignment="1">
      <alignment horizontal="center"/>
    </xf>
    <xf numFmtId="0" fontId="2" fillId="3" borderId="9" xfId="0" applyFont="1" applyFill="1" applyBorder="1" applyAlignment="1">
      <alignment horizontal="center"/>
    </xf>
    <xf numFmtId="2" fontId="0" fillId="0" borderId="0" xfId="0" applyNumberFormat="1"/>
    <xf numFmtId="166" fontId="0" fillId="0" borderId="0" xfId="0" applyNumberFormat="1"/>
    <xf numFmtId="0" fontId="1" fillId="0" borderId="0" xfId="1" applyNumberFormat="1" applyFont="1" applyFill="1" applyBorder="1"/>
    <xf numFmtId="167" fontId="0" fillId="0" borderId="0" xfId="0" applyNumberFormat="1"/>
    <xf numFmtId="164" fontId="1" fillId="0" borderId="0" xfId="1" applyNumberFormat="1" applyFont="1" applyFill="1" applyBorder="1"/>
    <xf numFmtId="43" fontId="2" fillId="0" borderId="0" xfId="0" applyNumberFormat="1" applyFont="1"/>
    <xf numFmtId="43" fontId="0" fillId="0" borderId="0" xfId="1" applyFont="1"/>
    <xf numFmtId="10" fontId="0" fillId="0" borderId="0" xfId="2" applyNumberFormat="1" applyFont="1"/>
    <xf numFmtId="0" fontId="0" fillId="0" borderId="0" xfId="0" quotePrefix="1"/>
    <xf numFmtId="168" fontId="0" fillId="0" borderId="0" xfId="0" applyNumberFormat="1"/>
    <xf numFmtId="168" fontId="0" fillId="0" borderId="0" xfId="0" applyNumberFormat="1" applyAlignment="1">
      <alignment horizontal="center"/>
    </xf>
    <xf numFmtId="169" fontId="0" fillId="0" borderId="0" xfId="0" applyNumberFormat="1" applyAlignment="1">
      <alignment horizontal="center"/>
    </xf>
    <xf numFmtId="168" fontId="0" fillId="0" borderId="0" xfId="0" applyNumberFormat="1" applyAlignment="1">
      <alignment horizontal="left"/>
    </xf>
    <xf numFmtId="169" fontId="0" fillId="0" borderId="7" xfId="0" applyNumberFormat="1" applyBorder="1" applyAlignment="1">
      <alignment horizontal="center"/>
    </xf>
    <xf numFmtId="168" fontId="0" fillId="0" borderId="7" xfId="0" applyNumberFormat="1" applyBorder="1" applyAlignment="1">
      <alignment horizontal="center"/>
    </xf>
    <xf numFmtId="0" fontId="0" fillId="0" borderId="0" xfId="0" applyAlignment="1">
      <alignment horizontal="right"/>
    </xf>
    <xf numFmtId="2" fontId="0" fillId="0" borderId="7" xfId="0" applyNumberFormat="1" applyBorder="1" applyAlignment="1">
      <alignment horizontal="center"/>
    </xf>
    <xf numFmtId="3" fontId="0" fillId="0" borderId="7" xfId="0" applyNumberFormat="1" applyBorder="1" applyAlignment="1">
      <alignment horizontal="center"/>
    </xf>
    <xf numFmtId="0" fontId="0" fillId="0" borderId="0" xfId="0" quotePrefix="1" applyAlignment="1">
      <alignment horizontal="center"/>
    </xf>
    <xf numFmtId="1" fontId="0" fillId="0" borderId="7" xfId="0" applyNumberFormat="1" applyBorder="1" applyAlignment="1">
      <alignment horizontal="center"/>
    </xf>
    <xf numFmtId="166" fontId="0" fillId="0" borderId="7" xfId="0" applyNumberFormat="1" applyBorder="1" applyAlignment="1">
      <alignment horizontal="center"/>
    </xf>
    <xf numFmtId="0" fontId="0" fillId="0" borderId="7" xfId="0" applyBorder="1" applyAlignment="1">
      <alignment horizontal="center"/>
    </xf>
    <xf numFmtId="166" fontId="0" fillId="0" borderId="0" xfId="0" applyNumberFormat="1" applyAlignment="1">
      <alignment horizontal="center"/>
    </xf>
    <xf numFmtId="0" fontId="0" fillId="0" borderId="0" xfId="0" applyAlignment="1">
      <alignment wrapText="1"/>
    </xf>
    <xf numFmtId="4" fontId="0" fillId="0" borderId="7" xfId="0" applyNumberFormat="1" applyBorder="1"/>
    <xf numFmtId="0" fontId="0" fillId="0" borderId="7" xfId="0" applyBorder="1"/>
    <xf numFmtId="10" fontId="0" fillId="0" borderId="0" xfId="0" applyNumberFormat="1"/>
    <xf numFmtId="0" fontId="4" fillId="0" borderId="0" xfId="0" applyFont="1"/>
    <xf numFmtId="0" fontId="5" fillId="0" borderId="0" xfId="0" applyFont="1"/>
    <xf numFmtId="0" fontId="6" fillId="0" borderId="0" xfId="0" applyFont="1" applyAlignment="1">
      <alignment horizontal="right"/>
    </xf>
    <xf numFmtId="4" fontId="2" fillId="0" borderId="0" xfId="0" applyNumberFormat="1" applyFont="1"/>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xf numFmtId="0" fontId="0" fillId="0" borderId="4" xfId="0" applyBorder="1"/>
    <xf numFmtId="0" fontId="0" fillId="0" borderId="14" xfId="0" applyBorder="1"/>
    <xf numFmtId="0" fontId="0" fillId="0" borderId="15" xfId="0" applyBorder="1"/>
    <xf numFmtId="4" fontId="7" fillId="0" borderId="1" xfId="3" applyNumberFormat="1" applyBorder="1" applyAlignment="1">
      <alignment horizontal="right"/>
    </xf>
    <xf numFmtId="170" fontId="0" fillId="0" borderId="1" xfId="0" applyNumberFormat="1" applyBorder="1"/>
    <xf numFmtId="4" fontId="0" fillId="0" borderId="1" xfId="0" applyNumberFormat="1" applyBorder="1"/>
    <xf numFmtId="2" fontId="0" fillId="0" borderId="16" xfId="0" applyNumberFormat="1" applyBorder="1"/>
    <xf numFmtId="4" fontId="0" fillId="0" borderId="15" xfId="0" applyNumberFormat="1" applyBorder="1"/>
    <xf numFmtId="4" fontId="0" fillId="0" borderId="16" xfId="0" applyNumberFormat="1" applyBorder="1"/>
    <xf numFmtId="0" fontId="0" fillId="0" borderId="17" xfId="0" applyBorder="1"/>
    <xf numFmtId="4" fontId="7" fillId="0" borderId="18" xfId="3" applyNumberFormat="1" applyBorder="1" applyAlignment="1">
      <alignment horizontal="right"/>
    </xf>
    <xf numFmtId="170" fontId="0" fillId="0" borderId="18" xfId="0" applyNumberFormat="1" applyBorder="1"/>
    <xf numFmtId="4" fontId="0" fillId="0" borderId="18" xfId="0" applyNumberFormat="1" applyBorder="1"/>
    <xf numFmtId="2" fontId="0" fillId="0" borderId="19" xfId="0" applyNumberFormat="1" applyBorder="1"/>
    <xf numFmtId="4" fontId="0" fillId="0" borderId="17" xfId="0" applyNumberFormat="1" applyBorder="1"/>
    <xf numFmtId="4" fontId="0" fillId="0" borderId="19" xfId="0" applyNumberFormat="1" applyBorder="1"/>
    <xf numFmtId="0" fontId="0" fillId="0" borderId="0" xfId="0" applyAlignment="1">
      <alignment vertical="center"/>
    </xf>
    <xf numFmtId="0" fontId="0" fillId="0" borderId="1" xfId="0" applyBorder="1" applyAlignment="1">
      <alignment horizontal="center" vertical="center"/>
    </xf>
    <xf numFmtId="168" fontId="0" fillId="0" borderId="1" xfId="2" applyNumberFormat="1" applyFont="1" applyBorder="1"/>
    <xf numFmtId="9" fontId="0" fillId="0" borderId="1" xfId="0" applyNumberFormat="1" applyBorder="1"/>
    <xf numFmtId="0" fontId="0" fillId="0" borderId="1" xfId="0" applyBorder="1"/>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25" xfId="0" applyBorder="1"/>
    <xf numFmtId="171" fontId="0" fillId="0" borderId="4" xfId="0" applyNumberFormat="1" applyBorder="1"/>
    <xf numFmtId="171" fontId="0" fillId="0" borderId="26" xfId="0" applyNumberFormat="1" applyBorder="1"/>
    <xf numFmtId="0" fontId="0" fillId="0" borderId="27" xfId="0" applyBorder="1"/>
    <xf numFmtId="171" fontId="0" fillId="0" borderId="1" xfId="0" applyNumberFormat="1" applyBorder="1"/>
    <xf numFmtId="171" fontId="0" fillId="0" borderId="28" xfId="0" applyNumberFormat="1" applyBorder="1"/>
    <xf numFmtId="0" fontId="0" fillId="0" borderId="29" xfId="0" applyBorder="1"/>
    <xf numFmtId="171" fontId="0" fillId="0" borderId="30" xfId="0" applyNumberFormat="1" applyBorder="1"/>
    <xf numFmtId="171" fontId="0" fillId="0" borderId="31" xfId="0" applyNumberFormat="1" applyBorder="1"/>
    <xf numFmtId="0" fontId="2" fillId="0" borderId="0" xfId="0" applyFont="1" applyAlignment="1">
      <alignment vertical="center"/>
    </xf>
    <xf numFmtId="0" fontId="4" fillId="0" borderId="32" xfId="0" applyFont="1" applyBorder="1"/>
    <xf numFmtId="0" fontId="0" fillId="0" borderId="33" xfId="0" applyBorder="1"/>
    <xf numFmtId="0" fontId="0" fillId="0" borderId="34" xfId="0" applyBorder="1"/>
    <xf numFmtId="0" fontId="0" fillId="0" borderId="35" xfId="0" applyBorder="1"/>
    <xf numFmtId="4" fontId="0" fillId="0" borderId="36" xfId="0" applyNumberFormat="1" applyBorder="1"/>
    <xf numFmtId="168" fontId="0" fillId="0" borderId="36" xfId="0" applyNumberFormat="1" applyBorder="1"/>
    <xf numFmtId="168" fontId="0" fillId="0" borderId="37" xfId="0" applyNumberFormat="1" applyBorder="1"/>
    <xf numFmtId="4" fontId="0" fillId="0" borderId="37" xfId="0" applyNumberFormat="1" applyBorder="1"/>
    <xf numFmtId="0" fontId="2" fillId="4" borderId="38" xfId="0" applyFont="1" applyFill="1" applyBorder="1"/>
    <xf numFmtId="0" fontId="0" fillId="4" borderId="11" xfId="0" applyFill="1" applyBorder="1" applyAlignment="1">
      <alignment wrapText="1"/>
    </xf>
    <xf numFmtId="170" fontId="0" fillId="4" borderId="1" xfId="0" applyNumberFormat="1" applyFill="1" applyBorder="1"/>
    <xf numFmtId="4" fontId="0" fillId="0" borderId="30" xfId="0" applyNumberFormat="1" applyBorder="1"/>
    <xf numFmtId="0" fontId="0" fillId="4" borderId="4" xfId="0" applyFill="1" applyBorder="1"/>
    <xf numFmtId="4" fontId="7" fillId="4" borderId="1" xfId="3" applyNumberFormat="1" applyFill="1" applyBorder="1" applyAlignment="1">
      <alignment horizontal="right"/>
    </xf>
    <xf numFmtId="4" fontId="7" fillId="4" borderId="18" xfId="3" applyNumberFormat="1" applyFill="1" applyBorder="1" applyAlignment="1">
      <alignment horizontal="right"/>
    </xf>
    <xf numFmtId="4" fontId="0" fillId="0" borderId="42" xfId="0" applyNumberFormat="1" applyBorder="1"/>
    <xf numFmtId="4" fontId="0" fillId="0" borderId="43" xfId="0" applyNumberFormat="1" applyBorder="1"/>
    <xf numFmtId="4" fontId="0" fillId="4" borderId="1" xfId="0" applyNumberFormat="1" applyFill="1" applyBorder="1"/>
    <xf numFmtId="0" fontId="0" fillId="0" borderId="22" xfId="0" applyBorder="1"/>
    <xf numFmtId="0" fontId="0" fillId="0" borderId="24" xfId="0" applyBorder="1"/>
    <xf numFmtId="0" fontId="2" fillId="4" borderId="24" xfId="0" applyFont="1" applyFill="1" applyBorder="1" applyAlignment="1">
      <alignment vertical="center" wrapText="1"/>
    </xf>
    <xf numFmtId="4" fontId="0" fillId="0" borderId="26" xfId="0" applyNumberFormat="1" applyBorder="1"/>
    <xf numFmtId="4" fontId="2" fillId="4" borderId="26" xfId="0" applyNumberFormat="1" applyFont="1" applyFill="1" applyBorder="1"/>
    <xf numFmtId="4" fontId="0" fillId="0" borderId="28" xfId="0" applyNumberFormat="1" applyBorder="1"/>
    <xf numFmtId="4" fontId="2" fillId="4" borderId="28" xfId="0" applyNumberFormat="1" applyFont="1" applyFill="1" applyBorder="1"/>
    <xf numFmtId="4" fontId="0" fillId="0" borderId="31" xfId="0" applyNumberFormat="1" applyBorder="1"/>
    <xf numFmtId="4" fontId="2" fillId="4" borderId="31" xfId="0" applyNumberFormat="1" applyFont="1" applyFill="1" applyBorder="1"/>
    <xf numFmtId="165" fontId="2" fillId="4" borderId="0" xfId="0" applyNumberFormat="1" applyFont="1" applyFill="1"/>
    <xf numFmtId="0" fontId="2" fillId="4" borderId="0" xfId="0" applyFont="1" applyFill="1"/>
    <xf numFmtId="0" fontId="2" fillId="0" borderId="0" xfId="0" applyFont="1" applyAlignment="1">
      <alignment horizontal="right" vertical="center"/>
    </xf>
    <xf numFmtId="4" fontId="2" fillId="4" borderId="0" xfId="0" applyNumberFormat="1" applyFont="1" applyFill="1"/>
    <xf numFmtId="165" fontId="0" fillId="0" borderId="0" xfId="0" applyNumberFormat="1"/>
    <xf numFmtId="170" fontId="7" fillId="0" borderId="1" xfId="3" applyNumberFormat="1" applyBorder="1" applyAlignment="1">
      <alignment horizontal="right"/>
    </xf>
    <xf numFmtId="0" fontId="0" fillId="0" borderId="0" xfId="0" applyAlignment="1">
      <alignment wrapText="1"/>
    </xf>
    <xf numFmtId="0" fontId="0" fillId="0" borderId="0" xfId="0"/>
    <xf numFmtId="0" fontId="0" fillId="0" borderId="0" xfId="0" applyAlignment="1">
      <alignment vertical="center" wrapText="1"/>
    </xf>
    <xf numFmtId="0" fontId="0" fillId="0" borderId="0" xfId="0" applyAlignment="1">
      <alignment vertical="center"/>
    </xf>
    <xf numFmtId="0" fontId="0" fillId="0" borderId="20" xfId="0" applyBorder="1" applyAlignment="1">
      <alignment wrapText="1"/>
    </xf>
    <xf numFmtId="0" fontId="0" fillId="0" borderId="21" xfId="0" applyBorder="1" applyAlignment="1">
      <alignment wrapText="1"/>
    </xf>
    <xf numFmtId="0" fontId="0" fillId="0" borderId="20" xfId="0" applyBorder="1"/>
    <xf numFmtId="0" fontId="0" fillId="0" borderId="21" xfId="0" applyBorder="1"/>
    <xf numFmtId="4" fontId="2" fillId="4" borderId="39" xfId="0" applyNumberFormat="1" applyFont="1" applyFill="1" applyBorder="1" applyAlignment="1">
      <alignment horizontal="center"/>
    </xf>
    <xf numFmtId="0" fontId="0" fillId="4" borderId="40" xfId="0" applyFill="1" applyBorder="1" applyAlignment="1">
      <alignment horizontal="center"/>
    </xf>
    <xf numFmtId="0" fontId="0" fillId="4" borderId="41" xfId="0" applyFill="1" applyBorder="1" applyAlignment="1">
      <alignment horizontal="center"/>
    </xf>
    <xf numFmtId="0" fontId="0" fillId="0" borderId="29" xfId="0" applyBorder="1"/>
    <xf numFmtId="0" fontId="0" fillId="0" borderId="30" xfId="0" applyBorder="1"/>
    <xf numFmtId="0" fontId="0" fillId="0" borderId="22" xfId="0" applyBorder="1" applyAlignment="1">
      <alignment horizontal="left" vertical="center"/>
    </xf>
    <xf numFmtId="0" fontId="0" fillId="0" borderId="23" xfId="0" applyBorder="1" applyAlignment="1">
      <alignment horizontal="left" vertical="center"/>
    </xf>
    <xf numFmtId="0" fontId="0" fillId="0" borderId="25" xfId="0" applyBorder="1"/>
    <xf numFmtId="0" fontId="0" fillId="0" borderId="4" xfId="0" applyBorder="1"/>
    <xf numFmtId="0" fontId="0" fillId="0" borderId="27" xfId="0" applyBorder="1"/>
    <xf numFmtId="0" fontId="0" fillId="0" borderId="1" xfId="0" applyBorder="1"/>
    <xf numFmtId="0" fontId="12" fillId="0" borderId="0" xfId="0" applyFont="1" applyAlignment="1">
      <alignment horizontal="center"/>
    </xf>
    <xf numFmtId="0" fontId="13" fillId="0" borderId="0" xfId="0" applyFont="1"/>
    <xf numFmtId="0" fontId="14" fillId="0" borderId="0" xfId="0" applyFont="1" applyAlignment="1">
      <alignment horizontal="center"/>
    </xf>
    <xf numFmtId="0" fontId="0" fillId="0" borderId="0" xfId="0" applyAlignment="1">
      <alignment horizontal="right" vertical="top" indent="1"/>
    </xf>
    <xf numFmtId="0" fontId="15" fillId="0" borderId="0" xfId="0" applyFont="1" applyAlignment="1">
      <alignment horizontal="left" wrapText="1"/>
    </xf>
    <xf numFmtId="0" fontId="15" fillId="0" borderId="0" xfId="0" applyFont="1"/>
    <xf numFmtId="0" fontId="11" fillId="0" borderId="0" xfId="4"/>
    <xf numFmtId="0" fontId="16" fillId="0" borderId="0" xfId="4" applyFont="1"/>
    <xf numFmtId="0" fontId="17" fillId="0" borderId="0" xfId="0" applyFont="1"/>
    <xf numFmtId="0" fontId="18" fillId="0" borderId="0" xfId="0" applyFont="1" applyAlignment="1">
      <alignment horizontal="left"/>
    </xf>
    <xf numFmtId="0" fontId="18" fillId="0" borderId="0" xfId="0" applyFont="1" applyAlignment="1">
      <alignment horizontal="center"/>
    </xf>
    <xf numFmtId="0" fontId="18" fillId="0" borderId="0" xfId="0" applyFont="1" applyAlignment="1">
      <alignment horizontal="right"/>
    </xf>
  </cellXfs>
  <cellStyles count="5">
    <cellStyle name="Comma" xfId="1" builtinId="3"/>
    <cellStyle name="Hyperlink" xfId="4" builtinId="8"/>
    <cellStyle name="Normal" xfId="0" builtinId="0"/>
    <cellStyle name="Normal 2" xfId="3" xr:uid="{1AC8CD15-8E4A-4836-9C95-4D239A0738C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190501</xdr:colOff>
      <xdr:row>0</xdr:row>
      <xdr:rowOff>171451</xdr:rowOff>
    </xdr:from>
    <xdr:ext cx="1521069" cy="517420"/>
    <xdr:pic>
      <xdr:nvPicPr>
        <xdr:cNvPr id="2" name="Picture 1">
          <a:extLst>
            <a:ext uri="{FF2B5EF4-FFF2-40B4-BE49-F238E27FC236}">
              <a16:creationId xmlns:a16="http://schemas.microsoft.com/office/drawing/2014/main" id="{1D54331A-8718-4F16-A7AB-1B47252B03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1069" cy="517420"/>
        </a:xfrm>
        <a:prstGeom prst="rect">
          <a:avLst/>
        </a:prstGeom>
      </xdr:spPr>
    </xdr:pic>
    <xdr:clientData/>
  </xdr:one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EBEDEF5C-814E-45C4-8B3B-3CD7B05E7ECA}"/>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D0E8C045-F5A9-4DDD-894C-7E45CE75C8DF}"/>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6</xdr:col>
      <xdr:colOff>98425</xdr:colOff>
      <xdr:row>42</xdr:row>
      <xdr:rowOff>314325</xdr:rowOff>
    </xdr:from>
    <xdr:ext cx="65" cy="172227"/>
    <xdr:sp macro="" textlink="">
      <xdr:nvSpPr>
        <xdr:cNvPr id="2" name="TextBox 1">
          <a:extLst>
            <a:ext uri="{FF2B5EF4-FFF2-40B4-BE49-F238E27FC236}">
              <a16:creationId xmlns:a16="http://schemas.microsoft.com/office/drawing/2014/main" id="{B4DA72E0-34D1-490D-8EAE-402F255CEE23}"/>
            </a:ext>
          </a:extLst>
        </xdr:cNvPr>
        <xdr:cNvSpPr txBox="1"/>
      </xdr:nvSpPr>
      <xdr:spPr>
        <a:xfrm>
          <a:off x="5314315" y="89077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3" name="TextBox 2">
          <a:extLst>
            <a:ext uri="{FF2B5EF4-FFF2-40B4-BE49-F238E27FC236}">
              <a16:creationId xmlns:a16="http://schemas.microsoft.com/office/drawing/2014/main" id="{EF6FACC6-E60F-49E4-B10D-2EEA5F4E2567}"/>
            </a:ext>
          </a:extLst>
        </xdr:cNvPr>
        <xdr:cNvSpPr txBox="1"/>
      </xdr:nvSpPr>
      <xdr:spPr>
        <a:xfrm>
          <a:off x="5314315" y="89077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4" name="TextBox 3">
          <a:extLst>
            <a:ext uri="{FF2B5EF4-FFF2-40B4-BE49-F238E27FC236}">
              <a16:creationId xmlns:a16="http://schemas.microsoft.com/office/drawing/2014/main" id="{61AABCAF-64B9-4FDE-AD01-17A23707BBED}"/>
            </a:ext>
          </a:extLst>
        </xdr:cNvPr>
        <xdr:cNvSpPr txBox="1"/>
      </xdr:nvSpPr>
      <xdr:spPr>
        <a:xfrm>
          <a:off x="5314315" y="89077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5" name="TextBox 4">
          <a:extLst>
            <a:ext uri="{FF2B5EF4-FFF2-40B4-BE49-F238E27FC236}">
              <a16:creationId xmlns:a16="http://schemas.microsoft.com/office/drawing/2014/main" id="{7109A593-0DA2-4A70-9326-02DE32AE99BF}"/>
            </a:ext>
          </a:extLst>
        </xdr:cNvPr>
        <xdr:cNvSpPr txBox="1"/>
      </xdr:nvSpPr>
      <xdr:spPr>
        <a:xfrm>
          <a:off x="5314315" y="89077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6" name="TextBox 5">
          <a:extLst>
            <a:ext uri="{FF2B5EF4-FFF2-40B4-BE49-F238E27FC236}">
              <a16:creationId xmlns:a16="http://schemas.microsoft.com/office/drawing/2014/main" id="{0D21EA01-2B29-48E5-8A09-25DF4138B949}"/>
            </a:ext>
          </a:extLst>
        </xdr:cNvPr>
        <xdr:cNvSpPr txBox="1"/>
      </xdr:nvSpPr>
      <xdr:spPr>
        <a:xfrm>
          <a:off x="5314315" y="89077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98425</xdr:colOff>
      <xdr:row>95</xdr:row>
      <xdr:rowOff>314325</xdr:rowOff>
    </xdr:from>
    <xdr:ext cx="65" cy="172227"/>
    <xdr:sp macro="" textlink="">
      <xdr:nvSpPr>
        <xdr:cNvPr id="2" name="TextBox 1">
          <a:extLst>
            <a:ext uri="{FF2B5EF4-FFF2-40B4-BE49-F238E27FC236}">
              <a16:creationId xmlns:a16="http://schemas.microsoft.com/office/drawing/2014/main" id="{9058005A-4208-49CA-850F-8B3DC3156A91}"/>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3" name="TextBox 2">
          <a:extLst>
            <a:ext uri="{FF2B5EF4-FFF2-40B4-BE49-F238E27FC236}">
              <a16:creationId xmlns:a16="http://schemas.microsoft.com/office/drawing/2014/main" id="{6EB2522A-779C-4134-982C-6E90EEF9BEC3}"/>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4" name="TextBox 3">
          <a:extLst>
            <a:ext uri="{FF2B5EF4-FFF2-40B4-BE49-F238E27FC236}">
              <a16:creationId xmlns:a16="http://schemas.microsoft.com/office/drawing/2014/main" id="{8336BE99-580E-478A-B122-0E259DD58DFB}"/>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5" name="TextBox 4">
          <a:extLst>
            <a:ext uri="{FF2B5EF4-FFF2-40B4-BE49-F238E27FC236}">
              <a16:creationId xmlns:a16="http://schemas.microsoft.com/office/drawing/2014/main" id="{45F76912-C1ED-4BA4-A9F5-02C88ED45AEA}"/>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6" name="TextBox 5">
          <a:extLst>
            <a:ext uri="{FF2B5EF4-FFF2-40B4-BE49-F238E27FC236}">
              <a16:creationId xmlns:a16="http://schemas.microsoft.com/office/drawing/2014/main" id="{7906B9D0-A96D-4073-8487-4ECDD9F37D15}"/>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7" name="TextBox 6">
          <a:extLst>
            <a:ext uri="{FF2B5EF4-FFF2-40B4-BE49-F238E27FC236}">
              <a16:creationId xmlns:a16="http://schemas.microsoft.com/office/drawing/2014/main" id="{0F420184-7853-4AD8-871F-6E8A6C6D469E}"/>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8" name="TextBox 7">
          <a:extLst>
            <a:ext uri="{FF2B5EF4-FFF2-40B4-BE49-F238E27FC236}">
              <a16:creationId xmlns:a16="http://schemas.microsoft.com/office/drawing/2014/main" id="{7E74A952-90B8-4434-B55C-1E3CCC0FCA1C}"/>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9" name="TextBox 8">
          <a:extLst>
            <a:ext uri="{FF2B5EF4-FFF2-40B4-BE49-F238E27FC236}">
              <a16:creationId xmlns:a16="http://schemas.microsoft.com/office/drawing/2014/main" id="{A221B9F5-F926-4825-B447-98520EBB12CC}"/>
            </a:ext>
          </a:extLst>
        </xdr:cNvPr>
        <xdr:cNvSpPr txBox="1"/>
      </xdr:nvSpPr>
      <xdr:spPr>
        <a:xfrm>
          <a:off x="5628640" y="191852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0B50A-A77F-4DD6-AC14-8CCC5B25DC5F}">
  <sheetPr>
    <tabColor rgb="FF0070C0"/>
    <pageSetUpPr autoPageBreaks="0"/>
  </sheetPr>
  <dimension ref="A6:K22"/>
  <sheetViews>
    <sheetView showGridLines="0" tabSelected="1" zoomScale="115" zoomScaleNormal="115" workbookViewId="0"/>
  </sheetViews>
  <sheetFormatPr defaultRowHeight="14.4" x14ac:dyDescent="0.3"/>
  <sheetData>
    <row r="6" spans="1:10" ht="33.6" x14ac:dyDescent="0.65">
      <c r="A6" s="160" t="s">
        <v>547</v>
      </c>
      <c r="B6" s="160"/>
      <c r="C6" s="160"/>
      <c r="D6" s="160"/>
      <c r="E6" s="160"/>
      <c r="F6" s="160"/>
      <c r="G6" s="160"/>
      <c r="H6" s="160"/>
      <c r="I6" s="160"/>
      <c r="J6" s="160"/>
    </row>
    <row r="7" spans="1:10" ht="6" customHeight="1" x14ac:dyDescent="0.3">
      <c r="A7" s="161"/>
      <c r="B7" s="161"/>
      <c r="C7" s="161"/>
      <c r="D7" s="161"/>
      <c r="E7" s="161"/>
      <c r="F7" s="161"/>
      <c r="G7" s="161"/>
      <c r="H7" s="161"/>
      <c r="I7" s="161"/>
      <c r="J7" s="161"/>
    </row>
    <row r="8" spans="1:10" ht="21" x14ac:dyDescent="0.4">
      <c r="A8" s="162" t="s">
        <v>558</v>
      </c>
      <c r="B8" s="162"/>
      <c r="C8" s="162"/>
      <c r="D8" s="162"/>
      <c r="E8" s="162"/>
      <c r="F8" s="162"/>
      <c r="G8" s="162"/>
      <c r="H8" s="162"/>
      <c r="I8" s="162"/>
      <c r="J8" s="162"/>
    </row>
    <row r="10" spans="1:10" ht="75" customHeight="1" x14ac:dyDescent="0.3">
      <c r="A10" s="163" t="s">
        <v>548</v>
      </c>
      <c r="B10" s="164" t="s">
        <v>549</v>
      </c>
      <c r="C10" s="164"/>
      <c r="D10" s="164"/>
      <c r="E10" s="164"/>
      <c r="F10" s="164"/>
      <c r="G10" s="164"/>
      <c r="H10" s="164"/>
      <c r="I10" s="164"/>
      <c r="J10" s="164"/>
    </row>
    <row r="11" spans="1:10" x14ac:dyDescent="0.3">
      <c r="B11" s="165"/>
      <c r="C11" s="165"/>
      <c r="D11" s="165"/>
      <c r="E11" s="165"/>
      <c r="F11" s="165"/>
      <c r="G11" s="165"/>
      <c r="H11" s="165"/>
      <c r="I11" s="165"/>
      <c r="J11" s="165"/>
    </row>
    <row r="12" spans="1:10" ht="45" customHeight="1" x14ac:dyDescent="0.3">
      <c r="A12" s="163" t="s">
        <v>548</v>
      </c>
      <c r="B12" s="164" t="s">
        <v>550</v>
      </c>
      <c r="C12" s="164"/>
      <c r="D12" s="164"/>
      <c r="E12" s="164"/>
      <c r="F12" s="164"/>
      <c r="G12" s="164"/>
      <c r="H12" s="164"/>
      <c r="I12" s="164"/>
      <c r="J12" s="164"/>
    </row>
    <row r="13" spans="1:10" x14ac:dyDescent="0.3">
      <c r="B13" s="165"/>
      <c r="C13" s="165"/>
      <c r="D13" s="165"/>
      <c r="E13" s="165"/>
      <c r="F13" s="165"/>
      <c r="G13" s="165"/>
      <c r="H13" s="165"/>
      <c r="I13" s="165"/>
      <c r="J13" s="165"/>
    </row>
    <row r="14" spans="1:10" ht="30" customHeight="1" x14ac:dyDescent="0.3">
      <c r="A14" s="163" t="s">
        <v>548</v>
      </c>
      <c r="B14" s="164" t="s">
        <v>551</v>
      </c>
      <c r="C14" s="164"/>
      <c r="D14" s="164"/>
      <c r="E14" s="164"/>
      <c r="F14" s="164"/>
      <c r="G14" s="164"/>
      <c r="H14" s="164"/>
      <c r="I14" s="164"/>
      <c r="J14" s="164"/>
    </row>
    <row r="15" spans="1:10" x14ac:dyDescent="0.3">
      <c r="B15" s="165"/>
      <c r="C15" s="165"/>
      <c r="D15" s="165"/>
      <c r="E15" s="165"/>
      <c r="F15" s="165"/>
      <c r="G15" s="165"/>
      <c r="H15" s="165"/>
      <c r="I15" s="165"/>
      <c r="J15" s="165"/>
    </row>
    <row r="16" spans="1:10" ht="42.6" customHeight="1" x14ac:dyDescent="0.3">
      <c r="A16" s="163" t="s">
        <v>548</v>
      </c>
      <c r="B16" s="164" t="s">
        <v>552</v>
      </c>
      <c r="C16" s="164"/>
      <c r="D16" s="164"/>
      <c r="E16" s="164"/>
      <c r="F16" s="164"/>
      <c r="G16" s="164"/>
      <c r="H16" s="164"/>
      <c r="I16" s="164"/>
      <c r="J16" s="164"/>
    </row>
    <row r="17" spans="1:11" x14ac:dyDescent="0.3">
      <c r="B17" s="165"/>
      <c r="C17" s="165"/>
      <c r="D17" s="165"/>
      <c r="E17" s="165"/>
      <c r="F17" s="165"/>
      <c r="G17" s="165"/>
      <c r="H17" s="165"/>
      <c r="I17" s="165"/>
      <c r="J17" s="165"/>
      <c r="K17" s="166"/>
    </row>
    <row r="18" spans="1:11" ht="74.400000000000006" customHeight="1" x14ac:dyDescent="0.3">
      <c r="A18" s="163" t="s">
        <v>548</v>
      </c>
      <c r="B18" s="164" t="s">
        <v>553</v>
      </c>
      <c r="C18" s="164"/>
      <c r="D18" s="164"/>
      <c r="E18" s="164"/>
      <c r="F18" s="164"/>
      <c r="G18" s="164"/>
      <c r="H18" s="164"/>
      <c r="I18" s="164"/>
      <c r="J18" s="164"/>
    </row>
    <row r="19" spans="1:11" x14ac:dyDescent="0.3">
      <c r="B19" s="167" t="s">
        <v>554</v>
      </c>
      <c r="C19" s="168"/>
      <c r="D19" s="168"/>
      <c r="E19" s="168"/>
      <c r="F19" s="168"/>
      <c r="G19" s="168"/>
      <c r="H19" s="168"/>
      <c r="I19" s="168"/>
      <c r="J19" s="168"/>
    </row>
    <row r="22" spans="1:11" x14ac:dyDescent="0.3">
      <c r="B22" s="169" t="s">
        <v>555</v>
      </c>
      <c r="C22" s="169"/>
      <c r="D22" s="170" t="s">
        <v>556</v>
      </c>
      <c r="E22" s="170"/>
      <c r="F22" s="170"/>
      <c r="G22" s="170"/>
      <c r="H22" s="171" t="s">
        <v>557</v>
      </c>
      <c r="I22" s="171"/>
      <c r="J22" s="171"/>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FBE1A2DA-FAC6-4FAB-84A0-9FB7806844FC}"/>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006A8-EE21-40B3-80FE-D8DBDFDD642A}">
  <sheetPr>
    <tabColor theme="5" tint="0.39997558519241921"/>
  </sheetPr>
  <dimension ref="A1:L28"/>
  <sheetViews>
    <sheetView zoomScale="115" zoomScaleNormal="115" workbookViewId="0"/>
  </sheetViews>
  <sheetFormatPr defaultRowHeight="14.4" x14ac:dyDescent="0.3"/>
  <cols>
    <col min="3" max="3" width="11.88671875" customWidth="1"/>
    <col min="6" max="6" width="14.5546875" customWidth="1"/>
    <col min="7" max="7" width="8" customWidth="1"/>
    <col min="9" max="9" width="10.77734375" customWidth="1"/>
  </cols>
  <sheetData>
    <row r="1" spans="1:12" x14ac:dyDescent="0.3">
      <c r="A1" s="67" t="s">
        <v>561</v>
      </c>
    </row>
    <row r="3" spans="1:12" x14ac:dyDescent="0.3">
      <c r="A3" s="7" t="s">
        <v>23</v>
      </c>
    </row>
    <row r="4" spans="1:12" x14ac:dyDescent="0.3">
      <c r="A4" t="s">
        <v>316</v>
      </c>
    </row>
    <row r="6" spans="1:12" x14ac:dyDescent="0.3">
      <c r="A6" t="s">
        <v>315</v>
      </c>
    </row>
    <row r="8" spans="1:12" x14ac:dyDescent="0.3">
      <c r="A8" s="1">
        <v>1</v>
      </c>
      <c r="B8" t="s">
        <v>314</v>
      </c>
    </row>
    <row r="9" spans="1:12" x14ac:dyDescent="0.3">
      <c r="A9" s="1"/>
    </row>
    <row r="10" spans="1:12" x14ac:dyDescent="0.3">
      <c r="B10" s="1"/>
      <c r="C10" s="19" t="s">
        <v>25</v>
      </c>
      <c r="D10" s="19" t="s">
        <v>313</v>
      </c>
      <c r="G10" s="19"/>
      <c r="H10" s="19"/>
      <c r="I10" s="19" t="s">
        <v>312</v>
      </c>
      <c r="K10" s="19"/>
      <c r="L10" s="19"/>
    </row>
    <row r="11" spans="1:12" x14ac:dyDescent="0.3">
      <c r="B11" s="19"/>
      <c r="C11" s="19" t="s">
        <v>311</v>
      </c>
      <c r="D11" s="19" t="s">
        <v>310</v>
      </c>
      <c r="G11" s="19" t="s">
        <v>309</v>
      </c>
      <c r="H11" s="19" t="s">
        <v>308</v>
      </c>
      <c r="I11" s="19" t="s">
        <v>307</v>
      </c>
      <c r="K11" s="19"/>
      <c r="L11" s="19"/>
    </row>
    <row r="12" spans="1:12" x14ac:dyDescent="0.3">
      <c r="B12" s="19" t="s">
        <v>3</v>
      </c>
      <c r="C12" s="19" t="s">
        <v>70</v>
      </c>
      <c r="D12" s="19" t="s">
        <v>306</v>
      </c>
      <c r="G12" s="19" t="s">
        <v>305</v>
      </c>
      <c r="H12" s="19" t="s">
        <v>304</v>
      </c>
      <c r="I12" s="19" t="s">
        <v>304</v>
      </c>
      <c r="K12" s="19"/>
      <c r="L12" s="19"/>
    </row>
    <row r="13" spans="1:12" x14ac:dyDescent="0.3">
      <c r="B13" s="1">
        <v>0</v>
      </c>
      <c r="C13" s="1"/>
      <c r="D13" s="1"/>
    </row>
    <row r="14" spans="1:12" x14ac:dyDescent="0.3">
      <c r="B14" s="1">
        <v>1</v>
      </c>
      <c r="C14" s="1">
        <v>100</v>
      </c>
      <c r="D14" s="49">
        <v>0.02</v>
      </c>
      <c r="E14" s="40"/>
      <c r="F14" t="s">
        <v>303</v>
      </c>
      <c r="G14" s="48">
        <v>0.01</v>
      </c>
      <c r="H14" s="48">
        <v>0.1</v>
      </c>
      <c r="I14" s="48">
        <v>0.05</v>
      </c>
    </row>
    <row r="15" spans="1:12" x14ac:dyDescent="0.3">
      <c r="B15" s="1">
        <v>2</v>
      </c>
      <c r="C15" s="1">
        <v>75</v>
      </c>
      <c r="D15" s="49">
        <v>2.5000000000000001E-2</v>
      </c>
      <c r="E15" s="40"/>
      <c r="F15" t="s">
        <v>302</v>
      </c>
      <c r="G15" s="48">
        <v>0.04</v>
      </c>
      <c r="H15" s="48">
        <v>0.2</v>
      </c>
      <c r="I15" s="48">
        <v>0.05</v>
      </c>
    </row>
    <row r="16" spans="1:12" x14ac:dyDescent="0.3">
      <c r="B16" s="1">
        <v>3</v>
      </c>
      <c r="C16" s="1">
        <v>150</v>
      </c>
      <c r="D16" s="49">
        <v>0.03</v>
      </c>
      <c r="E16" s="40"/>
      <c r="F16" t="s">
        <v>301</v>
      </c>
      <c r="G16" s="48">
        <v>0.06</v>
      </c>
      <c r="H16" s="48">
        <v>0.4</v>
      </c>
      <c r="I16" s="48">
        <v>0.5</v>
      </c>
    </row>
    <row r="17" spans="1:10" x14ac:dyDescent="0.3">
      <c r="B17" s="1">
        <v>4</v>
      </c>
      <c r="C17" s="1">
        <v>200</v>
      </c>
      <c r="D17" s="49">
        <v>3.5000000000000003E-2</v>
      </c>
      <c r="E17" s="40"/>
      <c r="F17" t="s">
        <v>300</v>
      </c>
      <c r="G17" s="48">
        <v>6.5000000000000002E-2</v>
      </c>
      <c r="H17" s="48">
        <v>0.3</v>
      </c>
      <c r="I17" s="48">
        <v>0.4</v>
      </c>
    </row>
    <row r="18" spans="1:10" x14ac:dyDescent="0.3">
      <c r="B18" s="1">
        <v>5</v>
      </c>
      <c r="C18" s="1">
        <v>250</v>
      </c>
      <c r="D18" s="49">
        <v>0.04</v>
      </c>
      <c r="E18" s="40"/>
      <c r="G18" s="48"/>
      <c r="H18" s="48"/>
      <c r="I18" s="48"/>
    </row>
    <row r="19" spans="1:10" x14ac:dyDescent="0.3">
      <c r="D19" s="48"/>
      <c r="G19" s="48"/>
      <c r="H19" s="48"/>
      <c r="I19" s="48"/>
    </row>
    <row r="20" spans="1:10" x14ac:dyDescent="0.3">
      <c r="D20" s="48"/>
      <c r="F20" t="s">
        <v>299</v>
      </c>
      <c r="G20" s="8">
        <v>1000</v>
      </c>
      <c r="I20" s="48"/>
      <c r="J20" s="47"/>
    </row>
    <row r="21" spans="1:10" x14ac:dyDescent="0.3">
      <c r="D21" s="48"/>
      <c r="G21" s="8"/>
      <c r="I21" s="48"/>
      <c r="J21" s="47"/>
    </row>
    <row r="22" spans="1:10" x14ac:dyDescent="0.3">
      <c r="B22" t="s">
        <v>298</v>
      </c>
      <c r="D22" s="48"/>
      <c r="I22" s="48"/>
      <c r="J22" s="47"/>
    </row>
    <row r="23" spans="1:10" x14ac:dyDescent="0.3">
      <c r="D23" s="48"/>
      <c r="I23" s="48"/>
      <c r="J23" s="47"/>
    </row>
    <row r="24" spans="1:10" x14ac:dyDescent="0.3">
      <c r="A24" s="1" t="s">
        <v>143</v>
      </c>
      <c r="B24" t="s">
        <v>297</v>
      </c>
    </row>
    <row r="26" spans="1:10" x14ac:dyDescent="0.3">
      <c r="A26" s="1" t="s">
        <v>133</v>
      </c>
      <c r="B26" t="s">
        <v>296</v>
      </c>
    </row>
    <row r="28" spans="1:10" x14ac:dyDescent="0.3">
      <c r="A28" s="1" t="s">
        <v>295</v>
      </c>
      <c r="B28" t="s">
        <v>294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F8ED5-4CD2-4205-90B8-97DE04BB3FCF}">
  <sheetPr>
    <tabColor theme="9" tint="0.59999389629810485"/>
  </sheetPr>
  <dimension ref="A1:N99"/>
  <sheetViews>
    <sheetView zoomScale="115" zoomScaleNormal="115" workbookViewId="0"/>
  </sheetViews>
  <sheetFormatPr defaultRowHeight="14.4" x14ac:dyDescent="0.3"/>
  <cols>
    <col min="2" max="2" width="15.109375" customWidth="1"/>
    <col min="3" max="3" width="18.21875" customWidth="1"/>
    <col min="4" max="4" width="10.109375" bestFit="1" customWidth="1"/>
    <col min="5" max="5" width="11" customWidth="1"/>
    <col min="6" max="6" width="9.109375" bestFit="1" customWidth="1"/>
    <col min="7" max="7" width="10.88671875" customWidth="1"/>
    <col min="8" max="8" width="19.88671875" customWidth="1"/>
    <col min="9" max="9" width="18.5546875" customWidth="1"/>
    <col min="11" max="11" width="10.77734375" customWidth="1"/>
  </cols>
  <sheetData>
    <row r="1" spans="1:7" x14ac:dyDescent="0.3">
      <c r="A1" s="67" t="s">
        <v>561</v>
      </c>
    </row>
    <row r="3" spans="1:7" x14ac:dyDescent="0.3">
      <c r="A3" s="7" t="s">
        <v>23</v>
      </c>
    </row>
    <row r="4" spans="1:7" x14ac:dyDescent="0.3">
      <c r="A4" t="s">
        <v>316</v>
      </c>
    </row>
    <row r="6" spans="1:7" x14ac:dyDescent="0.3">
      <c r="A6" t="s">
        <v>315</v>
      </c>
    </row>
    <row r="9" spans="1:7" x14ac:dyDescent="0.3">
      <c r="A9" s="1" t="s">
        <v>143</v>
      </c>
      <c r="B9" t="s">
        <v>387</v>
      </c>
    </row>
    <row r="10" spans="1:7" x14ac:dyDescent="0.3">
      <c r="A10" s="1"/>
    </row>
    <row r="11" spans="1:7" x14ac:dyDescent="0.3">
      <c r="A11" s="1"/>
      <c r="B11" t="s">
        <v>386</v>
      </c>
      <c r="C11" s="8"/>
    </row>
    <row r="12" spans="1:7" x14ac:dyDescent="0.3">
      <c r="A12" s="1"/>
      <c r="B12" t="s">
        <v>385</v>
      </c>
    </row>
    <row r="13" spans="1:7" x14ac:dyDescent="0.3">
      <c r="A13" s="1"/>
    </row>
    <row r="14" spans="1:7" x14ac:dyDescent="0.3">
      <c r="A14" s="1"/>
      <c r="B14" t="s">
        <v>384</v>
      </c>
    </row>
    <row r="15" spans="1:7" x14ac:dyDescent="0.3">
      <c r="A15" s="1"/>
    </row>
    <row r="16" spans="1:7" x14ac:dyDescent="0.3">
      <c r="A16" s="1"/>
      <c r="C16" s="57" t="s">
        <v>162</v>
      </c>
      <c r="D16" s="57" t="s">
        <v>159</v>
      </c>
      <c r="E16" s="57" t="s">
        <v>157</v>
      </c>
      <c r="F16" s="57" t="s">
        <v>383</v>
      </c>
      <c r="G16" s="57" t="s">
        <v>382</v>
      </c>
    </row>
    <row r="17" spans="2:14" x14ac:dyDescent="0.3">
      <c r="B17" s="19"/>
      <c r="C17" s="19"/>
      <c r="D17" s="19" t="s">
        <v>313</v>
      </c>
      <c r="E17" s="19"/>
      <c r="F17" s="19" t="s">
        <v>381</v>
      </c>
      <c r="G17" s="19"/>
    </row>
    <row r="18" spans="2:14" x14ac:dyDescent="0.3">
      <c r="B18" s="19" t="s">
        <v>380</v>
      </c>
      <c r="C18" s="19" t="s">
        <v>311</v>
      </c>
      <c r="D18" s="19" t="s">
        <v>310</v>
      </c>
      <c r="E18" s="19" t="s">
        <v>379</v>
      </c>
      <c r="F18" s="19" t="s">
        <v>378</v>
      </c>
      <c r="G18" s="19" t="s">
        <v>307</v>
      </c>
      <c r="H18" s="19"/>
      <c r="I18" s="19"/>
      <c r="J18" s="19"/>
      <c r="K18" s="19"/>
      <c r="L18" s="12"/>
      <c r="M18" s="19"/>
      <c r="N18" s="19"/>
    </row>
    <row r="19" spans="2:14" x14ac:dyDescent="0.3">
      <c r="B19" s="19" t="s">
        <v>3</v>
      </c>
      <c r="C19" s="19" t="s">
        <v>70</v>
      </c>
      <c r="D19" s="19" t="s">
        <v>306</v>
      </c>
      <c r="E19" s="19" t="s">
        <v>377</v>
      </c>
      <c r="F19" s="19" t="s">
        <v>70</v>
      </c>
      <c r="G19" s="19" t="s">
        <v>376</v>
      </c>
      <c r="H19" s="19"/>
      <c r="I19" s="19"/>
      <c r="J19" s="19"/>
      <c r="K19" s="19"/>
      <c r="L19" s="19"/>
      <c r="M19" s="19"/>
      <c r="N19" s="19"/>
    </row>
    <row r="20" spans="2:14" x14ac:dyDescent="0.3">
      <c r="F20" s="1"/>
      <c r="G20" s="1"/>
      <c r="H20" s="19"/>
      <c r="I20" s="19"/>
      <c r="J20" s="19"/>
      <c r="K20" s="19"/>
      <c r="L20" s="19"/>
      <c r="M20" s="19"/>
      <c r="N20" s="19"/>
    </row>
    <row r="21" spans="2:14" x14ac:dyDescent="0.3">
      <c r="B21" s="1">
        <v>1</v>
      </c>
      <c r="C21" s="1">
        <v>100</v>
      </c>
      <c r="D21" s="49">
        <v>0.02</v>
      </c>
      <c r="E21" s="61">
        <f>1/(1+D21)</f>
        <v>0.98039215686274506</v>
      </c>
      <c r="F21" s="4">
        <f>C21*E21</f>
        <v>98.039215686274503</v>
      </c>
      <c r="G21" s="4">
        <f>D21*C21</f>
        <v>2</v>
      </c>
      <c r="I21" s="49"/>
      <c r="J21" s="49"/>
      <c r="K21" s="49"/>
    </row>
    <row r="22" spans="2:14" x14ac:dyDescent="0.3">
      <c r="B22" s="1">
        <v>2</v>
      </c>
      <c r="C22" s="1">
        <v>75</v>
      </c>
      <c r="D22" s="49">
        <v>2.5000000000000001E-2</v>
      </c>
      <c r="E22" s="61">
        <f>1/(1+D22)^2</f>
        <v>0.95181439619274244</v>
      </c>
      <c r="F22" s="4">
        <f>C22*E22</f>
        <v>71.38607971445569</v>
      </c>
      <c r="G22" s="4">
        <f>D22*C22</f>
        <v>1.875</v>
      </c>
      <c r="I22" s="49"/>
      <c r="J22" s="49"/>
      <c r="K22" s="49"/>
    </row>
    <row r="23" spans="2:14" x14ac:dyDescent="0.3">
      <c r="B23" s="1">
        <v>3</v>
      </c>
      <c r="C23" s="1">
        <v>150</v>
      </c>
      <c r="D23" s="49">
        <v>0.03</v>
      </c>
      <c r="E23" s="61">
        <f>1/(1+D23)^3</f>
        <v>0.91514165935315961</v>
      </c>
      <c r="F23" s="4">
        <f>C23*E23</f>
        <v>137.27124890297395</v>
      </c>
      <c r="G23" s="4">
        <f>D23*C23</f>
        <v>4.5</v>
      </c>
      <c r="I23" s="49"/>
      <c r="J23" s="49"/>
      <c r="K23" s="49"/>
    </row>
    <row r="24" spans="2:14" x14ac:dyDescent="0.3">
      <c r="B24" s="1">
        <v>4</v>
      </c>
      <c r="C24" s="1">
        <v>200</v>
      </c>
      <c r="D24" s="49">
        <v>3.5000000000000003E-2</v>
      </c>
      <c r="E24" s="61">
        <f>1/(1+D24)^4</f>
        <v>0.87144222769857238</v>
      </c>
      <c r="F24" s="4">
        <f>C24*E24</f>
        <v>174.28844553971447</v>
      </c>
      <c r="G24" s="4">
        <f>D24*C24</f>
        <v>7.0000000000000009</v>
      </c>
      <c r="I24" s="49"/>
      <c r="J24" s="49"/>
      <c r="K24" s="49"/>
    </row>
    <row r="25" spans="2:14" x14ac:dyDescent="0.3">
      <c r="B25" s="60">
        <v>5</v>
      </c>
      <c r="C25" s="60">
        <v>250</v>
      </c>
      <c r="D25" s="53">
        <v>0.04</v>
      </c>
      <c r="E25" s="59">
        <f>1/(1+D25)^5</f>
        <v>0.82192710675935154</v>
      </c>
      <c r="F25" s="58">
        <f>C25*E25</f>
        <v>205.48177668983789</v>
      </c>
      <c r="G25" s="58">
        <f>D25*C25</f>
        <v>10</v>
      </c>
      <c r="I25" s="49"/>
      <c r="J25" s="49"/>
      <c r="K25" s="49"/>
    </row>
    <row r="26" spans="2:14" x14ac:dyDescent="0.3">
      <c r="B26" s="1"/>
      <c r="C26" s="1"/>
      <c r="D26" s="49"/>
      <c r="E26" s="1"/>
      <c r="F26" s="4">
        <f>SUM(F21:F25)</f>
        <v>686.46676653325653</v>
      </c>
      <c r="G26" s="4">
        <f>SUM(G21:G25)</f>
        <v>25.375</v>
      </c>
      <c r="I26" s="1"/>
      <c r="J26" s="1"/>
      <c r="K26" s="49"/>
      <c r="L26" s="47"/>
    </row>
    <row r="27" spans="2:14" x14ac:dyDescent="0.3">
      <c r="B27" s="1"/>
      <c r="C27" s="1"/>
      <c r="D27" s="49"/>
      <c r="E27" s="1"/>
      <c r="F27" s="4"/>
      <c r="G27" s="4"/>
      <c r="I27" s="1"/>
      <c r="J27" s="1"/>
      <c r="K27" s="49"/>
      <c r="L27" s="47"/>
    </row>
    <row r="28" spans="2:14" x14ac:dyDescent="0.3">
      <c r="C28" s="1" t="s">
        <v>375</v>
      </c>
      <c r="D28" s="1" t="s">
        <v>374</v>
      </c>
      <c r="E28" s="1"/>
      <c r="F28" s="4"/>
      <c r="G28" s="4"/>
      <c r="I28" s="1"/>
      <c r="J28" s="1"/>
      <c r="K28" s="49"/>
      <c r="L28" s="47"/>
    </row>
    <row r="29" spans="2:14" x14ac:dyDescent="0.3">
      <c r="C29" s="1" t="s">
        <v>373</v>
      </c>
      <c r="D29" s="6" t="s">
        <v>372</v>
      </c>
      <c r="E29" s="1"/>
      <c r="F29" s="4"/>
      <c r="G29" s="4"/>
      <c r="I29" s="1"/>
      <c r="J29" s="1"/>
      <c r="K29" s="49"/>
      <c r="L29" s="47"/>
    </row>
    <row r="30" spans="2:14" x14ac:dyDescent="0.3">
      <c r="C30" s="1" t="s">
        <v>371</v>
      </c>
      <c r="D30" t="s">
        <v>370</v>
      </c>
      <c r="I30" s="1"/>
      <c r="J30" s="1"/>
      <c r="K30" s="1"/>
    </row>
    <row r="31" spans="2:14" x14ac:dyDescent="0.3">
      <c r="C31" s="1" t="s">
        <v>369</v>
      </c>
      <c r="D31" t="s">
        <v>368</v>
      </c>
      <c r="I31" s="3"/>
      <c r="J31" s="1"/>
      <c r="K31" s="1"/>
    </row>
    <row r="32" spans="2:14" x14ac:dyDescent="0.3">
      <c r="B32" s="1"/>
      <c r="I32" s="3"/>
      <c r="J32" s="1"/>
      <c r="K32" s="1"/>
    </row>
    <row r="33" spans="1:14" x14ac:dyDescent="0.3">
      <c r="B33" t="s">
        <v>367</v>
      </c>
    </row>
    <row r="34" spans="1:14" x14ac:dyDescent="0.3">
      <c r="E34" s="8"/>
    </row>
    <row r="35" spans="1:14" x14ac:dyDescent="0.3">
      <c r="B35" t="s">
        <v>366</v>
      </c>
      <c r="E35" s="8"/>
    </row>
    <row r="36" spans="1:14" x14ac:dyDescent="0.3">
      <c r="C36" t="s">
        <v>365</v>
      </c>
      <c r="E36" s="8">
        <v>1000</v>
      </c>
    </row>
    <row r="37" spans="1:14" x14ac:dyDescent="0.3">
      <c r="B37" s="57" t="s">
        <v>364</v>
      </c>
      <c r="C37" t="s">
        <v>363</v>
      </c>
      <c r="E37" s="8">
        <f>+F26</f>
        <v>686.46676653325653</v>
      </c>
    </row>
    <row r="38" spans="1:14" x14ac:dyDescent="0.3">
      <c r="B38" s="57" t="s">
        <v>362</v>
      </c>
      <c r="C38" t="s">
        <v>361</v>
      </c>
      <c r="E38" s="8">
        <f>E36-E37</f>
        <v>313.53323346674347</v>
      </c>
    </row>
    <row r="41" spans="1:14" x14ac:dyDescent="0.3">
      <c r="A41" s="1" t="s">
        <v>133</v>
      </c>
      <c r="B41" t="s">
        <v>360</v>
      </c>
    </row>
    <row r="42" spans="1:14" x14ac:dyDescent="0.3">
      <c r="A42" s="1"/>
      <c r="B42" t="s">
        <v>359</v>
      </c>
    </row>
    <row r="43" spans="1:14" x14ac:dyDescent="0.3">
      <c r="A43" s="1"/>
    </row>
    <row r="44" spans="1:14" x14ac:dyDescent="0.3">
      <c r="A44" s="1"/>
      <c r="C44" s="57" t="s">
        <v>358</v>
      </c>
      <c r="D44" s="57" t="s">
        <v>357</v>
      </c>
      <c r="E44" s="57" t="s">
        <v>356</v>
      </c>
      <c r="F44" s="57" t="s">
        <v>154</v>
      </c>
      <c r="G44" s="57" t="s">
        <v>355</v>
      </c>
      <c r="H44" s="57" t="s">
        <v>354</v>
      </c>
      <c r="I44" s="57" t="s">
        <v>353</v>
      </c>
    </row>
    <row r="45" spans="1:14" x14ac:dyDescent="0.3">
      <c r="A45" s="1"/>
      <c r="B45" s="19"/>
      <c r="C45" s="19"/>
      <c r="D45" s="19"/>
      <c r="E45" s="19"/>
      <c r="F45" s="19"/>
      <c r="G45" s="19"/>
      <c r="H45" s="19"/>
      <c r="I45" s="19" t="s">
        <v>312</v>
      </c>
    </row>
    <row r="46" spans="1:14" x14ac:dyDescent="0.3">
      <c r="A46" s="1"/>
      <c r="B46" s="19"/>
      <c r="C46" s="19"/>
      <c r="D46" s="19"/>
      <c r="E46" s="19" t="s">
        <v>312</v>
      </c>
      <c r="F46" s="19"/>
      <c r="G46" s="19" t="s">
        <v>312</v>
      </c>
      <c r="H46" s="19" t="s">
        <v>308</v>
      </c>
      <c r="I46" s="19" t="s">
        <v>307</v>
      </c>
      <c r="M46" s="19"/>
      <c r="N46" s="19"/>
    </row>
    <row r="47" spans="1:14" x14ac:dyDescent="0.3">
      <c r="A47" s="1"/>
      <c r="B47" s="19"/>
      <c r="C47" s="19"/>
      <c r="D47" s="19" t="s">
        <v>308</v>
      </c>
      <c r="E47" s="19" t="s">
        <v>307</v>
      </c>
      <c r="F47" s="19" t="s">
        <v>308</v>
      </c>
      <c r="G47" s="19" t="s">
        <v>307</v>
      </c>
      <c r="H47" s="19" t="s">
        <v>304</v>
      </c>
      <c r="I47" s="19" t="s">
        <v>304</v>
      </c>
      <c r="M47" s="19"/>
      <c r="N47" s="19"/>
    </row>
    <row r="48" spans="1:14" x14ac:dyDescent="0.3">
      <c r="A48" s="1"/>
      <c r="B48" s="19" t="s">
        <v>307</v>
      </c>
      <c r="C48" s="19" t="s">
        <v>305</v>
      </c>
      <c r="D48" s="19" t="s">
        <v>327</v>
      </c>
      <c r="E48" s="19" t="s">
        <v>327</v>
      </c>
      <c r="F48" s="19" t="s">
        <v>304</v>
      </c>
      <c r="G48" s="19" t="s">
        <v>304</v>
      </c>
      <c r="H48" s="19" t="s">
        <v>352</v>
      </c>
      <c r="I48" s="19" t="s">
        <v>352</v>
      </c>
      <c r="M48" s="19"/>
      <c r="N48" s="19"/>
    </row>
    <row r="49" spans="1:9" x14ac:dyDescent="0.3">
      <c r="A49" s="1"/>
      <c r="B49" t="s">
        <v>303</v>
      </c>
      <c r="C49" s="49">
        <v>0.01</v>
      </c>
      <c r="D49" s="49">
        <v>0.1</v>
      </c>
      <c r="E49" s="49">
        <v>0.05</v>
      </c>
      <c r="F49" s="3">
        <f t="shared" ref="F49:G52" si="0">D49*1000</f>
        <v>100</v>
      </c>
      <c r="G49" s="3">
        <f t="shared" si="0"/>
        <v>50</v>
      </c>
      <c r="H49" s="9">
        <f>F49*C49</f>
        <v>1</v>
      </c>
      <c r="I49" s="9">
        <f>G49*C49</f>
        <v>0.5</v>
      </c>
    </row>
    <row r="50" spans="1:9" x14ac:dyDescent="0.3">
      <c r="A50" s="1"/>
      <c r="B50" t="s">
        <v>302</v>
      </c>
      <c r="C50" s="49">
        <v>0.04</v>
      </c>
      <c r="D50" s="49">
        <v>0.2</v>
      </c>
      <c r="E50" s="49">
        <v>0.05</v>
      </c>
      <c r="F50" s="3">
        <f t="shared" si="0"/>
        <v>200</v>
      </c>
      <c r="G50" s="3">
        <f t="shared" si="0"/>
        <v>50</v>
      </c>
      <c r="H50" s="9">
        <f>F50*C50</f>
        <v>8</v>
      </c>
      <c r="I50" s="9">
        <f>G50*C50</f>
        <v>2</v>
      </c>
    </row>
    <row r="51" spans="1:9" x14ac:dyDescent="0.3">
      <c r="B51" t="s">
        <v>301</v>
      </c>
      <c r="C51" s="49">
        <v>0.06</v>
      </c>
      <c r="D51" s="49">
        <v>0.4</v>
      </c>
      <c r="E51" s="49">
        <v>0.5</v>
      </c>
      <c r="F51" s="3">
        <f t="shared" si="0"/>
        <v>400</v>
      </c>
      <c r="G51" s="3">
        <f t="shared" si="0"/>
        <v>500</v>
      </c>
      <c r="H51" s="9">
        <f>F51*C51</f>
        <v>24</v>
      </c>
      <c r="I51" s="9">
        <f>G51*C51</f>
        <v>30</v>
      </c>
    </row>
    <row r="52" spans="1:9" x14ac:dyDescent="0.3">
      <c r="B52" t="s">
        <v>300</v>
      </c>
      <c r="C52" s="49">
        <v>6.5000000000000002E-2</v>
      </c>
      <c r="D52" s="53">
        <v>0.3</v>
      </c>
      <c r="E52" s="53">
        <v>0.4</v>
      </c>
      <c r="F52" s="56">
        <f t="shared" si="0"/>
        <v>300</v>
      </c>
      <c r="G52" s="56">
        <f t="shared" si="0"/>
        <v>400</v>
      </c>
      <c r="H52" s="55">
        <f>F52*C52</f>
        <v>19.5</v>
      </c>
      <c r="I52" s="55">
        <f>G52*C52</f>
        <v>26</v>
      </c>
    </row>
    <row r="53" spans="1:9" x14ac:dyDescent="0.3">
      <c r="C53" s="49"/>
      <c r="D53" s="49">
        <f t="shared" ref="D53:I53" si="1">SUM(D49:D52)</f>
        <v>1</v>
      </c>
      <c r="E53" s="49">
        <f t="shared" si="1"/>
        <v>1</v>
      </c>
      <c r="F53" s="3">
        <f t="shared" si="1"/>
        <v>1000</v>
      </c>
      <c r="G53" s="3">
        <f t="shared" si="1"/>
        <v>1000</v>
      </c>
      <c r="H53" s="9">
        <f t="shared" si="1"/>
        <v>52.5</v>
      </c>
      <c r="I53" s="9">
        <f t="shared" si="1"/>
        <v>58.5</v>
      </c>
    </row>
    <row r="54" spans="1:9" x14ac:dyDescent="0.3">
      <c r="C54" s="49"/>
      <c r="D54" s="49"/>
      <c r="E54" s="49"/>
      <c r="F54" s="3"/>
      <c r="G54" s="3"/>
      <c r="H54" s="9"/>
      <c r="I54" s="9"/>
    </row>
    <row r="55" spans="1:9" x14ac:dyDescent="0.3">
      <c r="G55" s="54" t="s">
        <v>351</v>
      </c>
      <c r="H55" s="4">
        <f>G26</f>
        <v>25.375</v>
      </c>
      <c r="I55" s="4">
        <f>G26</f>
        <v>25.375</v>
      </c>
    </row>
    <row r="56" spans="1:9" x14ac:dyDescent="0.3">
      <c r="G56" s="54" t="s">
        <v>350</v>
      </c>
      <c r="H56" s="4">
        <f>H53-H55</f>
        <v>27.125</v>
      </c>
      <c r="I56" s="4">
        <f>I53-I55</f>
        <v>33.125</v>
      </c>
    </row>
    <row r="57" spans="1:9" x14ac:dyDescent="0.3">
      <c r="G57" s="54" t="s">
        <v>349</v>
      </c>
      <c r="H57" s="4"/>
      <c r="I57" s="4">
        <f>I56-H56</f>
        <v>6</v>
      </c>
    </row>
    <row r="58" spans="1:9" x14ac:dyDescent="0.3">
      <c r="G58" s="54"/>
      <c r="H58" s="4"/>
      <c r="I58" s="4"/>
    </row>
    <row r="59" spans="1:9" x14ac:dyDescent="0.3">
      <c r="C59" t="s">
        <v>348</v>
      </c>
      <c r="G59" s="54"/>
      <c r="H59" s="4"/>
      <c r="I59" s="4"/>
    </row>
    <row r="60" spans="1:9" x14ac:dyDescent="0.3">
      <c r="C60" t="s">
        <v>347</v>
      </c>
      <c r="G60" s="54"/>
      <c r="H60" s="4"/>
      <c r="I60" s="4"/>
    </row>
    <row r="61" spans="1:9" x14ac:dyDescent="0.3">
      <c r="C61" t="s">
        <v>346</v>
      </c>
      <c r="G61" s="54"/>
      <c r="H61" s="4"/>
      <c r="I61" s="4"/>
    </row>
    <row r="62" spans="1:9" x14ac:dyDescent="0.3">
      <c r="C62" t="s">
        <v>345</v>
      </c>
      <c r="G62" s="54"/>
      <c r="H62" s="4"/>
      <c r="I62" s="4"/>
    </row>
    <row r="63" spans="1:9" x14ac:dyDescent="0.3">
      <c r="C63" t="s">
        <v>344</v>
      </c>
    </row>
    <row r="65" spans="1:6" x14ac:dyDescent="0.3">
      <c r="B65" t="s">
        <v>343</v>
      </c>
    </row>
    <row r="67" spans="1:6" x14ac:dyDescent="0.3">
      <c r="B67" t="s">
        <v>342</v>
      </c>
      <c r="C67" s="49"/>
      <c r="D67" s="49">
        <f>ROUND(C49*D49+C50*D50+C51*D51+C52*D52,3)</f>
        <v>5.2999999999999999E-2</v>
      </c>
      <c r="E67" s="49">
        <f>ROUND(C49*E49+C50*E50+C51*E51+C52*E52,3)</f>
        <v>5.8999999999999997E-2</v>
      </c>
    </row>
    <row r="68" spans="1:6" x14ac:dyDescent="0.3">
      <c r="B68" t="s">
        <v>341</v>
      </c>
      <c r="C68" s="1"/>
      <c r="D68" s="1"/>
      <c r="E68" s="49">
        <f>E67-D67</f>
        <v>5.9999999999999984E-3</v>
      </c>
      <c r="F68" s="47" t="s">
        <v>340</v>
      </c>
    </row>
    <row r="69" spans="1:6" x14ac:dyDescent="0.3">
      <c r="C69" s="1"/>
      <c r="D69" s="1"/>
      <c r="E69" s="49"/>
      <c r="F69" s="47"/>
    </row>
    <row r="71" spans="1:6" x14ac:dyDescent="0.3">
      <c r="A71" s="1" t="s">
        <v>295</v>
      </c>
      <c r="B71" t="s">
        <v>339</v>
      </c>
    </row>
    <row r="72" spans="1:6" x14ac:dyDescent="0.3">
      <c r="B72" t="s">
        <v>338</v>
      </c>
    </row>
    <row r="73" spans="1:6" x14ac:dyDescent="0.3">
      <c r="B73" t="s">
        <v>337</v>
      </c>
    </row>
    <row r="75" spans="1:6" x14ac:dyDescent="0.3">
      <c r="B75" t="s">
        <v>336</v>
      </c>
    </row>
    <row r="76" spans="1:6" x14ac:dyDescent="0.3">
      <c r="B76" t="s">
        <v>335</v>
      </c>
    </row>
    <row r="78" spans="1:6" x14ac:dyDescent="0.3">
      <c r="C78" s="1" t="s">
        <v>334</v>
      </c>
      <c r="D78" s="1" t="s">
        <v>333</v>
      </c>
      <c r="E78" s="1" t="s">
        <v>332</v>
      </c>
      <c r="F78" s="1" t="s">
        <v>331</v>
      </c>
    </row>
    <row r="79" spans="1:6" x14ac:dyDescent="0.3">
      <c r="F79" s="19" t="s">
        <v>330</v>
      </c>
    </row>
    <row r="80" spans="1:6" x14ac:dyDescent="0.3">
      <c r="B80" s="19"/>
      <c r="C80" s="19"/>
      <c r="D80" s="19" t="s">
        <v>312</v>
      </c>
      <c r="E80" s="19" t="s">
        <v>330</v>
      </c>
      <c r="F80" s="19" t="s">
        <v>329</v>
      </c>
    </row>
    <row r="81" spans="2:6" x14ac:dyDescent="0.3">
      <c r="B81" s="19"/>
      <c r="C81" s="19"/>
      <c r="D81" s="19" t="s">
        <v>307</v>
      </c>
      <c r="E81" s="19" t="s">
        <v>328</v>
      </c>
      <c r="F81" s="19" t="s">
        <v>305</v>
      </c>
    </row>
    <row r="82" spans="2:6" x14ac:dyDescent="0.3">
      <c r="B82" s="19" t="s">
        <v>307</v>
      </c>
      <c r="C82" s="19" t="s">
        <v>305</v>
      </c>
      <c r="D82" s="19" t="s">
        <v>327</v>
      </c>
      <c r="E82" s="19" t="s">
        <v>326</v>
      </c>
      <c r="F82" s="19" t="s">
        <v>326</v>
      </c>
    </row>
    <row r="83" spans="2:6" x14ac:dyDescent="0.3">
      <c r="B83" t="s">
        <v>303</v>
      </c>
      <c r="C83" s="49">
        <v>0.01</v>
      </c>
      <c r="D83" s="49">
        <v>0.05</v>
      </c>
      <c r="E83" s="49">
        <f>C86-C83</f>
        <v>5.5E-2</v>
      </c>
      <c r="F83" s="50">
        <f>E83*D83</f>
        <v>2.7500000000000003E-3</v>
      </c>
    </row>
    <row r="84" spans="2:6" x14ac:dyDescent="0.3">
      <c r="B84" t="s">
        <v>302</v>
      </c>
      <c r="C84" s="49">
        <v>0.04</v>
      </c>
      <c r="D84" s="49">
        <v>0.05</v>
      </c>
      <c r="E84" s="49">
        <f>C86-C84</f>
        <v>2.5000000000000001E-2</v>
      </c>
      <c r="F84" s="50">
        <f>E84*D84</f>
        <v>1.2500000000000002E-3</v>
      </c>
    </row>
    <row r="85" spans="2:6" x14ac:dyDescent="0.3">
      <c r="B85" t="s">
        <v>301</v>
      </c>
      <c r="C85" s="49">
        <v>0.06</v>
      </c>
      <c r="D85" s="49">
        <v>0.5</v>
      </c>
      <c r="E85" s="49">
        <f>C86-C85</f>
        <v>5.0000000000000044E-3</v>
      </c>
      <c r="F85" s="50">
        <f>E85*D85</f>
        <v>2.5000000000000022E-3</v>
      </c>
    </row>
    <row r="86" spans="2:6" x14ac:dyDescent="0.3">
      <c r="B86" t="s">
        <v>300</v>
      </c>
      <c r="C86" s="49">
        <v>6.5000000000000002E-2</v>
      </c>
      <c r="D86" s="53">
        <v>0.4</v>
      </c>
      <c r="E86" s="49">
        <f>C86-C86</f>
        <v>0</v>
      </c>
      <c r="F86" s="52">
        <f>E86*D86</f>
        <v>0</v>
      </c>
    </row>
    <row r="87" spans="2:6" x14ac:dyDescent="0.3">
      <c r="C87" s="49"/>
      <c r="D87" s="49">
        <f>SUM(D83:D86)</f>
        <v>1</v>
      </c>
      <c r="F87" s="50">
        <f>SUM(F83:F86)</f>
        <v>6.5000000000000023E-3</v>
      </c>
    </row>
    <row r="88" spans="2:6" x14ac:dyDescent="0.3">
      <c r="C88" s="49"/>
      <c r="D88" s="49"/>
      <c r="F88" s="50"/>
    </row>
    <row r="89" spans="2:6" x14ac:dyDescent="0.3">
      <c r="C89" s="51" t="s">
        <v>325</v>
      </c>
      <c r="D89" s="49"/>
      <c r="F89" s="50"/>
    </row>
    <row r="90" spans="2:6" x14ac:dyDescent="0.3">
      <c r="C90" s="51" t="s">
        <v>324</v>
      </c>
      <c r="D90" s="49"/>
      <c r="F90" s="50"/>
    </row>
    <row r="91" spans="2:6" x14ac:dyDescent="0.3">
      <c r="C91" s="49"/>
      <c r="D91" s="49"/>
      <c r="F91" s="50"/>
    </row>
    <row r="92" spans="2:6" x14ac:dyDescent="0.3">
      <c r="B92" t="s">
        <v>323</v>
      </c>
    </row>
    <row r="93" spans="2:6" x14ac:dyDescent="0.3">
      <c r="B93" t="s">
        <v>322</v>
      </c>
    </row>
    <row r="94" spans="2:6" x14ac:dyDescent="0.3">
      <c r="B94" t="s">
        <v>321</v>
      </c>
    </row>
    <row r="96" spans="2:6" x14ac:dyDescent="0.3">
      <c r="B96" t="s">
        <v>320</v>
      </c>
    </row>
    <row r="97" spans="2:2" x14ac:dyDescent="0.3">
      <c r="B97" t="s">
        <v>319</v>
      </c>
    </row>
    <row r="98" spans="2:2" x14ac:dyDescent="0.3">
      <c r="B98" t="s">
        <v>318</v>
      </c>
    </row>
    <row r="99" spans="2:2" x14ac:dyDescent="0.3">
      <c r="B99" t="s">
        <v>317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6056C-79EA-499D-9135-54C6238161BB}">
  <sheetPr>
    <tabColor theme="5" tint="0.39997558519241921"/>
  </sheetPr>
  <dimension ref="A1:F271"/>
  <sheetViews>
    <sheetView zoomScale="115" zoomScaleNormal="115" workbookViewId="0"/>
  </sheetViews>
  <sheetFormatPr defaultRowHeight="14.4" x14ac:dyDescent="0.3"/>
  <cols>
    <col min="2" max="2" width="30.21875" customWidth="1"/>
    <col min="7" max="7" width="30.77734375" customWidth="1"/>
    <col min="8" max="8" width="16.6640625" bestFit="1" customWidth="1"/>
    <col min="9" max="9" width="13" customWidth="1"/>
    <col min="10" max="10" width="25.109375" customWidth="1"/>
  </cols>
  <sheetData>
    <row r="1" spans="1:6" x14ac:dyDescent="0.3">
      <c r="A1" s="67" t="s">
        <v>561</v>
      </c>
    </row>
    <row r="3" spans="1:6" x14ac:dyDescent="0.3">
      <c r="A3" s="7" t="s">
        <v>23</v>
      </c>
    </row>
    <row r="4" spans="1:6" x14ac:dyDescent="0.3">
      <c r="A4" t="s">
        <v>316</v>
      </c>
    </row>
    <row r="6" spans="1:6" x14ac:dyDescent="0.3">
      <c r="A6" t="s">
        <v>315</v>
      </c>
    </row>
    <row r="10" spans="1:6" x14ac:dyDescent="0.3">
      <c r="A10" s="1">
        <v>1</v>
      </c>
      <c r="B10" t="s">
        <v>403</v>
      </c>
    </row>
    <row r="11" spans="1:6" x14ac:dyDescent="0.3">
      <c r="A11" s="1"/>
    </row>
    <row r="12" spans="1:6" x14ac:dyDescent="0.3">
      <c r="A12" s="1"/>
      <c r="B12" t="s">
        <v>402</v>
      </c>
    </row>
    <row r="15" spans="1:6" x14ac:dyDescent="0.3">
      <c r="B15" s="19" t="s">
        <v>3</v>
      </c>
      <c r="C15" s="19">
        <v>0</v>
      </c>
      <c r="D15" s="19">
        <v>1</v>
      </c>
      <c r="E15" s="19">
        <v>2</v>
      </c>
      <c r="F15" s="19">
        <v>3</v>
      </c>
    </row>
    <row r="16" spans="1:6" x14ac:dyDescent="0.3">
      <c r="B16" t="s">
        <v>138</v>
      </c>
      <c r="C16" s="10">
        <v>55</v>
      </c>
      <c r="D16" s="10">
        <v>50</v>
      </c>
      <c r="E16" s="10">
        <v>30</v>
      </c>
      <c r="F16" s="10">
        <v>0</v>
      </c>
    </row>
    <row r="17" spans="1:6" x14ac:dyDescent="0.3">
      <c r="B17" t="s">
        <v>144</v>
      </c>
      <c r="C17" s="10">
        <v>0</v>
      </c>
      <c r="D17" s="10">
        <v>30</v>
      </c>
      <c r="E17" s="10">
        <v>30</v>
      </c>
      <c r="F17" s="10">
        <v>70</v>
      </c>
    </row>
    <row r="18" spans="1:6" x14ac:dyDescent="0.3">
      <c r="B18" t="s">
        <v>401</v>
      </c>
      <c r="C18" s="10">
        <v>5</v>
      </c>
      <c r="D18" s="10">
        <v>1</v>
      </c>
      <c r="E18" s="10">
        <v>1</v>
      </c>
      <c r="F18" s="10">
        <v>1</v>
      </c>
    </row>
    <row r="20" spans="1:6" x14ac:dyDescent="0.3">
      <c r="B20" t="s">
        <v>400</v>
      </c>
      <c r="C20">
        <v>130</v>
      </c>
      <c r="D20">
        <v>100</v>
      </c>
      <c r="E20">
        <v>70</v>
      </c>
      <c r="F20" s="10">
        <v>0</v>
      </c>
    </row>
    <row r="21" spans="1:6" x14ac:dyDescent="0.3">
      <c r="B21" t="s">
        <v>399</v>
      </c>
      <c r="C21">
        <v>25</v>
      </c>
      <c r="D21">
        <v>20</v>
      </c>
      <c r="E21">
        <v>10</v>
      </c>
      <c r="F21" s="10">
        <v>0</v>
      </c>
    </row>
    <row r="23" spans="1:6" x14ac:dyDescent="0.3">
      <c r="B23" t="s">
        <v>398</v>
      </c>
      <c r="C23" s="48">
        <v>2.5000000000000001E-2</v>
      </c>
    </row>
    <row r="24" spans="1:6" x14ac:dyDescent="0.3">
      <c r="B24" t="s">
        <v>397</v>
      </c>
      <c r="C24" s="48">
        <v>0.35</v>
      </c>
    </row>
    <row r="25" spans="1:6" x14ac:dyDescent="0.3">
      <c r="B25" t="s">
        <v>396</v>
      </c>
      <c r="C25" s="48"/>
      <c r="D25" s="48">
        <v>0.05</v>
      </c>
      <c r="E25" s="48">
        <v>5.5E-2</v>
      </c>
      <c r="F25" s="48">
        <v>5.8000000000000003E-2</v>
      </c>
    </row>
    <row r="26" spans="1:6" x14ac:dyDescent="0.3">
      <c r="C26" s="48"/>
    </row>
    <row r="27" spans="1:6" x14ac:dyDescent="0.3">
      <c r="B27" t="s">
        <v>395</v>
      </c>
      <c r="D27" s="48">
        <v>0.03</v>
      </c>
    </row>
    <row r="28" spans="1:6" x14ac:dyDescent="0.3">
      <c r="B28" t="s">
        <v>394</v>
      </c>
      <c r="D28" s="48">
        <v>2.4E-2</v>
      </c>
    </row>
    <row r="30" spans="1:6" x14ac:dyDescent="0.3">
      <c r="A30" s="1" t="s">
        <v>143</v>
      </c>
      <c r="B30" t="s">
        <v>393</v>
      </c>
    </row>
    <row r="31" spans="1:6" x14ac:dyDescent="0.3">
      <c r="A31" s="1"/>
    </row>
    <row r="32" spans="1:6" x14ac:dyDescent="0.3">
      <c r="A32" s="1" t="s">
        <v>392</v>
      </c>
      <c r="B32" t="s">
        <v>391</v>
      </c>
    </row>
    <row r="33" spans="1:2" x14ac:dyDescent="0.3">
      <c r="A33" s="1"/>
    </row>
    <row r="34" spans="1:2" x14ac:dyDescent="0.3">
      <c r="A34" s="1" t="s">
        <v>390</v>
      </c>
      <c r="B34" t="s">
        <v>389</v>
      </c>
    </row>
    <row r="271" spans="3:3" x14ac:dyDescent="0.3">
      <c r="C271" t="s">
        <v>388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76214-E77A-4A1D-8551-C77941C33EB1}">
  <sheetPr>
    <tabColor theme="9" tint="0.59999389629810485"/>
  </sheetPr>
  <dimension ref="A1:O95"/>
  <sheetViews>
    <sheetView zoomScale="115" zoomScaleNormal="115" workbookViewId="0"/>
  </sheetViews>
  <sheetFormatPr defaultRowHeight="14.4" x14ac:dyDescent="0.3"/>
  <cols>
    <col min="2" max="2" width="4.88671875" customWidth="1"/>
    <col min="3" max="3" width="34.6640625" customWidth="1"/>
  </cols>
  <sheetData>
    <row r="1" spans="1:8" x14ac:dyDescent="0.3">
      <c r="A1" s="67" t="s">
        <v>561</v>
      </c>
    </row>
    <row r="3" spans="1:8" x14ac:dyDescent="0.3">
      <c r="A3" s="7" t="s">
        <v>23</v>
      </c>
    </row>
    <row r="4" spans="1:8" x14ac:dyDescent="0.3">
      <c r="A4" t="s">
        <v>316</v>
      </c>
    </row>
    <row r="6" spans="1:8" x14ac:dyDescent="0.3">
      <c r="A6" t="s">
        <v>315</v>
      </c>
    </row>
    <row r="8" spans="1:8" x14ac:dyDescent="0.3">
      <c r="A8" s="1" t="s">
        <v>143</v>
      </c>
      <c r="B8" s="1"/>
      <c r="C8" s="12" t="s">
        <v>470</v>
      </c>
    </row>
    <row r="9" spans="1:8" x14ac:dyDescent="0.3">
      <c r="A9" s="1"/>
      <c r="B9" s="1"/>
      <c r="E9" s="19" t="s">
        <v>3</v>
      </c>
    </row>
    <row r="10" spans="1:8" x14ac:dyDescent="0.3">
      <c r="D10" s="19">
        <v>0</v>
      </c>
      <c r="E10" s="19">
        <v>1</v>
      </c>
      <c r="F10" s="19">
        <v>2</v>
      </c>
      <c r="G10" s="19">
        <v>3</v>
      </c>
    </row>
    <row r="11" spans="1:8" x14ac:dyDescent="0.3">
      <c r="C11" t="s">
        <v>138</v>
      </c>
      <c r="D11" s="10">
        <v>55</v>
      </c>
      <c r="E11" s="10">
        <v>50</v>
      </c>
      <c r="F11" s="10">
        <v>30</v>
      </c>
      <c r="G11" s="10">
        <v>0</v>
      </c>
      <c r="H11" t="s">
        <v>408</v>
      </c>
    </row>
    <row r="12" spans="1:8" x14ac:dyDescent="0.3">
      <c r="C12" t="s">
        <v>144</v>
      </c>
      <c r="D12" s="10">
        <v>0</v>
      </c>
      <c r="E12" s="10">
        <v>30</v>
      </c>
      <c r="F12" s="10">
        <v>30</v>
      </c>
      <c r="G12" s="10">
        <v>70</v>
      </c>
      <c r="H12" t="s">
        <v>408</v>
      </c>
    </row>
    <row r="13" spans="1:8" x14ac:dyDescent="0.3">
      <c r="C13" s="64" t="s">
        <v>401</v>
      </c>
      <c r="D13" s="63">
        <v>5</v>
      </c>
      <c r="E13" s="63">
        <v>1</v>
      </c>
      <c r="F13" s="63">
        <v>1</v>
      </c>
      <c r="G13" s="63">
        <v>1</v>
      </c>
      <c r="H13" s="47" t="s">
        <v>460</v>
      </c>
    </row>
    <row r="14" spans="1:8" x14ac:dyDescent="0.3">
      <c r="C14" t="s">
        <v>444</v>
      </c>
      <c r="D14" s="10">
        <f>D11-D12-D13</f>
        <v>50</v>
      </c>
      <c r="E14" s="10">
        <f>E11-E12-E13</f>
        <v>19</v>
      </c>
      <c r="F14" s="10">
        <f>F11-F12-F13</f>
        <v>-1</v>
      </c>
      <c r="G14" s="10">
        <f>G11-G12-G13</f>
        <v>-71</v>
      </c>
      <c r="H14" s="47" t="s">
        <v>469</v>
      </c>
    </row>
    <row r="15" spans="1:8" x14ac:dyDescent="0.3">
      <c r="C15" t="s">
        <v>443</v>
      </c>
      <c r="D15" s="10">
        <f>+D25</f>
        <v>0</v>
      </c>
      <c r="E15" s="10">
        <f>+E25</f>
        <v>3.25</v>
      </c>
      <c r="F15" s="10">
        <f>+F25</f>
        <v>2.5</v>
      </c>
      <c r="G15" s="10">
        <f>+G25</f>
        <v>1.75</v>
      </c>
      <c r="H15" t="s">
        <v>433</v>
      </c>
    </row>
    <row r="16" spans="1:8" x14ac:dyDescent="0.3">
      <c r="B16" s="1" t="s">
        <v>468</v>
      </c>
      <c r="C16" t="s">
        <v>441</v>
      </c>
      <c r="D16" s="10">
        <f>D14-D15</f>
        <v>50</v>
      </c>
      <c r="E16" s="10">
        <f>E14-E15</f>
        <v>15.75</v>
      </c>
      <c r="F16" s="10">
        <f>F14-F15</f>
        <v>-3.5</v>
      </c>
      <c r="G16" s="10">
        <f>G14-G15</f>
        <v>-72.75</v>
      </c>
      <c r="H16" s="47" t="s">
        <v>467</v>
      </c>
    </row>
    <row r="17" spans="1:8" x14ac:dyDescent="0.3">
      <c r="C17" t="s">
        <v>418</v>
      </c>
      <c r="D17" s="10">
        <f>-(E16/(1+E20)+F16/(1+F20)^2+G16/(1+G20)^3)</f>
        <v>49.573944006884936</v>
      </c>
      <c r="E17" s="10">
        <f>-(F16/(1+F20)+G16/(1+G20)^2)</f>
        <v>68.309799008919271</v>
      </c>
      <c r="F17" s="10">
        <f>-G16/(1+G20)</f>
        <v>68.761814744801512</v>
      </c>
      <c r="G17" s="10">
        <v>0</v>
      </c>
      <c r="H17" t="s">
        <v>466</v>
      </c>
    </row>
    <row r="18" spans="1:8" x14ac:dyDescent="0.3">
      <c r="B18" s="1" t="s">
        <v>465</v>
      </c>
      <c r="C18" t="s">
        <v>464</v>
      </c>
      <c r="D18" s="10">
        <f>D16-D17</f>
        <v>0.42605599311506381</v>
      </c>
      <c r="H18" s="47" t="s">
        <v>463</v>
      </c>
    </row>
    <row r="20" spans="1:8" x14ac:dyDescent="0.3">
      <c r="C20" t="s">
        <v>448</v>
      </c>
      <c r="E20" s="48">
        <v>0.05</v>
      </c>
      <c r="F20" s="48">
        <v>5.5E-2</v>
      </c>
      <c r="G20" s="48">
        <v>5.8000000000000003E-2</v>
      </c>
      <c r="H20" t="s">
        <v>408</v>
      </c>
    </row>
    <row r="23" spans="1:8" x14ac:dyDescent="0.3">
      <c r="C23" s="12" t="s">
        <v>462</v>
      </c>
    </row>
    <row r="24" spans="1:8" x14ac:dyDescent="0.3">
      <c r="C24" t="s">
        <v>399</v>
      </c>
      <c r="D24">
        <v>130</v>
      </c>
      <c r="E24">
        <v>100</v>
      </c>
      <c r="F24">
        <v>70</v>
      </c>
      <c r="G24">
        <v>0</v>
      </c>
      <c r="H24" t="s">
        <v>408</v>
      </c>
    </row>
    <row r="25" spans="1:8" x14ac:dyDescent="0.3">
      <c r="B25" s="1" t="s">
        <v>461</v>
      </c>
      <c r="C25" t="s">
        <v>443</v>
      </c>
      <c r="D25">
        <v>0</v>
      </c>
      <c r="E25" s="39">
        <f>0.025*D24</f>
        <v>3.25</v>
      </c>
      <c r="F25" s="39">
        <f>0.025*E24</f>
        <v>2.5</v>
      </c>
      <c r="G25" s="39">
        <f>0.025*F24</f>
        <v>1.75</v>
      </c>
      <c r="H25" s="47" t="s">
        <v>460</v>
      </c>
    </row>
    <row r="26" spans="1:8" x14ac:dyDescent="0.3">
      <c r="E26" s="39"/>
      <c r="F26" s="39"/>
      <c r="G26" s="39"/>
      <c r="H26" s="47"/>
    </row>
    <row r="27" spans="1:8" x14ac:dyDescent="0.3">
      <c r="E27" s="39"/>
      <c r="F27" s="39"/>
      <c r="G27" s="39"/>
      <c r="H27" s="47"/>
    </row>
    <row r="30" spans="1:8" x14ac:dyDescent="0.3">
      <c r="A30" s="1" t="s">
        <v>133</v>
      </c>
      <c r="B30" s="1"/>
      <c r="C30" s="12" t="s">
        <v>459</v>
      </c>
    </row>
    <row r="32" spans="1:8" x14ac:dyDescent="0.3">
      <c r="C32" t="s">
        <v>458</v>
      </c>
    </row>
    <row r="34" spans="3:8" x14ac:dyDescent="0.3">
      <c r="C34" t="s">
        <v>457</v>
      </c>
    </row>
    <row r="35" spans="3:8" x14ac:dyDescent="0.3">
      <c r="C35" t="s">
        <v>456</v>
      </c>
      <c r="E35" s="65">
        <v>0.03</v>
      </c>
      <c r="F35" t="s">
        <v>408</v>
      </c>
    </row>
    <row r="36" spans="3:8" x14ac:dyDescent="0.3">
      <c r="C36" t="s">
        <v>455</v>
      </c>
      <c r="E36" s="65">
        <v>2.4E-2</v>
      </c>
      <c r="F36" t="s">
        <v>408</v>
      </c>
    </row>
    <row r="37" spans="3:8" x14ac:dyDescent="0.3">
      <c r="C37" t="s">
        <v>454</v>
      </c>
      <c r="E37" s="65">
        <f>E35-E36</f>
        <v>5.9999999999999984E-3</v>
      </c>
      <c r="F37" s="47" t="s">
        <v>453</v>
      </c>
    </row>
    <row r="39" spans="3:8" x14ac:dyDescent="0.3">
      <c r="E39" s="1" t="s">
        <v>452</v>
      </c>
      <c r="F39" s="1" t="s">
        <v>451</v>
      </c>
      <c r="G39" s="1" t="s">
        <v>450</v>
      </c>
    </row>
    <row r="40" spans="3:8" x14ac:dyDescent="0.3">
      <c r="E40" s="1" t="s">
        <v>449</v>
      </c>
      <c r="F40" s="1" t="s">
        <v>449</v>
      </c>
      <c r="G40" s="1" t="s">
        <v>449</v>
      </c>
    </row>
    <row r="41" spans="3:8" x14ac:dyDescent="0.3">
      <c r="C41" t="s">
        <v>448</v>
      </c>
      <c r="E41" s="65">
        <v>0.05</v>
      </c>
      <c r="F41" s="65">
        <v>5.5E-2</v>
      </c>
      <c r="G41" s="65">
        <v>5.8000000000000003E-2</v>
      </c>
    </row>
    <row r="42" spans="3:8" x14ac:dyDescent="0.3">
      <c r="C42" t="s">
        <v>447</v>
      </c>
      <c r="E42" s="65">
        <f>+E37</f>
        <v>5.9999999999999984E-3</v>
      </c>
      <c r="F42" s="65">
        <f>+E37</f>
        <v>5.9999999999999984E-3</v>
      </c>
      <c r="G42" s="65">
        <f>+F42</f>
        <v>5.9999999999999984E-3</v>
      </c>
      <c r="H42" t="s">
        <v>446</v>
      </c>
    </row>
    <row r="43" spans="3:8" x14ac:dyDescent="0.3">
      <c r="C43" t="s">
        <v>445</v>
      </c>
      <c r="E43" s="65">
        <f>E41+E42</f>
        <v>5.6000000000000001E-2</v>
      </c>
      <c r="F43" s="65">
        <f>F41+F42</f>
        <v>6.0999999999999999E-2</v>
      </c>
      <c r="G43" s="65">
        <v>0.06</v>
      </c>
    </row>
    <row r="44" spans="3:8" x14ac:dyDescent="0.3">
      <c r="E44" s="65"/>
      <c r="F44" s="65"/>
      <c r="G44" s="65"/>
    </row>
    <row r="45" spans="3:8" x14ac:dyDescent="0.3">
      <c r="E45" s="65"/>
      <c r="F45" s="65"/>
      <c r="G45" s="65"/>
    </row>
    <row r="46" spans="3:8" x14ac:dyDescent="0.3">
      <c r="E46" s="19" t="s">
        <v>3</v>
      </c>
    </row>
    <row r="47" spans="3:8" x14ac:dyDescent="0.3">
      <c r="D47" s="19">
        <v>0</v>
      </c>
      <c r="E47" s="19">
        <v>1</v>
      </c>
      <c r="F47" s="19">
        <v>2</v>
      </c>
      <c r="G47" s="19">
        <v>3</v>
      </c>
    </row>
    <row r="48" spans="3:8" x14ac:dyDescent="0.3">
      <c r="C48" t="s">
        <v>138</v>
      </c>
      <c r="D48" s="10">
        <v>55</v>
      </c>
      <c r="E48" s="10">
        <v>50</v>
      </c>
      <c r="F48" s="10">
        <v>30</v>
      </c>
      <c r="G48" s="10">
        <v>0</v>
      </c>
      <c r="H48" t="s">
        <v>408</v>
      </c>
    </row>
    <row r="49" spans="1:8" x14ac:dyDescent="0.3">
      <c r="C49" t="s">
        <v>144</v>
      </c>
      <c r="D49" s="10">
        <v>0</v>
      </c>
      <c r="E49" s="10">
        <v>30</v>
      </c>
      <c r="F49" s="10">
        <v>30</v>
      </c>
      <c r="G49" s="10">
        <v>70</v>
      </c>
      <c r="H49" t="s">
        <v>408</v>
      </c>
    </row>
    <row r="50" spans="1:8" x14ac:dyDescent="0.3">
      <c r="C50" s="64" t="s">
        <v>401</v>
      </c>
      <c r="D50" s="63">
        <v>5</v>
      </c>
      <c r="E50" s="63">
        <v>1</v>
      </c>
      <c r="F50" s="63">
        <v>1</v>
      </c>
      <c r="G50" s="63">
        <v>1</v>
      </c>
      <c r="H50" t="s">
        <v>408</v>
      </c>
    </row>
    <row r="51" spans="1:8" x14ac:dyDescent="0.3">
      <c r="C51" t="s">
        <v>444</v>
      </c>
      <c r="D51" s="10">
        <f>D48-D49-D50</f>
        <v>50</v>
      </c>
      <c r="E51" s="10">
        <f>E48-E49-E50</f>
        <v>19</v>
      </c>
      <c r="F51" s="10">
        <f>F48-F49-F50</f>
        <v>-1</v>
      </c>
      <c r="G51" s="10">
        <f>G48-G49-G50</f>
        <v>-71</v>
      </c>
    </row>
    <row r="52" spans="1:8" x14ac:dyDescent="0.3">
      <c r="C52" t="s">
        <v>443</v>
      </c>
      <c r="D52" s="10">
        <f>+D25</f>
        <v>0</v>
      </c>
      <c r="E52" s="10">
        <f>+E25</f>
        <v>3.25</v>
      </c>
      <c r="F52" s="10">
        <f>+F25</f>
        <v>2.5</v>
      </c>
      <c r="G52" s="10">
        <f>+G25</f>
        <v>1.75</v>
      </c>
      <c r="H52" s="47" t="s">
        <v>442</v>
      </c>
    </row>
    <row r="53" spans="1:8" x14ac:dyDescent="0.3">
      <c r="C53" t="s">
        <v>441</v>
      </c>
      <c r="D53" s="10">
        <f>D51-D52</f>
        <v>50</v>
      </c>
      <c r="E53" s="10">
        <f>E51-E52</f>
        <v>15.75</v>
      </c>
      <c r="F53" s="10">
        <f>F51-F52</f>
        <v>-3.5</v>
      </c>
      <c r="G53" s="10">
        <f>G51-G52</f>
        <v>-72.75</v>
      </c>
      <c r="H53" s="47" t="s">
        <v>559</v>
      </c>
    </row>
    <row r="54" spans="1:8" x14ac:dyDescent="0.3">
      <c r="C54" t="s">
        <v>418</v>
      </c>
      <c r="D54" s="10">
        <f>-(E53/(1+E43)+F53/(1+F43)^2+ G53/(1+G43)^3)</f>
        <v>49.276648624930004</v>
      </c>
      <c r="E54" s="10">
        <f>-(F53/(1+F43)+G53/(1+G43)^2)</f>
        <v>68.046015751846511</v>
      </c>
      <c r="F54" s="10">
        <f>-G53/(1+G43)</f>
        <v>68.632075471698116</v>
      </c>
      <c r="G54" s="10">
        <v>0</v>
      </c>
      <c r="H54" t="s">
        <v>417</v>
      </c>
    </row>
    <row r="55" spans="1:8" x14ac:dyDescent="0.3">
      <c r="C55" t="s">
        <v>440</v>
      </c>
      <c r="D55" s="10">
        <f>D53-D54</f>
        <v>0.72335137506999558</v>
      </c>
      <c r="H55" t="s">
        <v>439</v>
      </c>
    </row>
    <row r="56" spans="1:8" x14ac:dyDescent="0.3">
      <c r="C56" t="s">
        <v>438</v>
      </c>
      <c r="D56" s="10">
        <f>+D18</f>
        <v>0.42605599311506381</v>
      </c>
      <c r="H56" t="s">
        <v>413</v>
      </c>
    </row>
    <row r="57" spans="1:8" x14ac:dyDescent="0.3">
      <c r="C57" t="s">
        <v>412</v>
      </c>
      <c r="D57" s="10">
        <f>+D55-D56</f>
        <v>0.29729538195493177</v>
      </c>
      <c r="H57" t="s">
        <v>437</v>
      </c>
    </row>
    <row r="60" spans="1:8" x14ac:dyDescent="0.3">
      <c r="A60" s="1" t="s">
        <v>390</v>
      </c>
      <c r="B60" s="1"/>
      <c r="C60" s="12" t="s">
        <v>436</v>
      </c>
    </row>
    <row r="61" spans="1:8" x14ac:dyDescent="0.3">
      <c r="A61" s="1"/>
      <c r="B61" s="1"/>
      <c r="C61" s="12"/>
    </row>
    <row r="62" spans="1:8" x14ac:dyDescent="0.3">
      <c r="A62" s="1"/>
      <c r="B62" s="1"/>
      <c r="C62" t="s">
        <v>435</v>
      </c>
    </row>
    <row r="63" spans="1:8" x14ac:dyDescent="0.3">
      <c r="A63" s="1"/>
      <c r="B63" s="1"/>
      <c r="C63" s="12"/>
    </row>
    <row r="64" spans="1:8" x14ac:dyDescent="0.3">
      <c r="A64" s="1"/>
      <c r="B64" s="1"/>
      <c r="C64" s="12" t="s">
        <v>434</v>
      </c>
    </row>
    <row r="65" spans="1:15" x14ac:dyDescent="0.3">
      <c r="A65" s="1"/>
      <c r="B65" s="1"/>
      <c r="E65" s="19" t="s">
        <v>3</v>
      </c>
    </row>
    <row r="66" spans="1:15" x14ac:dyDescent="0.3">
      <c r="A66" s="1"/>
      <c r="B66" s="1"/>
      <c r="D66" s="19">
        <v>0</v>
      </c>
      <c r="E66" s="19">
        <v>1</v>
      </c>
      <c r="F66" s="19">
        <v>2</v>
      </c>
      <c r="G66" s="19">
        <v>3</v>
      </c>
      <c r="M66" s="10"/>
      <c r="N66" s="10"/>
      <c r="O66" s="10"/>
    </row>
    <row r="67" spans="1:15" x14ac:dyDescent="0.3">
      <c r="A67" s="1"/>
      <c r="B67" s="1"/>
      <c r="C67" t="s">
        <v>138</v>
      </c>
      <c r="D67" s="10">
        <v>55</v>
      </c>
      <c r="E67" s="10">
        <v>50</v>
      </c>
      <c r="F67" s="10">
        <v>30</v>
      </c>
      <c r="G67" s="10">
        <v>0</v>
      </c>
      <c r="H67" t="s">
        <v>408</v>
      </c>
      <c r="M67" s="10"/>
      <c r="N67" s="10"/>
      <c r="O67" s="10"/>
    </row>
    <row r="68" spans="1:15" x14ac:dyDescent="0.3">
      <c r="A68" s="1"/>
      <c r="B68" s="1"/>
      <c r="C68" t="s">
        <v>405</v>
      </c>
      <c r="D68" s="10">
        <f>+D95</f>
        <v>0</v>
      </c>
      <c r="E68" s="10">
        <f>+E95</f>
        <v>7.75</v>
      </c>
      <c r="F68" s="10">
        <f>+F95</f>
        <v>6</v>
      </c>
      <c r="G68" s="10">
        <f>+G95</f>
        <v>3</v>
      </c>
      <c r="H68" t="s">
        <v>433</v>
      </c>
      <c r="M68" s="10"/>
      <c r="N68" s="10"/>
      <c r="O68" s="10"/>
    </row>
    <row r="69" spans="1:15" x14ac:dyDescent="0.3">
      <c r="A69" s="1"/>
      <c r="B69" s="1"/>
      <c r="C69" t="s">
        <v>144</v>
      </c>
      <c r="D69" s="10">
        <v>0</v>
      </c>
      <c r="E69" s="10">
        <v>30</v>
      </c>
      <c r="F69" s="10">
        <v>30</v>
      </c>
      <c r="G69" s="10">
        <v>70</v>
      </c>
      <c r="H69" t="s">
        <v>408</v>
      </c>
      <c r="M69" s="10"/>
      <c r="N69" s="10"/>
      <c r="O69" s="10"/>
    </row>
    <row r="70" spans="1:15" x14ac:dyDescent="0.3">
      <c r="C70" t="s">
        <v>401</v>
      </c>
      <c r="D70" s="10">
        <v>5</v>
      </c>
      <c r="E70" s="10">
        <v>1</v>
      </c>
      <c r="F70" s="10">
        <v>1</v>
      </c>
      <c r="G70" s="10">
        <v>1</v>
      </c>
      <c r="H70" t="s">
        <v>408</v>
      </c>
      <c r="M70" s="63"/>
      <c r="N70" s="63"/>
      <c r="O70" s="63"/>
    </row>
    <row r="71" spans="1:15" x14ac:dyDescent="0.3">
      <c r="C71" s="64" t="s">
        <v>432</v>
      </c>
      <c r="D71" s="63">
        <v>-130</v>
      </c>
      <c r="E71" s="63">
        <v>30</v>
      </c>
      <c r="F71" s="63">
        <v>70</v>
      </c>
      <c r="G71" s="63">
        <v>0</v>
      </c>
      <c r="H71" t="s">
        <v>431</v>
      </c>
      <c r="M71" s="10"/>
      <c r="N71" s="10"/>
      <c r="O71" s="10"/>
    </row>
    <row r="72" spans="1:15" x14ac:dyDescent="0.3">
      <c r="C72" t="s">
        <v>430</v>
      </c>
      <c r="D72" s="10">
        <f>D67+D68-D69-D70+D71</f>
        <v>-80</v>
      </c>
      <c r="E72" s="10">
        <f>E67+E68-E69-E70+E71</f>
        <v>56.75</v>
      </c>
      <c r="F72" s="10">
        <f>F67+F68-F69-F70+F71</f>
        <v>75</v>
      </c>
      <c r="G72" s="10">
        <f>G67+G68-G69-G70+G71</f>
        <v>-68</v>
      </c>
      <c r="H72" t="s">
        <v>429</v>
      </c>
      <c r="M72" s="63"/>
      <c r="N72" s="63"/>
      <c r="O72" s="63"/>
    </row>
    <row r="73" spans="1:15" x14ac:dyDescent="0.3">
      <c r="B73" s="1" t="s">
        <v>428</v>
      </c>
      <c r="C73" s="64" t="s">
        <v>427</v>
      </c>
      <c r="D73" s="63">
        <f>-0.35*D72</f>
        <v>28</v>
      </c>
      <c r="E73" s="63">
        <f>-0.35*E72</f>
        <v>-19.862499999999997</v>
      </c>
      <c r="F73" s="63">
        <f>-0.35*F72</f>
        <v>-26.25</v>
      </c>
      <c r="G73" s="63">
        <f>-0.35*G72</f>
        <v>23.799999999999997</v>
      </c>
      <c r="H73" t="s">
        <v>426</v>
      </c>
    </row>
    <row r="76" spans="1:15" x14ac:dyDescent="0.3">
      <c r="C76" s="12" t="s">
        <v>425</v>
      </c>
    </row>
    <row r="77" spans="1:15" x14ac:dyDescent="0.3">
      <c r="C77" s="12"/>
    </row>
    <row r="78" spans="1:15" x14ac:dyDescent="0.3">
      <c r="C78" s="12"/>
      <c r="E78" s="19" t="s">
        <v>3</v>
      </c>
    </row>
    <row r="79" spans="1:15" x14ac:dyDescent="0.3">
      <c r="D79" s="19">
        <v>0</v>
      </c>
      <c r="E79" s="19">
        <v>1</v>
      </c>
      <c r="F79" s="19">
        <v>2</v>
      </c>
      <c r="G79" s="19">
        <v>3</v>
      </c>
    </row>
    <row r="80" spans="1:15" x14ac:dyDescent="0.3">
      <c r="C80" t="s">
        <v>424</v>
      </c>
      <c r="D80" s="10">
        <f>+D53</f>
        <v>50</v>
      </c>
      <c r="E80" s="10">
        <f>+E53</f>
        <v>15.75</v>
      </c>
      <c r="F80" s="10">
        <f>+F53</f>
        <v>-3.5</v>
      </c>
      <c r="G80" s="10">
        <f>+G53</f>
        <v>-72.75</v>
      </c>
      <c r="H80" t="s">
        <v>423</v>
      </c>
    </row>
    <row r="81" spans="3:8" x14ac:dyDescent="0.3">
      <c r="C81" t="s">
        <v>422</v>
      </c>
      <c r="D81" s="10">
        <f>+D73</f>
        <v>28</v>
      </c>
      <c r="E81" s="10">
        <f>+E73</f>
        <v>-19.862499999999997</v>
      </c>
      <c r="F81" s="10">
        <f>+F73</f>
        <v>-26.25</v>
      </c>
      <c r="G81" s="10">
        <f>+G73</f>
        <v>23.799999999999997</v>
      </c>
      <c r="H81" t="s">
        <v>421</v>
      </c>
    </row>
    <row r="82" spans="3:8" x14ac:dyDescent="0.3">
      <c r="C82" t="s">
        <v>420</v>
      </c>
      <c r="D82" s="10">
        <f>+D80+D81</f>
        <v>78</v>
      </c>
      <c r="E82" s="10">
        <f>+E80+E81</f>
        <v>-4.1124999999999972</v>
      </c>
      <c r="F82" s="10">
        <f>+F80+F81</f>
        <v>-29.75</v>
      </c>
      <c r="G82" s="10">
        <f>+G80+G81</f>
        <v>-48.95</v>
      </c>
      <c r="H82" t="s">
        <v>419</v>
      </c>
    </row>
    <row r="83" spans="3:8" x14ac:dyDescent="0.3">
      <c r="C83" t="s">
        <v>418</v>
      </c>
      <c r="D83" s="10">
        <f>-(E82/(1+E43)+F82/(1+F43)^2+G82/(1+G43)^3)</f>
        <v>71.421284131842725</v>
      </c>
      <c r="E83" s="10">
        <f>-(F82/(1+F43)+G82/(1+G43)^2)</f>
        <v>71.604911035586767</v>
      </c>
      <c r="F83" s="10">
        <f>-G82/(1+G43)</f>
        <v>46.179245283018865</v>
      </c>
      <c r="G83" s="10">
        <v>0</v>
      </c>
      <c r="H83" t="s">
        <v>417</v>
      </c>
    </row>
    <row r="84" spans="3:8" ht="28.8" x14ac:dyDescent="0.3">
      <c r="C84" s="62" t="s">
        <v>416</v>
      </c>
      <c r="D84" s="10">
        <f>D82-D83</f>
        <v>6.5787158681572748</v>
      </c>
      <c r="H84" t="s">
        <v>415</v>
      </c>
    </row>
    <row r="85" spans="3:8" ht="28.8" x14ac:dyDescent="0.3">
      <c r="C85" s="62" t="s">
        <v>414</v>
      </c>
      <c r="D85" s="10">
        <f>+D18</f>
        <v>0.42605599311506381</v>
      </c>
      <c r="H85" t="s">
        <v>413</v>
      </c>
    </row>
    <row r="86" spans="3:8" x14ac:dyDescent="0.3">
      <c r="C86" t="s">
        <v>412</v>
      </c>
      <c r="D86" s="10">
        <f>+D84-D85</f>
        <v>6.152659875042211</v>
      </c>
      <c r="H86" t="s">
        <v>411</v>
      </c>
    </row>
    <row r="87" spans="3:8" x14ac:dyDescent="0.3">
      <c r="D87" s="10"/>
    </row>
    <row r="88" spans="3:8" x14ac:dyDescent="0.3">
      <c r="C88" t="s">
        <v>410</v>
      </c>
      <c r="D88" s="10"/>
      <c r="E88" s="10"/>
      <c r="F88" s="10"/>
      <c r="G88" s="10"/>
    </row>
    <row r="89" spans="3:8" x14ac:dyDescent="0.3">
      <c r="D89" s="10"/>
      <c r="E89" s="10"/>
      <c r="F89" s="10"/>
      <c r="G89" s="10"/>
    </row>
    <row r="90" spans="3:8" x14ac:dyDescent="0.3">
      <c r="C90" s="12" t="s">
        <v>409</v>
      </c>
      <c r="D90" s="10"/>
      <c r="E90" s="10"/>
      <c r="F90" s="10"/>
      <c r="G90" s="10"/>
    </row>
    <row r="91" spans="3:8" x14ac:dyDescent="0.3">
      <c r="C91" s="12"/>
      <c r="D91" s="10"/>
      <c r="E91" s="10"/>
      <c r="F91" s="10"/>
      <c r="G91" s="10"/>
    </row>
    <row r="92" spans="3:8" x14ac:dyDescent="0.3">
      <c r="C92" t="s">
        <v>400</v>
      </c>
      <c r="D92">
        <v>130</v>
      </c>
      <c r="E92">
        <v>100</v>
      </c>
      <c r="F92">
        <v>50</v>
      </c>
      <c r="G92" s="10">
        <v>0</v>
      </c>
      <c r="H92" t="s">
        <v>408</v>
      </c>
    </row>
    <row r="93" spans="3:8" x14ac:dyDescent="0.3">
      <c r="C93" t="s">
        <v>399</v>
      </c>
      <c r="D93">
        <v>25</v>
      </c>
      <c r="E93">
        <v>20</v>
      </c>
      <c r="F93">
        <v>10</v>
      </c>
      <c r="G93" s="10">
        <v>0</v>
      </c>
      <c r="H93" t="s">
        <v>408</v>
      </c>
    </row>
    <row r="94" spans="3:8" x14ac:dyDescent="0.3">
      <c r="C94" t="s">
        <v>407</v>
      </c>
      <c r="D94">
        <f>+D92+D93</f>
        <v>155</v>
      </c>
      <c r="E94">
        <f>+E92+E93</f>
        <v>120</v>
      </c>
      <c r="F94">
        <f>+F92+F93</f>
        <v>60</v>
      </c>
      <c r="G94">
        <f>+G92+G93</f>
        <v>0</v>
      </c>
      <c r="H94" t="s">
        <v>406</v>
      </c>
    </row>
    <row r="95" spans="3:8" x14ac:dyDescent="0.3">
      <c r="C95" t="s">
        <v>405</v>
      </c>
      <c r="D95">
        <v>0</v>
      </c>
      <c r="E95">
        <f>0.05*D94</f>
        <v>7.75</v>
      </c>
      <c r="F95">
        <f>0.05*E94</f>
        <v>6</v>
      </c>
      <c r="G95">
        <f>0.05*F94</f>
        <v>3</v>
      </c>
      <c r="H95" t="s">
        <v>404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CA43-1F06-4D11-8D8F-FCB5C81AB7B9}">
  <sheetPr>
    <tabColor theme="5" tint="0.39997558519241921"/>
  </sheetPr>
  <dimension ref="A1:K547"/>
  <sheetViews>
    <sheetView zoomScale="115" zoomScaleNormal="115" workbookViewId="0"/>
  </sheetViews>
  <sheetFormatPr defaultRowHeight="14.4" x14ac:dyDescent="0.3"/>
  <cols>
    <col min="1" max="1" width="12.77734375" customWidth="1"/>
    <col min="2" max="2" width="13" customWidth="1"/>
    <col min="3" max="3" width="10.44140625" customWidth="1"/>
    <col min="4" max="4" width="13.109375" customWidth="1"/>
    <col min="5" max="5" width="11.6640625" bestFit="1" customWidth="1"/>
    <col min="6" max="6" width="15.109375" customWidth="1"/>
    <col min="7" max="7" width="12.77734375" customWidth="1"/>
    <col min="8" max="8" width="8.109375" bestFit="1" customWidth="1"/>
    <col min="9" max="9" width="14.6640625" customWidth="1"/>
    <col min="10" max="10" width="16.77734375" customWidth="1"/>
    <col min="11" max="11" width="14.6640625" customWidth="1"/>
    <col min="12" max="13" width="12.77734375" customWidth="1"/>
    <col min="14" max="14" width="22.77734375" bestFit="1" customWidth="1"/>
    <col min="15" max="28" width="12.77734375" customWidth="1"/>
  </cols>
  <sheetData>
    <row r="1" spans="1:11" x14ac:dyDescent="0.3">
      <c r="A1" s="67" t="s">
        <v>560</v>
      </c>
    </row>
    <row r="3" spans="1:11" x14ac:dyDescent="0.3">
      <c r="A3" s="66" t="s">
        <v>471</v>
      </c>
    </row>
    <row r="4" spans="1:11" x14ac:dyDescent="0.3">
      <c r="A4" s="67" t="s">
        <v>472</v>
      </c>
    </row>
    <row r="5" spans="1:11" x14ac:dyDescent="0.3">
      <c r="A5" s="7"/>
    </row>
    <row r="6" spans="1:11" x14ac:dyDescent="0.3">
      <c r="A6" s="66" t="s">
        <v>473</v>
      </c>
    </row>
    <row r="7" spans="1:11" ht="33" customHeight="1" x14ac:dyDescent="0.3">
      <c r="A7" s="141" t="s">
        <v>474</v>
      </c>
      <c r="B7" s="141"/>
      <c r="C7" s="141"/>
      <c r="D7" s="141"/>
      <c r="E7" s="141"/>
      <c r="F7" s="141"/>
      <c r="G7" s="141"/>
      <c r="H7" s="141"/>
      <c r="I7" s="141"/>
      <c r="J7" s="142"/>
      <c r="K7" s="142"/>
    </row>
    <row r="9" spans="1:11" ht="15" thickBot="1" x14ac:dyDescent="0.35">
      <c r="A9" s="66" t="s">
        <v>475</v>
      </c>
      <c r="G9" s="66" t="s">
        <v>476</v>
      </c>
      <c r="J9" s="68" t="s">
        <v>477</v>
      </c>
      <c r="K9" s="69">
        <f>SUMPRODUCT(H11:H26,K11:K26)</f>
        <v>1949440.6992217565</v>
      </c>
    </row>
    <row r="10" spans="1:11" s="62" customFormat="1" ht="30" thickTop="1" thickBot="1" x14ac:dyDescent="0.35">
      <c r="A10" s="70" t="s">
        <v>478</v>
      </c>
      <c r="B10" s="71" t="s">
        <v>479</v>
      </c>
      <c r="C10" s="71" t="s">
        <v>480</v>
      </c>
      <c r="D10" s="71" t="s">
        <v>481</v>
      </c>
      <c r="E10" s="71" t="s">
        <v>482</v>
      </c>
      <c r="F10" s="72" t="s">
        <v>483</v>
      </c>
      <c r="G10" s="70" t="s">
        <v>484</v>
      </c>
      <c r="H10" s="71" t="s">
        <v>485</v>
      </c>
      <c r="I10" s="71" t="s">
        <v>486</v>
      </c>
      <c r="J10" s="71" t="s">
        <v>487</v>
      </c>
      <c r="K10" s="72" t="s">
        <v>488</v>
      </c>
    </row>
    <row r="11" spans="1:11" ht="15" thickTop="1" x14ac:dyDescent="0.3">
      <c r="A11" s="73">
        <v>0</v>
      </c>
      <c r="B11" s="74"/>
      <c r="C11" s="74"/>
      <c r="D11" s="74"/>
      <c r="E11" s="74"/>
      <c r="F11" s="75"/>
      <c r="G11" s="73">
        <v>1000</v>
      </c>
      <c r="H11" s="74">
        <v>1</v>
      </c>
      <c r="I11" s="74"/>
      <c r="J11" s="74"/>
      <c r="K11" s="75">
        <v>0</v>
      </c>
    </row>
    <row r="12" spans="1:11" x14ac:dyDescent="0.3">
      <c r="A12" s="76">
        <f>A11+1</f>
        <v>1</v>
      </c>
      <c r="B12" s="77">
        <v>0.49</v>
      </c>
      <c r="C12" s="78">
        <v>0.05</v>
      </c>
      <c r="D12" s="78">
        <v>0.04</v>
      </c>
      <c r="E12" s="79">
        <v>100000</v>
      </c>
      <c r="F12" s="80">
        <v>1296.655658220878</v>
      </c>
      <c r="G12" s="81">
        <f t="shared" ref="G12:G26" si="0">G11*(1-B12/1000-C12)</f>
        <v>949.51</v>
      </c>
      <c r="H12" s="79">
        <f t="shared" ref="H12:H26" si="1">H11/(1+D12)</f>
        <v>0.96153846153846145</v>
      </c>
      <c r="I12" s="79">
        <f t="shared" ref="I12:I26" si="2">E12*G11*B12/1000</f>
        <v>49000</v>
      </c>
      <c r="J12" s="79">
        <f t="shared" ref="J12:J26" si="3">G11*C12*F12</f>
        <v>64832.782911043898</v>
      </c>
      <c r="K12" s="82">
        <f>SUM(I12:J12)</f>
        <v>113832.78291104391</v>
      </c>
    </row>
    <row r="13" spans="1:11" x14ac:dyDescent="0.3">
      <c r="A13" s="76">
        <f t="shared" ref="A13:A22" si="4">A12+1</f>
        <v>2</v>
      </c>
      <c r="B13" s="77">
        <v>0.72</v>
      </c>
      <c r="C13" s="78">
        <f>C12</f>
        <v>0.05</v>
      </c>
      <c r="D13" s="78">
        <f>D12</f>
        <v>0.04</v>
      </c>
      <c r="E13" s="79">
        <f>E12</f>
        <v>100000</v>
      </c>
      <c r="F13" s="80">
        <v>1314.2713038963395</v>
      </c>
      <c r="G13" s="81">
        <f t="shared" si="0"/>
        <v>901.35085279999987</v>
      </c>
      <c r="H13" s="79">
        <f t="shared" si="1"/>
        <v>0.92455621301775137</v>
      </c>
      <c r="I13" s="79">
        <f t="shared" si="2"/>
        <v>68364.72</v>
      </c>
      <c r="J13" s="79">
        <f t="shared" si="3"/>
        <v>62395.68728813067</v>
      </c>
      <c r="K13" s="82">
        <f t="shared" ref="K13:K26" si="5">SUM(I13:J13)</f>
        <v>130760.40728813066</v>
      </c>
    </row>
    <row r="14" spans="1:11" x14ac:dyDescent="0.3">
      <c r="A14" s="76">
        <f t="shared" si="4"/>
        <v>3</v>
      </c>
      <c r="B14" s="77">
        <v>0.96</v>
      </c>
      <c r="C14" s="78">
        <f t="shared" ref="C14:E26" si="6">C13</f>
        <v>0.05</v>
      </c>
      <c r="D14" s="78">
        <f t="shared" si="6"/>
        <v>0.04</v>
      </c>
      <c r="E14" s="79">
        <f t="shared" si="6"/>
        <v>100000</v>
      </c>
      <c r="F14" s="80">
        <v>1313.6835355694675</v>
      </c>
      <c r="G14" s="81">
        <f t="shared" si="0"/>
        <v>855.41801334131185</v>
      </c>
      <c r="H14" s="79">
        <f t="shared" si="1"/>
        <v>0.88899635867091475</v>
      </c>
      <c r="I14" s="79">
        <f t="shared" si="2"/>
        <v>86529.681868799991</v>
      </c>
      <c r="J14" s="79">
        <f t="shared" si="3"/>
        <v>59204.488754742932</v>
      </c>
      <c r="K14" s="82">
        <f t="shared" si="5"/>
        <v>145734.17062354292</v>
      </c>
    </row>
    <row r="15" spans="1:11" x14ac:dyDescent="0.3">
      <c r="A15" s="76">
        <f t="shared" si="4"/>
        <v>4</v>
      </c>
      <c r="B15" s="77">
        <v>1.18</v>
      </c>
      <c r="C15" s="78">
        <f t="shared" si="6"/>
        <v>0.05</v>
      </c>
      <c r="D15" s="78">
        <f t="shared" si="6"/>
        <v>0.04</v>
      </c>
      <c r="E15" s="79">
        <f t="shared" si="6"/>
        <v>100000</v>
      </c>
      <c r="F15" s="80">
        <v>1297.6363046948559</v>
      </c>
      <c r="G15" s="81">
        <f t="shared" si="0"/>
        <v>811.63771941850348</v>
      </c>
      <c r="H15" s="79">
        <f t="shared" si="1"/>
        <v>0.85480419102972571</v>
      </c>
      <c r="I15" s="79">
        <f t="shared" si="2"/>
        <v>100939.32557427479</v>
      </c>
      <c r="J15" s="79">
        <f t="shared" si="3"/>
        <v>55501.073490081748</v>
      </c>
      <c r="K15" s="82">
        <f t="shared" si="5"/>
        <v>156440.39906435652</v>
      </c>
    </row>
    <row r="16" spans="1:11" x14ac:dyDescent="0.3">
      <c r="A16" s="76">
        <f t="shared" si="4"/>
        <v>5</v>
      </c>
      <c r="B16" s="77">
        <v>1.36</v>
      </c>
      <c r="C16" s="78">
        <f t="shared" si="6"/>
        <v>0.05</v>
      </c>
      <c r="D16" s="78">
        <f t="shared" si="6"/>
        <v>0.04</v>
      </c>
      <c r="E16" s="79">
        <f t="shared" si="6"/>
        <v>100000</v>
      </c>
      <c r="F16" s="80">
        <v>1270.3613250937153</v>
      </c>
      <c r="G16" s="81">
        <f t="shared" si="0"/>
        <v>769.95200614916905</v>
      </c>
      <c r="H16" s="79">
        <f t="shared" si="1"/>
        <v>0.82192710675935166</v>
      </c>
      <c r="I16" s="79">
        <f t="shared" si="2"/>
        <v>110382.72984091648</v>
      </c>
      <c r="J16" s="79">
        <f t="shared" si="3"/>
        <v>51553.658436826569</v>
      </c>
      <c r="K16" s="82">
        <f t="shared" si="5"/>
        <v>161936.38827774304</v>
      </c>
    </row>
    <row r="17" spans="1:11" x14ac:dyDescent="0.3">
      <c r="A17" s="76">
        <f t="shared" si="4"/>
        <v>6</v>
      </c>
      <c r="B17" s="77">
        <v>1.57</v>
      </c>
      <c r="C17" s="78">
        <f t="shared" si="6"/>
        <v>0.05</v>
      </c>
      <c r="D17" s="78">
        <f t="shared" si="6"/>
        <v>0.04</v>
      </c>
      <c r="E17" s="79">
        <f t="shared" si="6"/>
        <v>100000</v>
      </c>
      <c r="F17" s="80">
        <v>1229.9423803372763</v>
      </c>
      <c r="G17" s="81">
        <f t="shared" si="0"/>
        <v>730.24558119205642</v>
      </c>
      <c r="H17" s="79">
        <f t="shared" si="1"/>
        <v>0.79031452573014582</v>
      </c>
      <c r="I17" s="79">
        <f t="shared" si="2"/>
        <v>120882.46496541955</v>
      </c>
      <c r="J17" s="79">
        <f t="shared" si="3"/>
        <v>47349.830159428515</v>
      </c>
      <c r="K17" s="82">
        <f t="shared" si="5"/>
        <v>168232.29512484808</v>
      </c>
    </row>
    <row r="18" spans="1:11" x14ac:dyDescent="0.3">
      <c r="A18" s="76">
        <f t="shared" si="4"/>
        <v>7</v>
      </c>
      <c r="B18" s="77">
        <v>1.82</v>
      </c>
      <c r="C18" s="78">
        <f t="shared" si="6"/>
        <v>0.05</v>
      </c>
      <c r="D18" s="78">
        <f t="shared" si="6"/>
        <v>0.04</v>
      </c>
      <c r="E18" s="79">
        <f t="shared" si="6"/>
        <v>100000</v>
      </c>
      <c r="F18" s="80">
        <v>1173.8303224795452</v>
      </c>
      <c r="G18" s="81">
        <f t="shared" si="0"/>
        <v>692.40425517468395</v>
      </c>
      <c r="H18" s="79">
        <f t="shared" si="1"/>
        <v>0.75991781320206331</v>
      </c>
      <c r="I18" s="79">
        <f t="shared" si="2"/>
        <v>132904.69577695426</v>
      </c>
      <c r="J18" s="79">
        <f t="shared" si="3"/>
        <v>42859.220302996728</v>
      </c>
      <c r="K18" s="82">
        <f t="shared" si="5"/>
        <v>175763.91607995098</v>
      </c>
    </row>
    <row r="19" spans="1:11" x14ac:dyDescent="0.3">
      <c r="A19" s="76">
        <f t="shared" si="4"/>
        <v>8</v>
      </c>
      <c r="B19" s="77">
        <v>2.09</v>
      </c>
      <c r="C19" s="78">
        <f t="shared" si="6"/>
        <v>0.05</v>
      </c>
      <c r="D19" s="78">
        <f t="shared" si="6"/>
        <v>0.04</v>
      </c>
      <c r="E19" s="79">
        <f t="shared" si="6"/>
        <v>100000</v>
      </c>
      <c r="F19" s="80">
        <v>1101.1560814683985</v>
      </c>
      <c r="G19" s="81">
        <f t="shared" si="0"/>
        <v>656.33691752263462</v>
      </c>
      <c r="H19" s="79">
        <f t="shared" si="1"/>
        <v>0.73069020500198389</v>
      </c>
      <c r="I19" s="79">
        <f t="shared" si="2"/>
        <v>144712.48933150893</v>
      </c>
      <c r="J19" s="79">
        <f t="shared" si="3"/>
        <v>38122.257821010004</v>
      </c>
      <c r="K19" s="82">
        <f t="shared" si="5"/>
        <v>182834.74715251895</v>
      </c>
    </row>
    <row r="20" spans="1:11" x14ac:dyDescent="0.3">
      <c r="A20" s="76">
        <f t="shared" si="4"/>
        <v>9</v>
      </c>
      <c r="B20" s="77">
        <v>2.36</v>
      </c>
      <c r="C20" s="78">
        <f t="shared" si="6"/>
        <v>0.05</v>
      </c>
      <c r="D20" s="78">
        <f t="shared" si="6"/>
        <v>0.04</v>
      </c>
      <c r="E20" s="79">
        <f t="shared" si="6"/>
        <v>100000</v>
      </c>
      <c r="F20" s="80">
        <v>1012.4988087583707</v>
      </c>
      <c r="G20" s="81">
        <f t="shared" si="0"/>
        <v>621.97111652114938</v>
      </c>
      <c r="H20" s="79">
        <f t="shared" si="1"/>
        <v>0.70258673557883067</v>
      </c>
      <c r="I20" s="79">
        <f t="shared" si="2"/>
        <v>154895.51253534178</v>
      </c>
      <c r="J20" s="79">
        <f t="shared" si="3"/>
        <v>33227.017356790428</v>
      </c>
      <c r="K20" s="82">
        <f t="shared" si="5"/>
        <v>188122.52989213221</v>
      </c>
    </row>
    <row r="21" spans="1:11" x14ac:dyDescent="0.3">
      <c r="A21" s="76">
        <f t="shared" si="4"/>
        <v>10</v>
      </c>
      <c r="B21" s="77">
        <v>2.69</v>
      </c>
      <c r="C21" s="78">
        <f t="shared" si="6"/>
        <v>0.05</v>
      </c>
      <c r="D21" s="78">
        <f t="shared" si="6"/>
        <v>0.04</v>
      </c>
      <c r="E21" s="79">
        <f t="shared" si="6"/>
        <v>100000</v>
      </c>
      <c r="F21" s="80">
        <v>904.35177890317436</v>
      </c>
      <c r="G21" s="81">
        <f t="shared" si="0"/>
        <v>589.19945839165007</v>
      </c>
      <c r="H21" s="79">
        <f t="shared" si="1"/>
        <v>0.67556416882579873</v>
      </c>
      <c r="I21" s="79">
        <f t="shared" si="2"/>
        <v>167310.23034418916</v>
      </c>
      <c r="J21" s="79">
        <f t="shared" si="3"/>
        <v>28124.03428261475</v>
      </c>
      <c r="K21" s="82">
        <f t="shared" si="5"/>
        <v>195434.2646268039</v>
      </c>
    </row>
    <row r="22" spans="1:11" x14ac:dyDescent="0.3">
      <c r="A22" s="76">
        <f t="shared" si="4"/>
        <v>11</v>
      </c>
      <c r="B22" s="77">
        <v>3.06</v>
      </c>
      <c r="C22" s="78">
        <f t="shared" si="6"/>
        <v>0.05</v>
      </c>
      <c r="D22" s="78">
        <f t="shared" si="6"/>
        <v>0.04</v>
      </c>
      <c r="E22" s="79">
        <f t="shared" si="6"/>
        <v>100000</v>
      </c>
      <c r="F22" s="80">
        <v>774.74071675980235</v>
      </c>
      <c r="G22" s="81">
        <f t="shared" si="0"/>
        <v>557.93653512938909</v>
      </c>
      <c r="H22" s="79">
        <f t="shared" si="1"/>
        <v>0.64958093156326802</v>
      </c>
      <c r="I22" s="79">
        <f t="shared" si="2"/>
        <v>180295.03426784495</v>
      </c>
      <c r="J22" s="79">
        <f t="shared" si="3"/>
        <v>22823.840535441715</v>
      </c>
      <c r="K22" s="82">
        <f t="shared" si="5"/>
        <v>203118.87480328666</v>
      </c>
    </row>
    <row r="23" spans="1:11" x14ac:dyDescent="0.3">
      <c r="A23" s="76">
        <f>A22+1</f>
        <v>12</v>
      </c>
      <c r="B23" s="77">
        <v>3.47</v>
      </c>
      <c r="C23" s="78">
        <f t="shared" si="6"/>
        <v>0.05</v>
      </c>
      <c r="D23" s="78">
        <f t="shared" si="6"/>
        <v>0.04</v>
      </c>
      <c r="E23" s="79">
        <f t="shared" si="6"/>
        <v>100000</v>
      </c>
      <c r="F23" s="80">
        <v>621.81631080479781</v>
      </c>
      <c r="G23" s="81">
        <f t="shared" si="0"/>
        <v>528.10366859602061</v>
      </c>
      <c r="H23" s="79">
        <f t="shared" si="1"/>
        <v>0.62459704958006534</v>
      </c>
      <c r="I23" s="79">
        <f t="shared" si="2"/>
        <v>193603.97768989802</v>
      </c>
      <c r="J23" s="79">
        <f t="shared" si="3"/>
        <v>17346.70189686841</v>
      </c>
      <c r="K23" s="82">
        <f t="shared" si="5"/>
        <v>210950.67958676643</v>
      </c>
    </row>
    <row r="24" spans="1:11" x14ac:dyDescent="0.3">
      <c r="A24" s="76">
        <f t="shared" ref="A24:A26" si="7">A23+1</f>
        <v>13</v>
      </c>
      <c r="B24" s="77">
        <v>3.95</v>
      </c>
      <c r="C24" s="78">
        <f t="shared" si="6"/>
        <v>0.05</v>
      </c>
      <c r="D24" s="78">
        <f t="shared" si="6"/>
        <v>0.04</v>
      </c>
      <c r="E24" s="79">
        <f t="shared" si="6"/>
        <v>100000</v>
      </c>
      <c r="F24" s="80">
        <v>442.14043702902569</v>
      </c>
      <c r="G24" s="81">
        <f t="shared" si="0"/>
        <v>499.61247567526527</v>
      </c>
      <c r="H24" s="79">
        <f t="shared" si="1"/>
        <v>0.60057408613467822</v>
      </c>
      <c r="I24" s="79">
        <f t="shared" si="2"/>
        <v>208600.94909542816</v>
      </c>
      <c r="J24" s="79">
        <f t="shared" si="3"/>
        <v>11674.799341483815</v>
      </c>
      <c r="K24" s="82">
        <f t="shared" si="5"/>
        <v>220275.74843691199</v>
      </c>
    </row>
    <row r="25" spans="1:11" x14ac:dyDescent="0.3">
      <c r="A25" s="76">
        <f t="shared" si="7"/>
        <v>14</v>
      </c>
      <c r="B25" s="77">
        <v>4.4400000000000004</v>
      </c>
      <c r="C25" s="78">
        <f t="shared" si="6"/>
        <v>0.05</v>
      </c>
      <c r="D25" s="78">
        <f t="shared" si="6"/>
        <v>0.04</v>
      </c>
      <c r="E25" s="79">
        <f t="shared" si="6"/>
        <v>100000</v>
      </c>
      <c r="F25" s="80">
        <v>235.73437267725242</v>
      </c>
      <c r="G25" s="81">
        <f t="shared" si="0"/>
        <v>472.4135724995038</v>
      </c>
      <c r="H25" s="79">
        <f t="shared" si="1"/>
        <v>0.57747508282180593</v>
      </c>
      <c r="I25" s="79">
        <f t="shared" si="2"/>
        <v>221827.9391998178</v>
      </c>
      <c r="J25" s="79">
        <f t="shared" si="3"/>
        <v>5888.7916767518846</v>
      </c>
      <c r="K25" s="82">
        <f t="shared" si="5"/>
        <v>227716.73087656969</v>
      </c>
    </row>
    <row r="26" spans="1:11" ht="15" thickBot="1" x14ac:dyDescent="0.35">
      <c r="A26" s="83">
        <f t="shared" si="7"/>
        <v>15</v>
      </c>
      <c r="B26" s="84">
        <v>4.99</v>
      </c>
      <c r="C26" s="85">
        <f t="shared" si="6"/>
        <v>0.05</v>
      </c>
      <c r="D26" s="85">
        <f t="shared" si="6"/>
        <v>0.04</v>
      </c>
      <c r="E26" s="86">
        <f t="shared" si="6"/>
        <v>100000</v>
      </c>
      <c r="F26" s="87">
        <v>0</v>
      </c>
      <c r="G26" s="88">
        <f t="shared" si="0"/>
        <v>446.43555014775603</v>
      </c>
      <c r="H26" s="86">
        <f t="shared" si="1"/>
        <v>0.55526450271327488</v>
      </c>
      <c r="I26" s="86">
        <f t="shared" si="2"/>
        <v>235734.37267725242</v>
      </c>
      <c r="J26" s="86">
        <f t="shared" si="3"/>
        <v>0</v>
      </c>
      <c r="K26" s="89">
        <f t="shared" si="5"/>
        <v>235734.37267725242</v>
      </c>
    </row>
    <row r="27" spans="1:11" ht="15" thickTop="1" x14ac:dyDescent="0.3"/>
    <row r="28" spans="1:11" x14ac:dyDescent="0.3">
      <c r="A28" s="66" t="s">
        <v>489</v>
      </c>
      <c r="B28" s="12"/>
    </row>
    <row r="29" spans="1:11" ht="36.450000000000003" customHeight="1" x14ac:dyDescent="0.3">
      <c r="A29" s="90" t="s">
        <v>490</v>
      </c>
      <c r="B29" s="143" t="s">
        <v>491</v>
      </c>
      <c r="C29" s="143"/>
      <c r="D29" s="143"/>
      <c r="E29" s="143"/>
      <c r="F29" s="143"/>
      <c r="G29" s="143"/>
      <c r="H29" s="143"/>
      <c r="I29" s="143"/>
      <c r="J29" s="143"/>
      <c r="K29" s="144"/>
    </row>
    <row r="31" spans="1:11" x14ac:dyDescent="0.3">
      <c r="B31" s="145" t="s">
        <v>492</v>
      </c>
      <c r="C31" s="146"/>
      <c r="D31" s="91" t="s">
        <v>493</v>
      </c>
      <c r="E31" s="91" t="s">
        <v>494</v>
      </c>
    </row>
    <row r="32" spans="1:11" x14ac:dyDescent="0.3">
      <c r="B32" s="147" t="s">
        <v>495</v>
      </c>
      <c r="C32" s="148"/>
      <c r="D32" s="92">
        <v>5.5E-2</v>
      </c>
      <c r="E32" s="92">
        <v>2.8000000000000001E-2</v>
      </c>
    </row>
    <row r="33" spans="1:11" x14ac:dyDescent="0.3">
      <c r="B33" s="147" t="s">
        <v>496</v>
      </c>
      <c r="C33" s="148"/>
      <c r="D33" s="93">
        <v>1.1000000000000001</v>
      </c>
      <c r="E33" s="93">
        <v>0.9</v>
      </c>
    </row>
    <row r="34" spans="1:11" x14ac:dyDescent="0.3">
      <c r="B34" s="147" t="s">
        <v>497</v>
      </c>
      <c r="C34" s="148"/>
      <c r="D34" s="93">
        <v>1.2</v>
      </c>
      <c r="E34" s="93">
        <v>0.8</v>
      </c>
    </row>
    <row r="36" spans="1:11" ht="61.5" customHeight="1" x14ac:dyDescent="0.3">
      <c r="A36" s="90" t="s">
        <v>498</v>
      </c>
      <c r="B36" s="141" t="s">
        <v>499</v>
      </c>
      <c r="C36" s="142"/>
      <c r="D36" s="142"/>
      <c r="E36" s="142"/>
      <c r="F36" s="142"/>
      <c r="G36" s="142"/>
      <c r="H36" s="142"/>
      <c r="I36" s="142"/>
      <c r="J36" s="142"/>
      <c r="K36" s="142"/>
    </row>
    <row r="38" spans="1:11" x14ac:dyDescent="0.3">
      <c r="B38" s="94" t="s">
        <v>500</v>
      </c>
      <c r="C38" s="94" t="s">
        <v>481</v>
      </c>
      <c r="D38" s="94" t="s">
        <v>215</v>
      </c>
      <c r="E38" s="94" t="s">
        <v>501</v>
      </c>
    </row>
    <row r="39" spans="1:11" x14ac:dyDescent="0.3">
      <c r="B39" s="94" t="s">
        <v>481</v>
      </c>
      <c r="C39" s="94">
        <v>1</v>
      </c>
      <c r="D39" s="94">
        <v>0.1</v>
      </c>
      <c r="E39" s="94">
        <v>0.5</v>
      </c>
    </row>
    <row r="40" spans="1:11" x14ac:dyDescent="0.3">
      <c r="B40" s="94" t="s">
        <v>215</v>
      </c>
      <c r="C40" s="94">
        <f>D39</f>
        <v>0.1</v>
      </c>
      <c r="D40" s="94">
        <v>1</v>
      </c>
      <c r="E40" s="94">
        <v>0</v>
      </c>
    </row>
    <row r="41" spans="1:11" x14ac:dyDescent="0.3">
      <c r="B41" s="94" t="s">
        <v>501</v>
      </c>
      <c r="C41" s="94">
        <f>E39</f>
        <v>0.5</v>
      </c>
      <c r="D41" s="94">
        <f>E40</f>
        <v>0</v>
      </c>
      <c r="E41" s="94">
        <v>1</v>
      </c>
    </row>
    <row r="43" spans="1:11" ht="164.55" customHeight="1" x14ac:dyDescent="0.3">
      <c r="A43" s="90" t="s">
        <v>502</v>
      </c>
      <c r="B43" s="141" t="s">
        <v>503</v>
      </c>
      <c r="C43" s="142"/>
      <c r="D43" s="142"/>
      <c r="E43" s="142"/>
      <c r="F43" s="142"/>
      <c r="G43" s="142"/>
      <c r="H43" s="142"/>
      <c r="I43" s="142"/>
      <c r="J43" s="142"/>
      <c r="K43" s="142"/>
    </row>
    <row r="44" spans="1:11" x14ac:dyDescent="0.3">
      <c r="A44" s="90"/>
      <c r="B44" s="62"/>
    </row>
    <row r="45" spans="1:11" ht="33.450000000000003" customHeight="1" x14ac:dyDescent="0.3">
      <c r="A45" s="90" t="s">
        <v>504</v>
      </c>
      <c r="B45" s="141" t="s">
        <v>505</v>
      </c>
      <c r="C45" s="142"/>
      <c r="D45" s="142"/>
      <c r="E45" s="142"/>
      <c r="F45" s="142"/>
      <c r="G45" s="142"/>
      <c r="H45" s="142"/>
      <c r="I45" s="142"/>
      <c r="J45" s="142"/>
      <c r="K45" s="142"/>
    </row>
    <row r="46" spans="1:11" ht="15" thickBot="1" x14ac:dyDescent="0.35">
      <c r="A46" s="90"/>
      <c r="B46" s="62"/>
    </row>
    <row r="47" spans="1:11" ht="29.4" thickBot="1" x14ac:dyDescent="0.35">
      <c r="B47" s="95" t="s">
        <v>506</v>
      </c>
      <c r="C47" s="96" t="s">
        <v>481</v>
      </c>
      <c r="D47" s="96" t="s">
        <v>507</v>
      </c>
      <c r="E47" s="97" t="s">
        <v>508</v>
      </c>
    </row>
    <row r="48" spans="1:11" x14ac:dyDescent="0.3">
      <c r="B48" s="98">
        <v>1</v>
      </c>
      <c r="C48" s="99">
        <v>4.9149037780918732E-2</v>
      </c>
      <c r="D48" s="99">
        <v>1.0640005784546887</v>
      </c>
      <c r="E48" s="100">
        <v>1.0253097824840143</v>
      </c>
    </row>
    <row r="49" spans="2:5" x14ac:dyDescent="0.3">
      <c r="B49" s="101">
        <f>B48+1</f>
        <v>2</v>
      </c>
      <c r="C49" s="102">
        <v>2.9362633665028819E-2</v>
      </c>
      <c r="D49" s="102">
        <v>1.0097453484117609</v>
      </c>
      <c r="E49" s="103">
        <v>1.0779146991193835</v>
      </c>
    </row>
    <row r="50" spans="2:5" x14ac:dyDescent="0.3">
      <c r="B50" s="101">
        <f t="shared" ref="B50:B113" si="8">B49+1</f>
        <v>3</v>
      </c>
      <c r="C50" s="102">
        <v>5.326508681750719E-2</v>
      </c>
      <c r="D50" s="102">
        <v>0.94087883822978358</v>
      </c>
      <c r="E50" s="103">
        <v>0.86396125217496234</v>
      </c>
    </row>
    <row r="51" spans="2:5" x14ac:dyDescent="0.3">
      <c r="B51" s="101">
        <f t="shared" si="8"/>
        <v>4</v>
      </c>
      <c r="C51" s="102">
        <v>5.3367840422877275E-2</v>
      </c>
      <c r="D51" s="102">
        <v>1.0303237348197123</v>
      </c>
      <c r="E51" s="103">
        <v>0.9058946531279749</v>
      </c>
    </row>
    <row r="52" spans="2:5" x14ac:dyDescent="0.3">
      <c r="B52" s="101">
        <f t="shared" si="8"/>
        <v>5</v>
      </c>
      <c r="C52" s="102">
        <v>4.344137282947258E-2</v>
      </c>
      <c r="D52" s="102">
        <v>0.96575847651376967</v>
      </c>
      <c r="E52" s="103">
        <v>1.0821761114850799</v>
      </c>
    </row>
    <row r="53" spans="2:5" x14ac:dyDescent="0.3">
      <c r="B53" s="101">
        <f t="shared" si="8"/>
        <v>6</v>
      </c>
      <c r="C53" s="102">
        <v>4.7500771509424167E-2</v>
      </c>
      <c r="D53" s="102">
        <v>1.0159325758070683</v>
      </c>
      <c r="E53" s="103">
        <v>1.1168658698939731</v>
      </c>
    </row>
    <row r="54" spans="2:5" x14ac:dyDescent="0.3">
      <c r="B54" s="101">
        <f t="shared" si="8"/>
        <v>7</v>
      </c>
      <c r="C54" s="102">
        <v>5.3521921564952848E-2</v>
      </c>
      <c r="D54" s="102">
        <v>0.97292771942112544</v>
      </c>
      <c r="E54" s="103">
        <v>1.113918333183205</v>
      </c>
    </row>
    <row r="55" spans="2:5" x14ac:dyDescent="0.3">
      <c r="B55" s="101">
        <f t="shared" si="8"/>
        <v>8</v>
      </c>
      <c r="C55" s="102">
        <v>4.7984222395484437E-2</v>
      </c>
      <c r="D55" s="102">
        <v>1.0535183804844057</v>
      </c>
      <c r="E55" s="103">
        <v>1.1730850962814774</v>
      </c>
    </row>
    <row r="56" spans="2:5" x14ac:dyDescent="0.3">
      <c r="B56" s="101">
        <f t="shared" si="8"/>
        <v>9</v>
      </c>
      <c r="C56" s="102">
        <v>3.129337764948454E-2</v>
      </c>
      <c r="D56" s="102">
        <v>1.0216073060472277</v>
      </c>
      <c r="E56" s="103">
        <v>1.0659618780770188</v>
      </c>
    </row>
    <row r="57" spans="2:5" x14ac:dyDescent="0.3">
      <c r="B57" s="101">
        <f t="shared" si="8"/>
        <v>10</v>
      </c>
      <c r="C57" s="102">
        <v>3.5801557177528115E-2</v>
      </c>
      <c r="D57" s="102">
        <v>0.91365371994331857</v>
      </c>
      <c r="E57" s="103">
        <v>1.1593197990929034</v>
      </c>
    </row>
    <row r="58" spans="2:5" x14ac:dyDescent="0.3">
      <c r="B58" s="101">
        <f t="shared" si="8"/>
        <v>11</v>
      </c>
      <c r="C58" s="102">
        <v>4.5179462192620042E-2</v>
      </c>
      <c r="D58" s="102">
        <v>0.96205951019438052</v>
      </c>
      <c r="E58" s="103">
        <v>0.99243187367639885</v>
      </c>
    </row>
    <row r="59" spans="2:5" x14ac:dyDescent="0.3">
      <c r="B59" s="101">
        <f t="shared" si="8"/>
        <v>12</v>
      </c>
      <c r="C59" s="102">
        <v>3.5801641502840327E-2</v>
      </c>
      <c r="D59" s="102">
        <v>0.98956540527994685</v>
      </c>
      <c r="E59" s="103">
        <v>0.87273468877876692</v>
      </c>
    </row>
    <row r="60" spans="2:5" x14ac:dyDescent="0.3">
      <c r="B60" s="101">
        <f t="shared" si="8"/>
        <v>13</v>
      </c>
      <c r="C60" s="102">
        <v>4.7051730173026406E-2</v>
      </c>
      <c r="D60" s="102">
        <v>1.0412193357107569</v>
      </c>
      <c r="E60" s="103">
        <v>1.0270802621060429</v>
      </c>
    </row>
    <row r="61" spans="2:5" x14ac:dyDescent="0.3">
      <c r="B61" s="101">
        <f t="shared" si="8"/>
        <v>14</v>
      </c>
      <c r="C61" s="102">
        <v>4.6644323842418428E-2</v>
      </c>
      <c r="D61" s="102">
        <v>0.95792196607542768</v>
      </c>
      <c r="E61" s="103">
        <v>1.0021847729775093</v>
      </c>
    </row>
    <row r="62" spans="2:5" x14ac:dyDescent="0.3">
      <c r="B62" s="101">
        <f t="shared" si="8"/>
        <v>15</v>
      </c>
      <c r="C62" s="102">
        <v>5.094114738191885E-2</v>
      </c>
      <c r="D62" s="102">
        <v>1.0749164724022879</v>
      </c>
      <c r="E62" s="103">
        <v>1.193930978634107</v>
      </c>
    </row>
    <row r="63" spans="2:5" x14ac:dyDescent="0.3">
      <c r="B63" s="101">
        <f t="shared" si="8"/>
        <v>16</v>
      </c>
      <c r="C63" s="102">
        <v>4.7170643388474438E-2</v>
      </c>
      <c r="D63" s="102">
        <v>0.91906570500094853</v>
      </c>
      <c r="E63" s="103">
        <v>0.83527359567029802</v>
      </c>
    </row>
    <row r="64" spans="2:5" x14ac:dyDescent="0.3">
      <c r="B64" s="101">
        <f t="shared" si="8"/>
        <v>17</v>
      </c>
      <c r="C64" s="102">
        <v>2.7510583376636435E-2</v>
      </c>
      <c r="D64" s="102">
        <v>0.96978882729674432</v>
      </c>
      <c r="E64" s="103">
        <v>1.1901600395080156</v>
      </c>
    </row>
    <row r="65" spans="2:5" x14ac:dyDescent="0.3">
      <c r="B65" s="101">
        <f t="shared" si="8"/>
        <v>18</v>
      </c>
      <c r="C65" s="102">
        <v>4.5786318093594382E-2</v>
      </c>
      <c r="D65" s="102">
        <v>0.99925066120996053</v>
      </c>
      <c r="E65" s="103">
        <v>1.0194517811457275</v>
      </c>
    </row>
    <row r="66" spans="2:5" x14ac:dyDescent="0.3">
      <c r="B66" s="101">
        <f t="shared" si="8"/>
        <v>19</v>
      </c>
      <c r="C66" s="102">
        <v>2.7997671285030702E-2</v>
      </c>
      <c r="D66" s="102">
        <v>0.92729702631378441</v>
      </c>
      <c r="E66" s="103">
        <v>0.85214279495334899</v>
      </c>
    </row>
    <row r="67" spans="2:5" x14ac:dyDescent="0.3">
      <c r="B67" s="101">
        <f t="shared" si="8"/>
        <v>20</v>
      </c>
      <c r="C67" s="102">
        <v>2.7709311851350102E-2</v>
      </c>
      <c r="D67" s="102">
        <v>0.90631422014188612</v>
      </c>
      <c r="E67" s="103">
        <v>0.89044737017082132</v>
      </c>
    </row>
    <row r="68" spans="2:5" x14ac:dyDescent="0.3">
      <c r="B68" s="101">
        <f t="shared" si="8"/>
        <v>21</v>
      </c>
      <c r="C68" s="102">
        <v>2.7222798253924492E-2</v>
      </c>
      <c r="D68" s="102">
        <v>1.0518556425250063</v>
      </c>
      <c r="E68" s="103">
        <v>0.91774498033525065</v>
      </c>
    </row>
    <row r="69" spans="2:5" x14ac:dyDescent="0.3">
      <c r="B69" s="101">
        <f t="shared" si="8"/>
        <v>22</v>
      </c>
      <c r="C69" s="102">
        <v>2.8044954981121986E-2</v>
      </c>
      <c r="D69" s="102">
        <v>1.0693388324930824</v>
      </c>
      <c r="E69" s="103">
        <v>0.98907873184053718</v>
      </c>
    </row>
    <row r="70" spans="2:5" x14ac:dyDescent="0.3">
      <c r="B70" s="101">
        <f t="shared" si="8"/>
        <v>23</v>
      </c>
      <c r="C70" s="102">
        <v>3.5854841441995015E-2</v>
      </c>
      <c r="D70" s="102">
        <v>1.0082018525865075</v>
      </c>
      <c r="E70" s="103">
        <v>0.91115934052082181</v>
      </c>
    </row>
    <row r="71" spans="2:5" x14ac:dyDescent="0.3">
      <c r="B71" s="101">
        <f t="shared" si="8"/>
        <v>24</v>
      </c>
      <c r="C71" s="102">
        <v>4.5558977565188216E-2</v>
      </c>
      <c r="D71" s="102">
        <v>0.90046295661403153</v>
      </c>
      <c r="E71" s="103">
        <v>1.0911565953764633</v>
      </c>
    </row>
    <row r="72" spans="2:5" x14ac:dyDescent="0.3">
      <c r="B72" s="101">
        <f t="shared" si="8"/>
        <v>25</v>
      </c>
      <c r="C72" s="102">
        <v>4.9044894231150674E-2</v>
      </c>
      <c r="D72" s="102">
        <v>0.99082615725444179</v>
      </c>
      <c r="E72" s="103">
        <v>0.95713791092077605</v>
      </c>
    </row>
    <row r="73" spans="2:5" x14ac:dyDescent="0.3">
      <c r="B73" s="101">
        <f t="shared" si="8"/>
        <v>26</v>
      </c>
      <c r="C73" s="102">
        <v>4.9940756282225718E-2</v>
      </c>
      <c r="D73" s="102">
        <v>0.94550509330451926</v>
      </c>
      <c r="E73" s="103">
        <v>1.1586178825614344</v>
      </c>
    </row>
    <row r="74" spans="2:5" x14ac:dyDescent="0.3">
      <c r="B74" s="101">
        <f t="shared" si="8"/>
        <v>27</v>
      </c>
      <c r="C74" s="102">
        <v>3.7178173456529767E-2</v>
      </c>
      <c r="D74" s="102">
        <v>0.97897953133212912</v>
      </c>
      <c r="E74" s="103">
        <v>1.0938373668273826</v>
      </c>
    </row>
    <row r="75" spans="2:5" x14ac:dyDescent="0.3">
      <c r="B75" s="101">
        <f t="shared" si="8"/>
        <v>28</v>
      </c>
      <c r="C75" s="102">
        <v>4.0786371054111231E-2</v>
      </c>
      <c r="D75" s="102">
        <v>0.90614646354631501</v>
      </c>
      <c r="E75" s="103">
        <v>1.1835778493557156</v>
      </c>
    </row>
    <row r="76" spans="2:5" x14ac:dyDescent="0.3">
      <c r="B76" s="101">
        <f t="shared" si="8"/>
        <v>29</v>
      </c>
      <c r="C76" s="102">
        <v>4.0747438514279768E-2</v>
      </c>
      <c r="D76" s="102">
        <v>1.0136384200083042</v>
      </c>
      <c r="E76" s="103">
        <v>0.816784042549906</v>
      </c>
    </row>
    <row r="77" spans="2:5" x14ac:dyDescent="0.3">
      <c r="B77" s="101">
        <f t="shared" si="8"/>
        <v>30</v>
      </c>
      <c r="C77" s="102">
        <v>3.6856554493963731E-2</v>
      </c>
      <c r="D77" s="102">
        <v>1.0611489769942017</v>
      </c>
      <c r="E77" s="103">
        <v>1.1587765703888546</v>
      </c>
    </row>
    <row r="78" spans="2:5" x14ac:dyDescent="0.3">
      <c r="B78" s="101">
        <f t="shared" si="8"/>
        <v>31</v>
      </c>
      <c r="C78" s="102">
        <v>2.7623840359534114E-2</v>
      </c>
      <c r="D78" s="102">
        <v>0.93864498592630341</v>
      </c>
      <c r="E78" s="103">
        <v>0.83836341504673262</v>
      </c>
    </row>
    <row r="79" spans="2:5" x14ac:dyDescent="0.3">
      <c r="B79" s="101">
        <f t="shared" si="8"/>
        <v>32</v>
      </c>
      <c r="C79" s="102">
        <v>2.5217223269453401E-2</v>
      </c>
      <c r="D79" s="102">
        <v>0.92335892269052788</v>
      </c>
      <c r="E79" s="103">
        <v>0.962695671323895</v>
      </c>
    </row>
    <row r="80" spans="2:5" x14ac:dyDescent="0.3">
      <c r="B80" s="101">
        <f t="shared" si="8"/>
        <v>33</v>
      </c>
      <c r="C80" s="102">
        <v>4.2506329055751739E-2</v>
      </c>
      <c r="D80" s="102">
        <v>0.93190412756377028</v>
      </c>
      <c r="E80" s="103">
        <v>0.89736991494644103</v>
      </c>
    </row>
    <row r="81" spans="2:5" x14ac:dyDescent="0.3">
      <c r="B81" s="101">
        <f t="shared" si="8"/>
        <v>34</v>
      </c>
      <c r="C81" s="102">
        <v>4.1374882918751861E-2</v>
      </c>
      <c r="D81" s="102">
        <v>1.0101677694190179</v>
      </c>
      <c r="E81" s="103">
        <v>1.1702493029018544</v>
      </c>
    </row>
    <row r="82" spans="2:5" x14ac:dyDescent="0.3">
      <c r="B82" s="101">
        <f t="shared" si="8"/>
        <v>35</v>
      </c>
      <c r="C82" s="102">
        <v>2.5060034024719607E-2</v>
      </c>
      <c r="D82" s="102">
        <v>0.98350570680537863</v>
      </c>
      <c r="E82" s="103">
        <v>1.0751246779409909</v>
      </c>
    </row>
    <row r="83" spans="2:5" x14ac:dyDescent="0.3">
      <c r="B83" s="101">
        <f t="shared" si="8"/>
        <v>36</v>
      </c>
      <c r="C83" s="102">
        <v>2.6951265927550365E-2</v>
      </c>
      <c r="D83" s="102">
        <v>0.97110384255347093</v>
      </c>
      <c r="E83" s="103">
        <v>0.89420728538718031</v>
      </c>
    </row>
    <row r="84" spans="2:5" x14ac:dyDescent="0.3">
      <c r="B84" s="101">
        <f t="shared" si="8"/>
        <v>37</v>
      </c>
      <c r="C84" s="102">
        <v>3.5225553973544085E-2</v>
      </c>
      <c r="D84" s="102">
        <v>0.96976214567432484</v>
      </c>
      <c r="E84" s="103">
        <v>0.81779363448493603</v>
      </c>
    </row>
    <row r="85" spans="2:5" x14ac:dyDescent="0.3">
      <c r="B85" s="101">
        <f t="shared" si="8"/>
        <v>38</v>
      </c>
      <c r="C85" s="102">
        <v>3.7773383964556949E-2</v>
      </c>
      <c r="D85" s="102">
        <v>1.0102226016987272</v>
      </c>
      <c r="E85" s="103">
        <v>1.1623155920109161</v>
      </c>
    </row>
    <row r="86" spans="2:5" x14ac:dyDescent="0.3">
      <c r="B86" s="101">
        <f t="shared" si="8"/>
        <v>39</v>
      </c>
      <c r="C86" s="102">
        <v>4.7151677460603066E-2</v>
      </c>
      <c r="D86" s="102">
        <v>0.9960903893590165</v>
      </c>
      <c r="E86" s="103">
        <v>0.8784049003162685</v>
      </c>
    </row>
    <row r="87" spans="2:5" x14ac:dyDescent="0.3">
      <c r="B87" s="101">
        <f t="shared" si="8"/>
        <v>40</v>
      </c>
      <c r="C87" s="102">
        <v>4.7462730574289937E-2</v>
      </c>
      <c r="D87" s="102">
        <v>0.94937315502750008</v>
      </c>
      <c r="E87" s="103">
        <v>0.91082711778819514</v>
      </c>
    </row>
    <row r="88" spans="2:5" x14ac:dyDescent="0.3">
      <c r="B88" s="101">
        <f t="shared" si="8"/>
        <v>41</v>
      </c>
      <c r="C88" s="102">
        <v>2.9508485159787087E-2</v>
      </c>
      <c r="D88" s="102">
        <v>0.92590225955312033</v>
      </c>
      <c r="E88" s="103">
        <v>0.88716558121546552</v>
      </c>
    </row>
    <row r="89" spans="2:5" x14ac:dyDescent="0.3">
      <c r="B89" s="101">
        <f t="shared" si="8"/>
        <v>42</v>
      </c>
      <c r="C89" s="102">
        <v>5.1988053569411351E-2</v>
      </c>
      <c r="D89" s="102">
        <v>0.93840590425678438</v>
      </c>
      <c r="E89" s="103">
        <v>1.1054837712277616</v>
      </c>
    </row>
    <row r="90" spans="2:5" x14ac:dyDescent="0.3">
      <c r="B90" s="101">
        <f t="shared" si="8"/>
        <v>43</v>
      </c>
      <c r="C90" s="102">
        <v>3.2405733573784325E-2</v>
      </c>
      <c r="D90" s="102">
        <v>1.0426526554549935</v>
      </c>
      <c r="E90" s="103">
        <v>0.88430247487142732</v>
      </c>
    </row>
    <row r="91" spans="2:5" x14ac:dyDescent="0.3">
      <c r="B91" s="101">
        <f t="shared" si="8"/>
        <v>44</v>
      </c>
      <c r="C91" s="102">
        <v>4.642256610858711E-2</v>
      </c>
      <c r="D91" s="102">
        <v>1.0469852544348979</v>
      </c>
      <c r="E91" s="103">
        <v>1.0407628516120448</v>
      </c>
    </row>
    <row r="92" spans="2:5" x14ac:dyDescent="0.3">
      <c r="B92" s="101">
        <f t="shared" si="8"/>
        <v>45</v>
      </c>
      <c r="C92" s="102">
        <v>2.761941631801287E-2</v>
      </c>
      <c r="D92" s="102">
        <v>1.0662455384383254</v>
      </c>
      <c r="E92" s="103">
        <v>0.81608408096934038</v>
      </c>
    </row>
    <row r="93" spans="2:5" x14ac:dyDescent="0.3">
      <c r="B93" s="101">
        <f t="shared" si="8"/>
        <v>46</v>
      </c>
      <c r="C93" s="102">
        <v>3.4359696909101511E-2</v>
      </c>
      <c r="D93" s="102">
        <v>0.96261776592011916</v>
      </c>
      <c r="E93" s="103">
        <v>0.89505152261734722</v>
      </c>
    </row>
    <row r="94" spans="2:5" x14ac:dyDescent="0.3">
      <c r="B94" s="101">
        <f t="shared" si="8"/>
        <v>47</v>
      </c>
      <c r="C94" s="102">
        <v>5.1657158381955698E-2</v>
      </c>
      <c r="D94" s="102">
        <v>0.90548127201466921</v>
      </c>
      <c r="E94" s="103">
        <v>1.0685599725479975</v>
      </c>
    </row>
    <row r="95" spans="2:5" x14ac:dyDescent="0.3">
      <c r="B95" s="101">
        <f t="shared" si="8"/>
        <v>48</v>
      </c>
      <c r="C95" s="102">
        <v>3.6719249033857183E-2</v>
      </c>
      <c r="D95" s="102">
        <v>1.0808201422648265</v>
      </c>
      <c r="E95" s="103">
        <v>1.1823777029491027</v>
      </c>
    </row>
    <row r="96" spans="2:5" x14ac:dyDescent="0.3">
      <c r="B96" s="101">
        <f t="shared" si="8"/>
        <v>49</v>
      </c>
      <c r="C96" s="102">
        <v>3.0503224703952583E-2</v>
      </c>
      <c r="D96" s="102">
        <v>1.068075054906138</v>
      </c>
      <c r="E96" s="103">
        <v>0.95409660509439376</v>
      </c>
    </row>
    <row r="97" spans="2:5" x14ac:dyDescent="0.3">
      <c r="B97" s="101">
        <f t="shared" si="8"/>
        <v>50</v>
      </c>
      <c r="C97" s="102">
        <v>4.7967127840226505E-2</v>
      </c>
      <c r="D97" s="102">
        <v>1.062270552579097</v>
      </c>
      <c r="E97" s="103">
        <v>1.0061274904697786</v>
      </c>
    </row>
    <row r="98" spans="2:5" x14ac:dyDescent="0.3">
      <c r="B98" s="101">
        <f t="shared" si="8"/>
        <v>51</v>
      </c>
      <c r="C98" s="102">
        <v>3.0023578497018442E-2</v>
      </c>
      <c r="D98" s="102">
        <v>0.9799658865391907</v>
      </c>
      <c r="E98" s="103">
        <v>0.8156332615401678</v>
      </c>
    </row>
    <row r="99" spans="2:5" x14ac:dyDescent="0.3">
      <c r="B99" s="101">
        <f t="shared" si="8"/>
        <v>52</v>
      </c>
      <c r="C99" s="102">
        <v>4.8710302017498694E-2</v>
      </c>
      <c r="D99" s="102">
        <v>1.0851963006898786</v>
      </c>
      <c r="E99" s="103">
        <v>0.9955795152604322</v>
      </c>
    </row>
    <row r="100" spans="2:5" x14ac:dyDescent="0.3">
      <c r="B100" s="101">
        <f t="shared" si="8"/>
        <v>53</v>
      </c>
      <c r="C100" s="102">
        <v>3.3732722541218639E-2</v>
      </c>
      <c r="D100" s="102">
        <v>0.99405685850819325</v>
      </c>
      <c r="E100" s="103">
        <v>0.91749571360707349</v>
      </c>
    </row>
    <row r="101" spans="2:5" x14ac:dyDescent="0.3">
      <c r="B101" s="101">
        <f t="shared" si="8"/>
        <v>54</v>
      </c>
      <c r="C101" s="102">
        <v>5.0582712717626495E-2</v>
      </c>
      <c r="D101" s="102">
        <v>1.0405276623782704</v>
      </c>
      <c r="E101" s="103">
        <v>0.89298119998093017</v>
      </c>
    </row>
    <row r="102" spans="2:5" x14ac:dyDescent="0.3">
      <c r="B102" s="101">
        <f t="shared" si="8"/>
        <v>55</v>
      </c>
      <c r="C102" s="102">
        <v>5.3347766391913465E-2</v>
      </c>
      <c r="D102" s="102">
        <v>1.0289351503346553</v>
      </c>
      <c r="E102" s="103">
        <v>0.89037345330178352</v>
      </c>
    </row>
    <row r="103" spans="2:5" x14ac:dyDescent="0.3">
      <c r="B103" s="101">
        <f t="shared" si="8"/>
        <v>56</v>
      </c>
      <c r="C103" s="102">
        <v>4.4722860083203857E-2</v>
      </c>
      <c r="D103" s="102">
        <v>0.98433402082920296</v>
      </c>
      <c r="E103" s="103">
        <v>0.83431705180008509</v>
      </c>
    </row>
    <row r="104" spans="2:5" x14ac:dyDescent="0.3">
      <c r="B104" s="101">
        <f t="shared" si="8"/>
        <v>57</v>
      </c>
      <c r="C104" s="102">
        <v>4.2051673601649103E-2</v>
      </c>
      <c r="D104" s="102">
        <v>0.96205659161231227</v>
      </c>
      <c r="E104" s="103">
        <v>0.82535453266953074</v>
      </c>
    </row>
    <row r="105" spans="2:5" x14ac:dyDescent="0.3">
      <c r="B105" s="101">
        <f t="shared" si="8"/>
        <v>58</v>
      </c>
      <c r="C105" s="102">
        <v>4.6457338340448476E-2</v>
      </c>
      <c r="D105" s="102">
        <v>0.96549786024906314</v>
      </c>
      <c r="E105" s="103">
        <v>0.99358638887370099</v>
      </c>
    </row>
    <row r="106" spans="2:5" x14ac:dyDescent="0.3">
      <c r="B106" s="101">
        <f t="shared" si="8"/>
        <v>59</v>
      </c>
      <c r="C106" s="102">
        <v>4.5000735182637107E-2</v>
      </c>
      <c r="D106" s="102">
        <v>0.96853130244801944</v>
      </c>
      <c r="E106" s="103">
        <v>1.0800167231238316</v>
      </c>
    </row>
    <row r="107" spans="2:5" x14ac:dyDescent="0.3">
      <c r="B107" s="101">
        <f t="shared" si="8"/>
        <v>60</v>
      </c>
      <c r="C107" s="102">
        <v>3.0533823949736437E-2</v>
      </c>
      <c r="D107" s="102">
        <v>0.95659803470625404</v>
      </c>
      <c r="E107" s="103">
        <v>0.81636208754875628</v>
      </c>
    </row>
    <row r="108" spans="2:5" x14ac:dyDescent="0.3">
      <c r="B108" s="101">
        <f t="shared" si="8"/>
        <v>61</v>
      </c>
      <c r="C108" s="102">
        <v>4.3289348770547784E-2</v>
      </c>
      <c r="D108" s="102">
        <v>1.0090800661792005</v>
      </c>
      <c r="E108" s="103">
        <v>1.1075269115625976</v>
      </c>
    </row>
    <row r="109" spans="2:5" x14ac:dyDescent="0.3">
      <c r="B109" s="101">
        <f t="shared" si="8"/>
        <v>62</v>
      </c>
      <c r="C109" s="102">
        <v>2.5675868850069724E-2</v>
      </c>
      <c r="D109" s="102">
        <v>0.94144477254999237</v>
      </c>
      <c r="E109" s="103">
        <v>1.0014558469484196</v>
      </c>
    </row>
    <row r="110" spans="2:5" x14ac:dyDescent="0.3">
      <c r="B110" s="101">
        <f t="shared" si="8"/>
        <v>63</v>
      </c>
      <c r="C110" s="102">
        <v>3.2101167665322623E-2</v>
      </c>
      <c r="D110" s="102">
        <v>1.0648970153562058</v>
      </c>
      <c r="E110" s="103">
        <v>0.94309970533815812</v>
      </c>
    </row>
    <row r="111" spans="2:5" x14ac:dyDescent="0.3">
      <c r="B111" s="101">
        <f t="shared" si="8"/>
        <v>64</v>
      </c>
      <c r="C111" s="102">
        <v>2.8799417347184206E-2</v>
      </c>
      <c r="D111" s="102">
        <v>1.0330333407172894</v>
      </c>
      <c r="E111" s="103">
        <v>1.1609074467348592</v>
      </c>
    </row>
    <row r="112" spans="2:5" x14ac:dyDescent="0.3">
      <c r="B112" s="101">
        <f t="shared" si="8"/>
        <v>65</v>
      </c>
      <c r="C112" s="102">
        <v>2.7994328776559951E-2</v>
      </c>
      <c r="D112" s="102">
        <v>1.0978148660101934</v>
      </c>
      <c r="E112" s="103">
        <v>1.0077974482870682</v>
      </c>
    </row>
    <row r="113" spans="2:5" x14ac:dyDescent="0.3">
      <c r="B113" s="101">
        <f t="shared" si="8"/>
        <v>66</v>
      </c>
      <c r="C113" s="102">
        <v>2.9886774821769116E-2</v>
      </c>
      <c r="D113" s="102">
        <v>0.92402255601833949</v>
      </c>
      <c r="E113" s="103">
        <v>0.91710186734187449</v>
      </c>
    </row>
    <row r="114" spans="2:5" x14ac:dyDescent="0.3">
      <c r="B114" s="101">
        <f t="shared" ref="B114:B177" si="9">B113+1</f>
        <v>67</v>
      </c>
      <c r="C114" s="102">
        <v>3.9222926718036233E-2</v>
      </c>
      <c r="D114" s="102">
        <v>0.94878459106504343</v>
      </c>
      <c r="E114" s="103">
        <v>1.0432580171822523</v>
      </c>
    </row>
    <row r="115" spans="2:5" x14ac:dyDescent="0.3">
      <c r="B115" s="101">
        <f t="shared" si="9"/>
        <v>68</v>
      </c>
      <c r="C115" s="102">
        <v>5.4197652667011167E-2</v>
      </c>
      <c r="D115" s="102">
        <v>1.0172557631443733</v>
      </c>
      <c r="E115" s="103">
        <v>1.0264744939826735</v>
      </c>
    </row>
    <row r="116" spans="2:5" x14ac:dyDescent="0.3">
      <c r="B116" s="101">
        <f t="shared" si="9"/>
        <v>69</v>
      </c>
      <c r="C116" s="102">
        <v>2.6834276259965897E-2</v>
      </c>
      <c r="D116" s="102">
        <v>0.91875090500735745</v>
      </c>
      <c r="E116" s="103">
        <v>1.1749873275893481</v>
      </c>
    </row>
    <row r="117" spans="2:5" x14ac:dyDescent="0.3">
      <c r="B117" s="101">
        <f t="shared" si="9"/>
        <v>70</v>
      </c>
      <c r="C117" s="102">
        <v>3.983406178950076E-2</v>
      </c>
      <c r="D117" s="102">
        <v>0.96346053967278822</v>
      </c>
      <c r="E117" s="103">
        <v>0.91663485605042427</v>
      </c>
    </row>
    <row r="118" spans="2:5" x14ac:dyDescent="0.3">
      <c r="B118" s="101">
        <f t="shared" si="9"/>
        <v>71</v>
      </c>
      <c r="C118" s="102">
        <v>4.121913864750399E-2</v>
      </c>
      <c r="D118" s="102">
        <v>1.0073406712794686</v>
      </c>
      <c r="E118" s="103">
        <v>0.92616648675724844</v>
      </c>
    </row>
    <row r="119" spans="2:5" x14ac:dyDescent="0.3">
      <c r="B119" s="101">
        <f t="shared" si="9"/>
        <v>72</v>
      </c>
      <c r="C119" s="102">
        <v>4.0939879092471147E-2</v>
      </c>
      <c r="D119" s="102">
        <v>0.99791440592231895</v>
      </c>
      <c r="E119" s="103">
        <v>1.1876970020798587</v>
      </c>
    </row>
    <row r="120" spans="2:5" x14ac:dyDescent="0.3">
      <c r="B120" s="101">
        <f t="shared" si="9"/>
        <v>73</v>
      </c>
      <c r="C120" s="102">
        <v>3.6769837511013495E-2</v>
      </c>
      <c r="D120" s="102">
        <v>1.0282363291395775</v>
      </c>
      <c r="E120" s="103">
        <v>0.89004882721713463</v>
      </c>
    </row>
    <row r="121" spans="2:5" x14ac:dyDescent="0.3">
      <c r="B121" s="101">
        <f t="shared" si="9"/>
        <v>74</v>
      </c>
      <c r="C121" s="102">
        <v>5.4706791778384084E-2</v>
      </c>
      <c r="D121" s="102">
        <v>1.0074857313822969</v>
      </c>
      <c r="E121" s="103">
        <v>0.88985328997774804</v>
      </c>
    </row>
    <row r="122" spans="2:5" x14ac:dyDescent="0.3">
      <c r="B122" s="101">
        <f t="shared" si="9"/>
        <v>75</v>
      </c>
      <c r="C122" s="102">
        <v>5.4855839688961613E-2</v>
      </c>
      <c r="D122" s="102">
        <v>0.93306783318076447</v>
      </c>
      <c r="E122" s="103">
        <v>0.81802637968826053</v>
      </c>
    </row>
    <row r="123" spans="2:5" x14ac:dyDescent="0.3">
      <c r="B123" s="101">
        <f t="shared" si="9"/>
        <v>76</v>
      </c>
      <c r="C123" s="102">
        <v>5.3005204883547694E-2</v>
      </c>
      <c r="D123" s="102">
        <v>1.0682252618953181</v>
      </c>
      <c r="E123" s="103">
        <v>0.81769821710378154</v>
      </c>
    </row>
    <row r="124" spans="2:5" x14ac:dyDescent="0.3">
      <c r="B124" s="101">
        <f t="shared" si="9"/>
        <v>77</v>
      </c>
      <c r="C124" s="102">
        <v>4.0645007107135152E-2</v>
      </c>
      <c r="D124" s="102">
        <v>0.91301324532773731</v>
      </c>
      <c r="E124" s="103">
        <v>1.004020794883062</v>
      </c>
    </row>
    <row r="125" spans="2:5" x14ac:dyDescent="0.3">
      <c r="B125" s="101">
        <f t="shared" si="9"/>
        <v>78</v>
      </c>
      <c r="C125" s="102">
        <v>4.363773982557681E-2</v>
      </c>
      <c r="D125" s="102">
        <v>1.0484510704906969</v>
      </c>
      <c r="E125" s="103">
        <v>1.1470050854223508</v>
      </c>
    </row>
    <row r="126" spans="2:5" x14ac:dyDescent="0.3">
      <c r="B126" s="101">
        <f t="shared" si="9"/>
        <v>79</v>
      </c>
      <c r="C126" s="102">
        <v>4.0182273742064747E-2</v>
      </c>
      <c r="D126" s="102">
        <v>1.0886617809007562</v>
      </c>
      <c r="E126" s="103">
        <v>1.1674557982129705</v>
      </c>
    </row>
    <row r="127" spans="2:5" x14ac:dyDescent="0.3">
      <c r="B127" s="101">
        <f t="shared" si="9"/>
        <v>80</v>
      </c>
      <c r="C127" s="102">
        <v>3.8571204911605532E-2</v>
      </c>
      <c r="D127" s="102">
        <v>1.0799425766778572</v>
      </c>
      <c r="E127" s="103">
        <v>1.161322559362183</v>
      </c>
    </row>
    <row r="128" spans="2:5" x14ac:dyDescent="0.3">
      <c r="B128" s="101">
        <f t="shared" si="9"/>
        <v>81</v>
      </c>
      <c r="C128" s="102">
        <v>4.8063179807943661E-2</v>
      </c>
      <c r="D128" s="102">
        <v>1.0718410161919401</v>
      </c>
      <c r="E128" s="103">
        <v>1.1919576707151789</v>
      </c>
    </row>
    <row r="129" spans="2:5" x14ac:dyDescent="0.3">
      <c r="B129" s="101">
        <f t="shared" si="9"/>
        <v>82</v>
      </c>
      <c r="C129" s="102">
        <v>3.859348728587398E-2</v>
      </c>
      <c r="D129" s="102">
        <v>1.0072090889497085</v>
      </c>
      <c r="E129" s="103">
        <v>1.1109915956572949</v>
      </c>
    </row>
    <row r="130" spans="2:5" x14ac:dyDescent="0.3">
      <c r="B130" s="101">
        <f t="shared" si="9"/>
        <v>83</v>
      </c>
      <c r="C130" s="102">
        <v>3.0433054841175824E-2</v>
      </c>
      <c r="D130" s="102">
        <v>1.0643910585730971</v>
      </c>
      <c r="E130" s="103">
        <v>1.0491456727073329</v>
      </c>
    </row>
    <row r="131" spans="2:5" x14ac:dyDescent="0.3">
      <c r="B131" s="101">
        <f t="shared" si="9"/>
        <v>84</v>
      </c>
      <c r="C131" s="102">
        <v>3.2555890151146342E-2</v>
      </c>
      <c r="D131" s="102">
        <v>0.94245814381862292</v>
      </c>
      <c r="E131" s="103">
        <v>1.0850591763746411</v>
      </c>
    </row>
    <row r="132" spans="2:5" x14ac:dyDescent="0.3">
      <c r="B132" s="101">
        <f t="shared" si="9"/>
        <v>85</v>
      </c>
      <c r="C132" s="102">
        <v>4.4715238655925499E-2</v>
      </c>
      <c r="D132" s="102">
        <v>0.98486573609840034</v>
      </c>
      <c r="E132" s="103">
        <v>0.93652370973520827</v>
      </c>
    </row>
    <row r="133" spans="2:5" x14ac:dyDescent="0.3">
      <c r="B133" s="101">
        <f t="shared" si="9"/>
        <v>86</v>
      </c>
      <c r="C133" s="102">
        <v>4.7773569164489563E-2</v>
      </c>
      <c r="D133" s="102">
        <v>1.0963422319485407</v>
      </c>
      <c r="E133" s="103">
        <v>1.0148254196753626</v>
      </c>
    </row>
    <row r="134" spans="2:5" x14ac:dyDescent="0.3">
      <c r="B134" s="101">
        <f t="shared" si="9"/>
        <v>87</v>
      </c>
      <c r="C134" s="102">
        <v>3.8804492328733856E-2</v>
      </c>
      <c r="D134" s="102">
        <v>0.95910053946696228</v>
      </c>
      <c r="E134" s="103">
        <v>1.1691978730631032</v>
      </c>
    </row>
    <row r="135" spans="2:5" x14ac:dyDescent="0.3">
      <c r="B135" s="101">
        <f t="shared" si="9"/>
        <v>88</v>
      </c>
      <c r="C135" s="102">
        <v>5.2435615625595469E-2</v>
      </c>
      <c r="D135" s="102">
        <v>1.0967371647702091</v>
      </c>
      <c r="E135" s="103">
        <v>0.84708450273078639</v>
      </c>
    </row>
    <row r="136" spans="2:5" x14ac:dyDescent="0.3">
      <c r="B136" s="101">
        <f t="shared" si="9"/>
        <v>89</v>
      </c>
      <c r="C136" s="102">
        <v>3.5475766401293483E-2</v>
      </c>
      <c r="D136" s="102">
        <v>1.0763806476026754</v>
      </c>
      <c r="E136" s="103">
        <v>0.87585406637005958</v>
      </c>
    </row>
    <row r="137" spans="2:5" x14ac:dyDescent="0.3">
      <c r="B137" s="101">
        <f t="shared" si="9"/>
        <v>90</v>
      </c>
      <c r="C137" s="102">
        <v>4.7098104863757997E-2</v>
      </c>
      <c r="D137" s="102">
        <v>1.0942180291520271</v>
      </c>
      <c r="E137" s="103">
        <v>1.1848480197195368</v>
      </c>
    </row>
    <row r="138" spans="2:5" x14ac:dyDescent="0.3">
      <c r="B138" s="101">
        <f t="shared" si="9"/>
        <v>91</v>
      </c>
      <c r="C138" s="102">
        <v>4.7054759769420737E-2</v>
      </c>
      <c r="D138" s="102">
        <v>1.0910416131313037</v>
      </c>
      <c r="E138" s="103">
        <v>0.95274801827251387</v>
      </c>
    </row>
    <row r="139" spans="2:5" x14ac:dyDescent="0.3">
      <c r="B139" s="101">
        <f t="shared" si="9"/>
        <v>92</v>
      </c>
      <c r="C139" s="102">
        <v>2.5023856885356126E-2</v>
      </c>
      <c r="D139" s="102">
        <v>0.90364755705679645</v>
      </c>
      <c r="E139" s="103">
        <v>0.88518286953866332</v>
      </c>
    </row>
    <row r="140" spans="2:5" x14ac:dyDescent="0.3">
      <c r="B140" s="101">
        <f t="shared" si="9"/>
        <v>93</v>
      </c>
      <c r="C140" s="102">
        <v>4.3801645174464707E-2</v>
      </c>
      <c r="D140" s="102">
        <v>1.0981482353908634</v>
      </c>
      <c r="E140" s="103">
        <v>1.0665478214855071</v>
      </c>
    </row>
    <row r="141" spans="2:5" x14ac:dyDescent="0.3">
      <c r="B141" s="101">
        <f t="shared" si="9"/>
        <v>94</v>
      </c>
      <c r="C141" s="102">
        <v>5.3424842973060459E-2</v>
      </c>
      <c r="D141" s="102">
        <v>1.0112032497017727</v>
      </c>
      <c r="E141" s="103">
        <v>0.80964681858953003</v>
      </c>
    </row>
    <row r="142" spans="2:5" x14ac:dyDescent="0.3">
      <c r="B142" s="101">
        <f t="shared" si="9"/>
        <v>95</v>
      </c>
      <c r="C142" s="102">
        <v>2.879651798055391E-2</v>
      </c>
      <c r="D142" s="102">
        <v>1.0809664774324117</v>
      </c>
      <c r="E142" s="103">
        <v>0.84921594607540429</v>
      </c>
    </row>
    <row r="143" spans="2:5" x14ac:dyDescent="0.3">
      <c r="B143" s="101">
        <f t="shared" si="9"/>
        <v>96</v>
      </c>
      <c r="C143" s="102">
        <v>5.2136419162685715E-2</v>
      </c>
      <c r="D143" s="102">
        <v>1.0185103443612911</v>
      </c>
      <c r="E143" s="103">
        <v>1.0434596440704733</v>
      </c>
    </row>
    <row r="144" spans="2:5" x14ac:dyDescent="0.3">
      <c r="B144" s="101">
        <f t="shared" si="9"/>
        <v>97</v>
      </c>
      <c r="C144" s="102">
        <v>3.7971657298141677E-2</v>
      </c>
      <c r="D144" s="102">
        <v>0.92033478544602088</v>
      </c>
      <c r="E144" s="103">
        <v>0.93204363306816496</v>
      </c>
    </row>
    <row r="145" spans="2:5" x14ac:dyDescent="0.3">
      <c r="B145" s="101">
        <f t="shared" si="9"/>
        <v>98</v>
      </c>
      <c r="C145" s="102">
        <v>2.7831870325477584E-2</v>
      </c>
      <c r="D145" s="102">
        <v>0.91501852956654761</v>
      </c>
      <c r="E145" s="103">
        <v>0.97295141461166212</v>
      </c>
    </row>
    <row r="146" spans="2:5" x14ac:dyDescent="0.3">
      <c r="B146" s="101">
        <f t="shared" si="9"/>
        <v>99</v>
      </c>
      <c r="C146" s="102">
        <v>3.7377769890602597E-2</v>
      </c>
      <c r="D146" s="102">
        <v>1.0530951227130358</v>
      </c>
      <c r="E146" s="103">
        <v>1.1027915474426206</v>
      </c>
    </row>
    <row r="147" spans="2:5" x14ac:dyDescent="0.3">
      <c r="B147" s="101">
        <f t="shared" si="9"/>
        <v>100</v>
      </c>
      <c r="C147" s="102">
        <v>3.6961641419638508E-2</v>
      </c>
      <c r="D147" s="102">
        <v>0.90893223209968288</v>
      </c>
      <c r="E147" s="103">
        <v>1.1837201789360492</v>
      </c>
    </row>
    <row r="148" spans="2:5" x14ac:dyDescent="0.3">
      <c r="B148" s="101">
        <f t="shared" si="9"/>
        <v>101</v>
      </c>
      <c r="C148" s="102">
        <v>2.850875165667837E-2</v>
      </c>
      <c r="D148" s="102">
        <v>1.0397475080866281</v>
      </c>
      <c r="E148" s="103">
        <v>1.1134321432698255</v>
      </c>
    </row>
    <row r="149" spans="2:5" x14ac:dyDescent="0.3">
      <c r="B149" s="101">
        <f t="shared" si="9"/>
        <v>102</v>
      </c>
      <c r="C149" s="102">
        <v>5.0048562477630981E-2</v>
      </c>
      <c r="D149" s="102">
        <v>1.0420079024246964</v>
      </c>
      <c r="E149" s="103">
        <v>0.87543191707108858</v>
      </c>
    </row>
    <row r="150" spans="2:5" x14ac:dyDescent="0.3">
      <c r="B150" s="101">
        <f t="shared" si="9"/>
        <v>103</v>
      </c>
      <c r="C150" s="102">
        <v>3.3307389996350995E-2</v>
      </c>
      <c r="D150" s="102">
        <v>0.93636494741240317</v>
      </c>
      <c r="E150" s="103">
        <v>0.90318630339928263</v>
      </c>
    </row>
    <row r="151" spans="2:5" x14ac:dyDescent="0.3">
      <c r="B151" s="101">
        <f t="shared" si="9"/>
        <v>104</v>
      </c>
      <c r="C151" s="102">
        <v>5.0432448891643264E-2</v>
      </c>
      <c r="D151" s="102">
        <v>0.94505658735622733</v>
      </c>
      <c r="E151" s="103">
        <v>1.1442870572854542</v>
      </c>
    </row>
    <row r="152" spans="2:5" x14ac:dyDescent="0.3">
      <c r="B152" s="101">
        <f t="shared" si="9"/>
        <v>105</v>
      </c>
      <c r="C152" s="102">
        <v>4.7619134966615913E-2</v>
      </c>
      <c r="D152" s="102">
        <v>0.97644004907519621</v>
      </c>
      <c r="E152" s="103">
        <v>1.0106351900758967</v>
      </c>
    </row>
    <row r="153" spans="2:5" x14ac:dyDescent="0.3">
      <c r="B153" s="101">
        <f t="shared" si="9"/>
        <v>106</v>
      </c>
      <c r="C153" s="102">
        <v>3.5650365210842118E-2</v>
      </c>
      <c r="D153" s="102">
        <v>0.94016585679242393</v>
      </c>
      <c r="E153" s="103">
        <v>1.1402617686340613</v>
      </c>
    </row>
    <row r="154" spans="2:5" x14ac:dyDescent="0.3">
      <c r="B154" s="101">
        <f t="shared" si="9"/>
        <v>107</v>
      </c>
      <c r="C154" s="102">
        <v>4.1559496828165669E-2</v>
      </c>
      <c r="D154" s="102">
        <v>1.0354090414416193</v>
      </c>
      <c r="E154" s="103">
        <v>1.0794064736283842</v>
      </c>
    </row>
    <row r="155" spans="2:5" x14ac:dyDescent="0.3">
      <c r="B155" s="101">
        <f t="shared" si="9"/>
        <v>108</v>
      </c>
      <c r="C155" s="102">
        <v>4.80378852698072E-2</v>
      </c>
      <c r="D155" s="102">
        <v>0.90384569192400566</v>
      </c>
      <c r="E155" s="103">
        <v>1.1612526107534589</v>
      </c>
    </row>
    <row r="156" spans="2:5" x14ac:dyDescent="0.3">
      <c r="B156" s="101">
        <f t="shared" si="9"/>
        <v>109</v>
      </c>
      <c r="C156" s="102">
        <v>3.4695847810767386E-2</v>
      </c>
      <c r="D156" s="102">
        <v>0.96620684968116199</v>
      </c>
      <c r="E156" s="103">
        <v>0.86192981474018404</v>
      </c>
    </row>
    <row r="157" spans="2:5" x14ac:dyDescent="0.3">
      <c r="B157" s="101">
        <f t="shared" si="9"/>
        <v>110</v>
      </c>
      <c r="C157" s="102">
        <v>4.4469916228015938E-2</v>
      </c>
      <c r="D157" s="102">
        <v>1.0210543270175125</v>
      </c>
      <c r="E157" s="103">
        <v>0.9096256725766293</v>
      </c>
    </row>
    <row r="158" spans="2:5" x14ac:dyDescent="0.3">
      <c r="B158" s="101">
        <f t="shared" si="9"/>
        <v>111</v>
      </c>
      <c r="C158" s="102">
        <v>5.2060687701830109E-2</v>
      </c>
      <c r="D158" s="102">
        <v>1.0804366106242447</v>
      </c>
      <c r="E158" s="103">
        <v>1.1421819578610677</v>
      </c>
    </row>
    <row r="159" spans="2:5" x14ac:dyDescent="0.3">
      <c r="B159" s="101">
        <f t="shared" si="9"/>
        <v>112</v>
      </c>
      <c r="C159" s="102">
        <v>5.2227149724793129E-2</v>
      </c>
      <c r="D159" s="102">
        <v>0.92867925332868273</v>
      </c>
      <c r="E159" s="103">
        <v>1.0209818322112914</v>
      </c>
    </row>
    <row r="160" spans="2:5" x14ac:dyDescent="0.3">
      <c r="B160" s="101">
        <f t="shared" si="9"/>
        <v>113</v>
      </c>
      <c r="C160" s="102">
        <v>3.2702014241549948E-2</v>
      </c>
      <c r="D160" s="102">
        <v>0.99765659029392928</v>
      </c>
      <c r="E160" s="103">
        <v>0.81701917450753525</v>
      </c>
    </row>
    <row r="161" spans="2:5" x14ac:dyDescent="0.3">
      <c r="B161" s="101">
        <f t="shared" si="9"/>
        <v>114</v>
      </c>
      <c r="C161" s="102">
        <v>4.227224383464883E-2</v>
      </c>
      <c r="D161" s="102">
        <v>1.0979679725885994</v>
      </c>
      <c r="E161" s="103">
        <v>0.97626371940125589</v>
      </c>
    </row>
    <row r="162" spans="2:5" x14ac:dyDescent="0.3">
      <c r="B162" s="101">
        <f t="shared" si="9"/>
        <v>115</v>
      </c>
      <c r="C162" s="102">
        <v>5.3600524311823453E-2</v>
      </c>
      <c r="D162" s="102">
        <v>1.0524311692537718</v>
      </c>
      <c r="E162" s="103">
        <v>1.0052633129853874</v>
      </c>
    </row>
    <row r="163" spans="2:5" x14ac:dyDescent="0.3">
      <c r="B163" s="101">
        <f t="shared" si="9"/>
        <v>116</v>
      </c>
      <c r="C163" s="102">
        <v>5.049571334441897E-2</v>
      </c>
      <c r="D163" s="102">
        <v>1.0542181047668659</v>
      </c>
      <c r="E163" s="103">
        <v>0.83048830059905787</v>
      </c>
    </row>
    <row r="164" spans="2:5" x14ac:dyDescent="0.3">
      <c r="B164" s="101">
        <f t="shared" si="9"/>
        <v>117</v>
      </c>
      <c r="C164" s="102">
        <v>3.5440269138452114E-2</v>
      </c>
      <c r="D164" s="102">
        <v>1.0994955812564773</v>
      </c>
      <c r="E164" s="103">
        <v>0.84984216939487911</v>
      </c>
    </row>
    <row r="165" spans="2:5" x14ac:dyDescent="0.3">
      <c r="B165" s="101">
        <f t="shared" si="9"/>
        <v>118</v>
      </c>
      <c r="C165" s="102">
        <v>2.6672129918958162E-2</v>
      </c>
      <c r="D165" s="102">
        <v>1.0686665203141408</v>
      </c>
      <c r="E165" s="103">
        <v>0.95270389349889895</v>
      </c>
    </row>
    <row r="166" spans="2:5" x14ac:dyDescent="0.3">
      <c r="B166" s="101">
        <f t="shared" si="9"/>
        <v>119</v>
      </c>
      <c r="C166" s="102">
        <v>3.9047588538810483E-2</v>
      </c>
      <c r="D166" s="102">
        <v>1.0343321880522518</v>
      </c>
      <c r="E166" s="103">
        <v>1.0958741784485129</v>
      </c>
    </row>
    <row r="167" spans="2:5" x14ac:dyDescent="0.3">
      <c r="B167" s="101">
        <f t="shared" si="9"/>
        <v>120</v>
      </c>
      <c r="C167" s="102">
        <v>2.8145249365566186E-2</v>
      </c>
      <c r="D167" s="102">
        <v>0.97307632497263397</v>
      </c>
      <c r="E167" s="103">
        <v>1.1789738181171159</v>
      </c>
    </row>
    <row r="168" spans="2:5" x14ac:dyDescent="0.3">
      <c r="B168" s="101">
        <f t="shared" si="9"/>
        <v>121</v>
      </c>
      <c r="C168" s="102">
        <v>3.1529321678346045E-2</v>
      </c>
      <c r="D168" s="102">
        <v>0.91855676654810836</v>
      </c>
      <c r="E168" s="103">
        <v>0.95390996485206925</v>
      </c>
    </row>
    <row r="169" spans="2:5" x14ac:dyDescent="0.3">
      <c r="B169" s="101">
        <f t="shared" si="9"/>
        <v>122</v>
      </c>
      <c r="C169" s="102">
        <v>3.2168370315813155E-2</v>
      </c>
      <c r="D169" s="102">
        <v>1.0614664387801671</v>
      </c>
      <c r="E169" s="103">
        <v>1.1722017907213031</v>
      </c>
    </row>
    <row r="170" spans="2:5" x14ac:dyDescent="0.3">
      <c r="B170" s="101">
        <f t="shared" si="9"/>
        <v>123</v>
      </c>
      <c r="C170" s="102">
        <v>3.9577143867015552E-2</v>
      </c>
      <c r="D170" s="102">
        <v>0.96870174792797326</v>
      </c>
      <c r="E170" s="103">
        <v>0.80709654685397625</v>
      </c>
    </row>
    <row r="171" spans="2:5" x14ac:dyDescent="0.3">
      <c r="B171" s="101">
        <f t="shared" si="9"/>
        <v>124</v>
      </c>
      <c r="C171" s="102">
        <v>5.0604494375494614E-2</v>
      </c>
      <c r="D171" s="102">
        <v>1.0694375403844965</v>
      </c>
      <c r="E171" s="103">
        <v>1.1423523829304369</v>
      </c>
    </row>
    <row r="172" spans="2:5" x14ac:dyDescent="0.3">
      <c r="B172" s="101">
        <f t="shared" si="9"/>
        <v>125</v>
      </c>
      <c r="C172" s="102">
        <v>3.21735612185872E-2</v>
      </c>
      <c r="D172" s="102">
        <v>0.93629433798461503</v>
      </c>
      <c r="E172" s="103">
        <v>0.95139601475963498</v>
      </c>
    </row>
    <row r="173" spans="2:5" x14ac:dyDescent="0.3">
      <c r="B173" s="101">
        <f t="shared" si="9"/>
        <v>126</v>
      </c>
      <c r="C173" s="102">
        <v>2.606990038525811E-2</v>
      </c>
      <c r="D173" s="102">
        <v>1.0455153200253133</v>
      </c>
      <c r="E173" s="103">
        <v>1.0786393914247845</v>
      </c>
    </row>
    <row r="174" spans="2:5" x14ac:dyDescent="0.3">
      <c r="B174" s="101">
        <f t="shared" si="9"/>
        <v>127</v>
      </c>
      <c r="C174" s="102">
        <v>4.0174582274169618E-2</v>
      </c>
      <c r="D174" s="102">
        <v>0.94791337230804573</v>
      </c>
      <c r="E174" s="103">
        <v>1.1859962496838015</v>
      </c>
    </row>
    <row r="175" spans="2:5" x14ac:dyDescent="0.3">
      <c r="B175" s="101">
        <f t="shared" si="9"/>
        <v>128</v>
      </c>
      <c r="C175" s="102">
        <v>3.6296405903771381E-2</v>
      </c>
      <c r="D175" s="102">
        <v>0.92910239175683917</v>
      </c>
      <c r="E175" s="103">
        <v>0.92456397501999898</v>
      </c>
    </row>
    <row r="176" spans="2:5" x14ac:dyDescent="0.3">
      <c r="B176" s="101">
        <f t="shared" si="9"/>
        <v>129</v>
      </c>
      <c r="C176" s="102">
        <v>4.2015753616205541E-2</v>
      </c>
      <c r="D176" s="102">
        <v>0.93862788048413393</v>
      </c>
      <c r="E176" s="103">
        <v>0.99959979610373995</v>
      </c>
    </row>
    <row r="177" spans="2:5" x14ac:dyDescent="0.3">
      <c r="B177" s="101">
        <f t="shared" si="9"/>
        <v>130</v>
      </c>
      <c r="C177" s="102">
        <v>3.5743677662880516E-2</v>
      </c>
      <c r="D177" s="102">
        <v>0.95037749541080641</v>
      </c>
      <c r="E177" s="103">
        <v>1.0837721414083512</v>
      </c>
    </row>
    <row r="178" spans="2:5" x14ac:dyDescent="0.3">
      <c r="B178" s="101">
        <f t="shared" ref="B178:B241" si="10">B177+1</f>
        <v>131</v>
      </c>
      <c r="C178" s="102">
        <v>3.8651617120857247E-2</v>
      </c>
      <c r="D178" s="102">
        <v>1.0948667990427985</v>
      </c>
      <c r="E178" s="103">
        <v>0.83792449405635983</v>
      </c>
    </row>
    <row r="179" spans="2:5" x14ac:dyDescent="0.3">
      <c r="B179" s="101">
        <f t="shared" si="10"/>
        <v>132</v>
      </c>
      <c r="C179" s="102">
        <v>2.9777974944682525E-2</v>
      </c>
      <c r="D179" s="102">
        <v>0.9914811496616639</v>
      </c>
      <c r="E179" s="103">
        <v>0.93421737532948934</v>
      </c>
    </row>
    <row r="180" spans="2:5" x14ac:dyDescent="0.3">
      <c r="B180" s="101">
        <f t="shared" si="10"/>
        <v>133</v>
      </c>
      <c r="C180" s="102">
        <v>3.9755835294498484E-2</v>
      </c>
      <c r="D180" s="102">
        <v>1.0657990557290411</v>
      </c>
      <c r="E180" s="103">
        <v>1.183793473465528</v>
      </c>
    </row>
    <row r="181" spans="2:5" x14ac:dyDescent="0.3">
      <c r="B181" s="101">
        <f t="shared" si="10"/>
        <v>134</v>
      </c>
      <c r="C181" s="102">
        <v>5.1123943464497473E-2</v>
      </c>
      <c r="D181" s="102">
        <v>0.96702038799104351</v>
      </c>
      <c r="E181" s="103">
        <v>0.80051232579168408</v>
      </c>
    </row>
    <row r="182" spans="2:5" x14ac:dyDescent="0.3">
      <c r="B182" s="101">
        <f t="shared" si="10"/>
        <v>135</v>
      </c>
      <c r="C182" s="102">
        <v>2.7347170028970767E-2</v>
      </c>
      <c r="D182" s="102">
        <v>1.0907537997293211</v>
      </c>
      <c r="E182" s="103">
        <v>0.91762627020061349</v>
      </c>
    </row>
    <row r="183" spans="2:5" x14ac:dyDescent="0.3">
      <c r="B183" s="101">
        <f t="shared" si="10"/>
        <v>136</v>
      </c>
      <c r="C183" s="102">
        <v>4.1197939790501778E-2</v>
      </c>
      <c r="D183" s="102">
        <v>0.97494769795454128</v>
      </c>
      <c r="E183" s="103">
        <v>1.1415409247161565</v>
      </c>
    </row>
    <row r="184" spans="2:5" x14ac:dyDescent="0.3">
      <c r="B184" s="101">
        <f t="shared" si="10"/>
        <v>137</v>
      </c>
      <c r="C184" s="102">
        <v>4.0735460144031004E-2</v>
      </c>
      <c r="D184" s="102">
        <v>1.0827178054130999</v>
      </c>
      <c r="E184" s="103">
        <v>1.1343925070250078</v>
      </c>
    </row>
    <row r="185" spans="2:5" x14ac:dyDescent="0.3">
      <c r="B185" s="101">
        <f t="shared" si="10"/>
        <v>138</v>
      </c>
      <c r="C185" s="102">
        <v>5.0349498107493229E-2</v>
      </c>
      <c r="D185" s="102">
        <v>1.032002974484217</v>
      </c>
      <c r="E185" s="103">
        <v>1.0562724930138307</v>
      </c>
    </row>
    <row r="186" spans="2:5" x14ac:dyDescent="0.3">
      <c r="B186" s="101">
        <f t="shared" si="10"/>
        <v>139</v>
      </c>
      <c r="C186" s="102">
        <v>3.8100380701140801E-2</v>
      </c>
      <c r="D186" s="102">
        <v>0.99985229487333305</v>
      </c>
      <c r="E186" s="103">
        <v>0.82520007276932861</v>
      </c>
    </row>
    <row r="187" spans="2:5" x14ac:dyDescent="0.3">
      <c r="B187" s="101">
        <f t="shared" si="10"/>
        <v>140</v>
      </c>
      <c r="C187" s="102">
        <v>3.8181336878118005E-2</v>
      </c>
      <c r="D187" s="102">
        <v>1.0813033676271364</v>
      </c>
      <c r="E187" s="103">
        <v>0.86199126849533314</v>
      </c>
    </row>
    <row r="188" spans="2:5" x14ac:dyDescent="0.3">
      <c r="B188" s="101">
        <f t="shared" si="10"/>
        <v>141</v>
      </c>
      <c r="C188" s="102">
        <v>2.8697738102314123E-2</v>
      </c>
      <c r="D188" s="102">
        <v>1.0712278056955622</v>
      </c>
      <c r="E188" s="103">
        <v>0.87771626294381044</v>
      </c>
    </row>
    <row r="189" spans="2:5" x14ac:dyDescent="0.3">
      <c r="B189" s="101">
        <f t="shared" si="10"/>
        <v>142</v>
      </c>
      <c r="C189" s="102">
        <v>3.3667233911393923E-2</v>
      </c>
      <c r="D189" s="102">
        <v>1.0045300419899348</v>
      </c>
      <c r="E189" s="103">
        <v>1.0707817873803298</v>
      </c>
    </row>
    <row r="190" spans="2:5" x14ac:dyDescent="0.3">
      <c r="B190" s="101">
        <f t="shared" si="10"/>
        <v>143</v>
      </c>
      <c r="C190" s="102">
        <v>2.53234118008781E-2</v>
      </c>
      <c r="D190" s="102">
        <v>0.93559278611099261</v>
      </c>
      <c r="E190" s="103">
        <v>0.86093975827633962</v>
      </c>
    </row>
    <row r="191" spans="2:5" x14ac:dyDescent="0.3">
      <c r="B191" s="101">
        <f t="shared" si="10"/>
        <v>144</v>
      </c>
      <c r="C191" s="102">
        <v>5.4089213684545473E-2</v>
      </c>
      <c r="D191" s="102">
        <v>0.90963284735723104</v>
      </c>
      <c r="E191" s="103">
        <v>1.0818719496642457</v>
      </c>
    </row>
    <row r="192" spans="2:5" x14ac:dyDescent="0.3">
      <c r="B192" s="101">
        <f t="shared" si="10"/>
        <v>145</v>
      </c>
      <c r="C192" s="102">
        <v>2.8242143131759368E-2</v>
      </c>
      <c r="D192" s="102">
        <v>0.92611394124264668</v>
      </c>
      <c r="E192" s="103">
        <v>0.87589187109103295</v>
      </c>
    </row>
    <row r="193" spans="2:5" x14ac:dyDescent="0.3">
      <c r="B193" s="101">
        <f t="shared" si="10"/>
        <v>146</v>
      </c>
      <c r="C193" s="102">
        <v>3.2030722791514497E-2</v>
      </c>
      <c r="D193" s="102">
        <v>0.96385890595760304</v>
      </c>
      <c r="E193" s="103">
        <v>1.0053759777304871</v>
      </c>
    </row>
    <row r="194" spans="2:5" x14ac:dyDescent="0.3">
      <c r="B194" s="101">
        <f t="shared" si="10"/>
        <v>147</v>
      </c>
      <c r="C194" s="102">
        <v>4.3256375351716114E-2</v>
      </c>
      <c r="D194" s="102">
        <v>1.0250536515232964</v>
      </c>
      <c r="E194" s="103">
        <v>0.85140839732313167</v>
      </c>
    </row>
    <row r="195" spans="2:5" x14ac:dyDescent="0.3">
      <c r="B195" s="101">
        <f t="shared" si="10"/>
        <v>148</v>
      </c>
      <c r="C195" s="102">
        <v>2.8425729468783498E-2</v>
      </c>
      <c r="D195" s="102">
        <v>0.96645772201068925</v>
      </c>
      <c r="E195" s="103">
        <v>1.1775997419393156</v>
      </c>
    </row>
    <row r="196" spans="2:5" x14ac:dyDescent="0.3">
      <c r="B196" s="101">
        <f t="shared" si="10"/>
        <v>149</v>
      </c>
      <c r="C196" s="102">
        <v>4.8285709224768755E-2</v>
      </c>
      <c r="D196" s="102">
        <v>1.0574699140082537</v>
      </c>
      <c r="E196" s="103">
        <v>1.1068720050642755</v>
      </c>
    </row>
    <row r="197" spans="2:5" x14ac:dyDescent="0.3">
      <c r="B197" s="101">
        <f t="shared" si="10"/>
        <v>150</v>
      </c>
      <c r="C197" s="102">
        <v>3.8880458750050445E-2</v>
      </c>
      <c r="D197" s="102">
        <v>1.0747839321207024</v>
      </c>
      <c r="E197" s="103">
        <v>0.96498708002793676</v>
      </c>
    </row>
    <row r="198" spans="2:5" x14ac:dyDescent="0.3">
      <c r="B198" s="101">
        <f t="shared" si="10"/>
        <v>151</v>
      </c>
      <c r="C198" s="102">
        <v>2.9367081581368769E-2</v>
      </c>
      <c r="D198" s="102">
        <v>0.9467901412642189</v>
      </c>
      <c r="E198" s="103">
        <v>1.0820954434413146</v>
      </c>
    </row>
    <row r="199" spans="2:5" x14ac:dyDescent="0.3">
      <c r="B199" s="101">
        <f t="shared" si="10"/>
        <v>152</v>
      </c>
      <c r="C199" s="102">
        <v>3.5472017096650724E-2</v>
      </c>
      <c r="D199" s="102">
        <v>1.0382654640724163</v>
      </c>
      <c r="E199" s="103">
        <v>1.1592138916177817</v>
      </c>
    </row>
    <row r="200" spans="2:5" x14ac:dyDescent="0.3">
      <c r="B200" s="101">
        <f t="shared" si="10"/>
        <v>153</v>
      </c>
      <c r="C200" s="102">
        <v>4.2966876209259812E-2</v>
      </c>
      <c r="D200" s="102">
        <v>1.0734310455227367</v>
      </c>
      <c r="E200" s="103">
        <v>0.82632285698149444</v>
      </c>
    </row>
    <row r="201" spans="2:5" x14ac:dyDescent="0.3">
      <c r="B201" s="101">
        <f t="shared" si="10"/>
        <v>154</v>
      </c>
      <c r="C201" s="102">
        <v>3.8970275651482929E-2</v>
      </c>
      <c r="D201" s="102">
        <v>1.095566155234293</v>
      </c>
      <c r="E201" s="103">
        <v>0.96367694332205733</v>
      </c>
    </row>
    <row r="202" spans="2:5" x14ac:dyDescent="0.3">
      <c r="B202" s="101">
        <f t="shared" si="10"/>
        <v>155</v>
      </c>
      <c r="C202" s="102">
        <v>4.3440862984463924E-2</v>
      </c>
      <c r="D202" s="102">
        <v>1.0157690020306964</v>
      </c>
      <c r="E202" s="103">
        <v>1.0382794558116937</v>
      </c>
    </row>
    <row r="203" spans="2:5" x14ac:dyDescent="0.3">
      <c r="B203" s="101">
        <f t="shared" si="10"/>
        <v>156</v>
      </c>
      <c r="C203" s="102">
        <v>4.4776576822143824E-2</v>
      </c>
      <c r="D203" s="102">
        <v>1.0902521763863449</v>
      </c>
      <c r="E203" s="103">
        <v>0.85874831927257156</v>
      </c>
    </row>
    <row r="204" spans="2:5" x14ac:dyDescent="0.3">
      <c r="B204" s="101">
        <f t="shared" si="10"/>
        <v>157</v>
      </c>
      <c r="C204" s="102">
        <v>4.3980490737473239E-2</v>
      </c>
      <c r="D204" s="102">
        <v>0.96326350226685242</v>
      </c>
      <c r="E204" s="103">
        <v>1.1995903295714381</v>
      </c>
    </row>
    <row r="205" spans="2:5" x14ac:dyDescent="0.3">
      <c r="B205" s="101">
        <f t="shared" si="10"/>
        <v>158</v>
      </c>
      <c r="C205" s="102">
        <v>4.8630725740616748E-2</v>
      </c>
      <c r="D205" s="102">
        <v>1.0282534604875904</v>
      </c>
      <c r="E205" s="103">
        <v>0.86279166801448626</v>
      </c>
    </row>
    <row r="206" spans="2:5" x14ac:dyDescent="0.3">
      <c r="B206" s="101">
        <f t="shared" si="10"/>
        <v>159</v>
      </c>
      <c r="C206" s="102">
        <v>4.9382485124927017E-2</v>
      </c>
      <c r="D206" s="102">
        <v>1.0218110854445204</v>
      </c>
      <c r="E206" s="103">
        <v>1.1081911782353113</v>
      </c>
    </row>
    <row r="207" spans="2:5" x14ac:dyDescent="0.3">
      <c r="B207" s="101">
        <f t="shared" si="10"/>
        <v>160</v>
      </c>
      <c r="C207" s="102">
        <v>5.4425596232723361E-2</v>
      </c>
      <c r="D207" s="102">
        <v>0.92034276419498806</v>
      </c>
      <c r="E207" s="103">
        <v>1.1801368461596793</v>
      </c>
    </row>
    <row r="208" spans="2:5" x14ac:dyDescent="0.3">
      <c r="B208" s="101">
        <f t="shared" si="10"/>
        <v>161</v>
      </c>
      <c r="C208" s="102">
        <v>3.205892914462613E-2</v>
      </c>
      <c r="D208" s="102">
        <v>1.0409542897600434</v>
      </c>
      <c r="E208" s="103">
        <v>1.1766530216469138</v>
      </c>
    </row>
    <row r="209" spans="2:5" x14ac:dyDescent="0.3">
      <c r="B209" s="101">
        <f t="shared" si="10"/>
        <v>162</v>
      </c>
      <c r="C209" s="102">
        <v>5.4518819814362567E-2</v>
      </c>
      <c r="D209" s="102">
        <v>1.0575949172503596</v>
      </c>
      <c r="E209" s="103">
        <v>1.0282670767865667</v>
      </c>
    </row>
    <row r="210" spans="2:5" x14ac:dyDescent="0.3">
      <c r="B210" s="101">
        <f t="shared" si="10"/>
        <v>163</v>
      </c>
      <c r="C210" s="102">
        <v>4.0639572116567768E-2</v>
      </c>
      <c r="D210" s="102">
        <v>0.94130376435099039</v>
      </c>
      <c r="E210" s="103">
        <v>0.97399170205652241</v>
      </c>
    </row>
    <row r="211" spans="2:5" x14ac:dyDescent="0.3">
      <c r="B211" s="101">
        <f t="shared" si="10"/>
        <v>164</v>
      </c>
      <c r="C211" s="102">
        <v>5.1204680872299263E-2</v>
      </c>
      <c r="D211" s="102">
        <v>1.0525919850453107</v>
      </c>
      <c r="E211" s="103">
        <v>0.94938850795994734</v>
      </c>
    </row>
    <row r="212" spans="2:5" x14ac:dyDescent="0.3">
      <c r="B212" s="101">
        <f t="shared" si="10"/>
        <v>165</v>
      </c>
      <c r="C212" s="102">
        <v>5.4326962797997279E-2</v>
      </c>
      <c r="D212" s="102">
        <v>0.93039413944398597</v>
      </c>
      <c r="E212" s="103">
        <v>1.0993708130281377</v>
      </c>
    </row>
    <row r="213" spans="2:5" x14ac:dyDescent="0.3">
      <c r="B213" s="101">
        <f t="shared" si="10"/>
        <v>166</v>
      </c>
      <c r="C213" s="102">
        <v>3.8436882109503349E-2</v>
      </c>
      <c r="D213" s="102">
        <v>1.093315643443046</v>
      </c>
      <c r="E213" s="103">
        <v>1.0071386582324275</v>
      </c>
    </row>
    <row r="214" spans="2:5" x14ac:dyDescent="0.3">
      <c r="B214" s="101">
        <f t="shared" si="10"/>
        <v>167</v>
      </c>
      <c r="C214" s="102">
        <v>4.3285784464751183E-2</v>
      </c>
      <c r="D214" s="102">
        <v>0.9658527809296551</v>
      </c>
      <c r="E214" s="103">
        <v>1.0297498016482047</v>
      </c>
    </row>
    <row r="215" spans="2:5" x14ac:dyDescent="0.3">
      <c r="B215" s="101">
        <f t="shared" si="10"/>
        <v>168</v>
      </c>
      <c r="C215" s="102">
        <v>4.9188678708606583E-2</v>
      </c>
      <c r="D215" s="102">
        <v>0.93563216659100712</v>
      </c>
      <c r="E215" s="103">
        <v>0.9517074183566947</v>
      </c>
    </row>
    <row r="216" spans="2:5" x14ac:dyDescent="0.3">
      <c r="B216" s="101">
        <f t="shared" si="10"/>
        <v>169</v>
      </c>
      <c r="C216" s="102">
        <v>3.9898890933807885E-2</v>
      </c>
      <c r="D216" s="102">
        <v>1.0561996319595532</v>
      </c>
      <c r="E216" s="103">
        <v>0.91552477098512497</v>
      </c>
    </row>
    <row r="217" spans="2:5" x14ac:dyDescent="0.3">
      <c r="B217" s="101">
        <f t="shared" si="10"/>
        <v>170</v>
      </c>
      <c r="C217" s="102">
        <v>2.5590307025070431E-2</v>
      </c>
      <c r="D217" s="102">
        <v>1.0054335420129576</v>
      </c>
      <c r="E217" s="103">
        <v>0.91185148429492702</v>
      </c>
    </row>
    <row r="218" spans="2:5" x14ac:dyDescent="0.3">
      <c r="B218" s="101">
        <f t="shared" si="10"/>
        <v>171</v>
      </c>
      <c r="C218" s="102">
        <v>4.0328121805824312E-2</v>
      </c>
      <c r="D218" s="102">
        <v>0.94046090038522134</v>
      </c>
      <c r="E218" s="103">
        <v>1.1969950906435893</v>
      </c>
    </row>
    <row r="219" spans="2:5" x14ac:dyDescent="0.3">
      <c r="B219" s="101">
        <f t="shared" si="10"/>
        <v>172</v>
      </c>
      <c r="C219" s="102">
        <v>2.6174815292823547E-2</v>
      </c>
      <c r="D219" s="102">
        <v>0.949077983247401</v>
      </c>
      <c r="E219" s="103">
        <v>0.8831156869854061</v>
      </c>
    </row>
    <row r="220" spans="2:5" x14ac:dyDescent="0.3">
      <c r="B220" s="101">
        <f t="shared" si="10"/>
        <v>173</v>
      </c>
      <c r="C220" s="102">
        <v>4.4101505095458141E-2</v>
      </c>
      <c r="D220" s="102">
        <v>1.0545820309411884</v>
      </c>
      <c r="E220" s="103">
        <v>1.171752592795303</v>
      </c>
    </row>
    <row r="221" spans="2:5" x14ac:dyDescent="0.3">
      <c r="B221" s="101">
        <f t="shared" si="10"/>
        <v>174</v>
      </c>
      <c r="C221" s="102">
        <v>3.0278500846622786E-2</v>
      </c>
      <c r="D221" s="102">
        <v>0.98047571732916661</v>
      </c>
      <c r="E221" s="103">
        <v>1.069518134219434</v>
      </c>
    </row>
    <row r="222" spans="2:5" x14ac:dyDescent="0.3">
      <c r="B222" s="101">
        <f t="shared" si="10"/>
        <v>175</v>
      </c>
      <c r="C222" s="102">
        <v>3.7900739944325364E-2</v>
      </c>
      <c r="D222" s="102">
        <v>1.0274013546094305</v>
      </c>
      <c r="E222" s="103">
        <v>0.83822768556304339</v>
      </c>
    </row>
    <row r="223" spans="2:5" x14ac:dyDescent="0.3">
      <c r="B223" s="101">
        <f t="shared" si="10"/>
        <v>176</v>
      </c>
      <c r="C223" s="102">
        <v>5.330990715768151E-2</v>
      </c>
      <c r="D223" s="102">
        <v>0.90957722218651749</v>
      </c>
      <c r="E223" s="103">
        <v>1.1284009919847788</v>
      </c>
    </row>
    <row r="224" spans="2:5" x14ac:dyDescent="0.3">
      <c r="B224" s="101">
        <f t="shared" si="10"/>
        <v>177</v>
      </c>
      <c r="C224" s="102">
        <v>4.1333495761509485E-2</v>
      </c>
      <c r="D224" s="102">
        <v>1.0531018839481225</v>
      </c>
      <c r="E224" s="103">
        <v>1.0034606931669776</v>
      </c>
    </row>
    <row r="225" spans="2:5" x14ac:dyDescent="0.3">
      <c r="B225" s="101">
        <f t="shared" si="10"/>
        <v>178</v>
      </c>
      <c r="C225" s="102">
        <v>5.0418124834268746E-2</v>
      </c>
      <c r="D225" s="102">
        <v>0.93809380126064668</v>
      </c>
      <c r="E225" s="103">
        <v>1.0788450343095828</v>
      </c>
    </row>
    <row r="226" spans="2:5" x14ac:dyDescent="0.3">
      <c r="B226" s="101">
        <f t="shared" si="10"/>
        <v>179</v>
      </c>
      <c r="C226" s="102">
        <v>5.4243962024186007E-2</v>
      </c>
      <c r="D226" s="102">
        <v>1.0863630181999184</v>
      </c>
      <c r="E226" s="103">
        <v>1.1721800928152093</v>
      </c>
    </row>
    <row r="227" spans="2:5" x14ac:dyDescent="0.3">
      <c r="B227" s="101">
        <f t="shared" si="10"/>
        <v>180</v>
      </c>
      <c r="C227" s="102">
        <v>2.8127342103128207E-2</v>
      </c>
      <c r="D227" s="102">
        <v>1.0554807527235337</v>
      </c>
      <c r="E227" s="103">
        <v>0.94174607435064783</v>
      </c>
    </row>
    <row r="228" spans="2:5" x14ac:dyDescent="0.3">
      <c r="B228" s="101">
        <f t="shared" si="10"/>
        <v>181</v>
      </c>
      <c r="C228" s="102">
        <v>2.8805203310888941E-2</v>
      </c>
      <c r="D228" s="102">
        <v>1.0890926427290528</v>
      </c>
      <c r="E228" s="103">
        <v>0.82924709074583891</v>
      </c>
    </row>
    <row r="229" spans="2:5" x14ac:dyDescent="0.3">
      <c r="B229" s="101">
        <f t="shared" si="10"/>
        <v>182</v>
      </c>
      <c r="C229" s="102">
        <v>3.6637370944439702E-2</v>
      </c>
      <c r="D229" s="102">
        <v>1.0948647099766982</v>
      </c>
      <c r="E229" s="103">
        <v>1.0388977246385218</v>
      </c>
    </row>
    <row r="230" spans="2:5" x14ac:dyDescent="0.3">
      <c r="B230" s="101">
        <f t="shared" si="10"/>
        <v>183</v>
      </c>
      <c r="C230" s="102">
        <v>3.1920667711431983E-2</v>
      </c>
      <c r="D230" s="102">
        <v>0.94857520990805688</v>
      </c>
      <c r="E230" s="103">
        <v>0.9829550411594391</v>
      </c>
    </row>
    <row r="231" spans="2:5" x14ac:dyDescent="0.3">
      <c r="B231" s="101">
        <f t="shared" si="10"/>
        <v>184</v>
      </c>
      <c r="C231" s="102">
        <v>4.4677620608964366E-2</v>
      </c>
      <c r="D231" s="102">
        <v>0.97729311501969918</v>
      </c>
      <c r="E231" s="103">
        <v>0.91686891232426593</v>
      </c>
    </row>
    <row r="232" spans="2:5" x14ac:dyDescent="0.3">
      <c r="B232" s="101">
        <f t="shared" si="10"/>
        <v>185</v>
      </c>
      <c r="C232" s="102">
        <v>4.480424020996663E-2</v>
      </c>
      <c r="D232" s="102">
        <v>1.0066682195461634</v>
      </c>
      <c r="E232" s="103">
        <v>1.1815461506399314</v>
      </c>
    </row>
    <row r="233" spans="2:5" x14ac:dyDescent="0.3">
      <c r="B233" s="101">
        <f t="shared" si="10"/>
        <v>186</v>
      </c>
      <c r="C233" s="102">
        <v>4.8524808463822594E-2</v>
      </c>
      <c r="D233" s="102">
        <v>1.0270070108097313</v>
      </c>
      <c r="E233" s="103">
        <v>1.1183893278245749</v>
      </c>
    </row>
    <row r="234" spans="2:5" x14ac:dyDescent="0.3">
      <c r="B234" s="101">
        <f t="shared" si="10"/>
        <v>187</v>
      </c>
      <c r="C234" s="102">
        <v>3.7939392207732341E-2</v>
      </c>
      <c r="D234" s="102">
        <v>1.0955320902275012</v>
      </c>
      <c r="E234" s="103">
        <v>1.1132501056891941</v>
      </c>
    </row>
    <row r="235" spans="2:5" x14ac:dyDescent="0.3">
      <c r="B235" s="101">
        <f t="shared" si="10"/>
        <v>188</v>
      </c>
      <c r="C235" s="102">
        <v>5.2402721565347199E-2</v>
      </c>
      <c r="D235" s="102">
        <v>1.0907893382068101</v>
      </c>
      <c r="E235" s="103">
        <v>0.89169137419448274</v>
      </c>
    </row>
    <row r="236" spans="2:5" x14ac:dyDescent="0.3">
      <c r="B236" s="101">
        <f t="shared" si="10"/>
        <v>189</v>
      </c>
      <c r="C236" s="102">
        <v>5.038792771485838E-2</v>
      </c>
      <c r="D236" s="102">
        <v>0.97006735044424386</v>
      </c>
      <c r="E236" s="103">
        <v>1.0656035601624756</v>
      </c>
    </row>
    <row r="237" spans="2:5" x14ac:dyDescent="0.3">
      <c r="B237" s="101">
        <f t="shared" si="10"/>
        <v>190</v>
      </c>
      <c r="C237" s="102">
        <v>2.546578011324812E-2</v>
      </c>
      <c r="D237" s="102">
        <v>1.0700010063197345</v>
      </c>
      <c r="E237" s="103">
        <v>0.889333837556742</v>
      </c>
    </row>
    <row r="238" spans="2:5" x14ac:dyDescent="0.3">
      <c r="B238" s="101">
        <f t="shared" si="10"/>
        <v>191</v>
      </c>
      <c r="C238" s="102">
        <v>4.9549906098721459E-2</v>
      </c>
      <c r="D238" s="102">
        <v>0.94225587220106211</v>
      </c>
      <c r="E238" s="103">
        <v>1.1427497675053677</v>
      </c>
    </row>
    <row r="239" spans="2:5" x14ac:dyDescent="0.3">
      <c r="B239" s="101">
        <f t="shared" si="10"/>
        <v>192</v>
      </c>
      <c r="C239" s="102">
        <v>2.5978001119907702E-2</v>
      </c>
      <c r="D239" s="102">
        <v>0.9337596766061399</v>
      </c>
      <c r="E239" s="103">
        <v>1.0574305625841527</v>
      </c>
    </row>
    <row r="240" spans="2:5" x14ac:dyDescent="0.3">
      <c r="B240" s="101">
        <f t="shared" si="10"/>
        <v>193</v>
      </c>
      <c r="C240" s="102">
        <v>5.301520917408313E-2</v>
      </c>
      <c r="D240" s="102">
        <v>1.0257239541216383</v>
      </c>
      <c r="E240" s="103">
        <v>1.1569434571514765</v>
      </c>
    </row>
    <row r="241" spans="2:5" x14ac:dyDescent="0.3">
      <c r="B241" s="101">
        <f t="shared" si="10"/>
        <v>194</v>
      </c>
      <c r="C241" s="102">
        <v>4.7535814922141449E-2</v>
      </c>
      <c r="D241" s="102">
        <v>1.0634369166691722</v>
      </c>
      <c r="E241" s="103">
        <v>1.1656427822377946</v>
      </c>
    </row>
    <row r="242" spans="2:5" x14ac:dyDescent="0.3">
      <c r="B242" s="101">
        <f t="shared" ref="B242:B305" si="11">B241+1</f>
        <v>195</v>
      </c>
      <c r="C242" s="102">
        <v>5.0920464772173157E-2</v>
      </c>
      <c r="D242" s="102">
        <v>1.0534865501109199</v>
      </c>
      <c r="E242" s="103">
        <v>0.93838929991103981</v>
      </c>
    </row>
    <row r="243" spans="2:5" x14ac:dyDescent="0.3">
      <c r="B243" s="101">
        <f t="shared" si="11"/>
        <v>196</v>
      </c>
      <c r="C243" s="102">
        <v>4.5671466736095831E-2</v>
      </c>
      <c r="D243" s="102">
        <v>1.0923833339948512</v>
      </c>
      <c r="E243" s="103">
        <v>1.1361832643739105</v>
      </c>
    </row>
    <row r="244" spans="2:5" x14ac:dyDescent="0.3">
      <c r="B244" s="101">
        <f t="shared" si="11"/>
        <v>197</v>
      </c>
      <c r="C244" s="102">
        <v>4.1016103561766347E-2</v>
      </c>
      <c r="D244" s="102">
        <v>1.0247827541238865</v>
      </c>
      <c r="E244" s="103">
        <v>1.1845195634480894</v>
      </c>
    </row>
    <row r="245" spans="2:5" x14ac:dyDescent="0.3">
      <c r="B245" s="101">
        <f t="shared" si="11"/>
        <v>198</v>
      </c>
      <c r="C245" s="102">
        <v>2.9737688274936655E-2</v>
      </c>
      <c r="D245" s="102">
        <v>1.0345740259793104</v>
      </c>
      <c r="E245" s="103">
        <v>0.86153682770791251</v>
      </c>
    </row>
    <row r="246" spans="2:5" x14ac:dyDescent="0.3">
      <c r="B246" s="101">
        <f t="shared" si="11"/>
        <v>199</v>
      </c>
      <c r="C246" s="102">
        <v>4.1900881434117306E-2</v>
      </c>
      <c r="D246" s="102">
        <v>0.92946159338461953</v>
      </c>
      <c r="E246" s="103">
        <v>1.0109462878931272</v>
      </c>
    </row>
    <row r="247" spans="2:5" x14ac:dyDescent="0.3">
      <c r="B247" s="101">
        <f t="shared" si="11"/>
        <v>200</v>
      </c>
      <c r="C247" s="102">
        <v>4.8484199025395427E-2</v>
      </c>
      <c r="D247" s="102">
        <v>0.99607258954164668</v>
      </c>
      <c r="E247" s="103">
        <v>0.86899718420746352</v>
      </c>
    </row>
    <row r="248" spans="2:5" x14ac:dyDescent="0.3">
      <c r="B248" s="101">
        <f t="shared" si="11"/>
        <v>201</v>
      </c>
      <c r="C248" s="102">
        <v>4.5398267243484072E-2</v>
      </c>
      <c r="D248" s="102">
        <v>0.95045389875191388</v>
      </c>
      <c r="E248" s="103">
        <v>0.85756587633643244</v>
      </c>
    </row>
    <row r="249" spans="2:5" x14ac:dyDescent="0.3">
      <c r="B249" s="101">
        <f t="shared" si="11"/>
        <v>202</v>
      </c>
      <c r="C249" s="102">
        <v>4.1294800866032412E-2</v>
      </c>
      <c r="D249" s="102">
        <v>0.93246669866450782</v>
      </c>
      <c r="E249" s="103">
        <v>1.072687320379855</v>
      </c>
    </row>
    <row r="250" spans="2:5" x14ac:dyDescent="0.3">
      <c r="B250" s="101">
        <f t="shared" si="11"/>
        <v>203</v>
      </c>
      <c r="C250" s="102">
        <v>2.9783849601675162E-2</v>
      </c>
      <c r="D250" s="102">
        <v>1.0224908889290416</v>
      </c>
      <c r="E250" s="103">
        <v>1.0087004000629904</v>
      </c>
    </row>
    <row r="251" spans="2:5" x14ac:dyDescent="0.3">
      <c r="B251" s="101">
        <f t="shared" si="11"/>
        <v>204</v>
      </c>
      <c r="C251" s="102">
        <v>4.2570876685598065E-2</v>
      </c>
      <c r="D251" s="102">
        <v>1.0183885970430948</v>
      </c>
      <c r="E251" s="103">
        <v>0.81800343718853774</v>
      </c>
    </row>
    <row r="252" spans="2:5" x14ac:dyDescent="0.3">
      <c r="B252" s="101">
        <f t="shared" si="11"/>
        <v>205</v>
      </c>
      <c r="C252" s="102">
        <v>4.4634522805497644E-2</v>
      </c>
      <c r="D252" s="102">
        <v>1.0456614659237022</v>
      </c>
      <c r="E252" s="103">
        <v>0.92113157864004502</v>
      </c>
    </row>
    <row r="253" spans="2:5" x14ac:dyDescent="0.3">
      <c r="B253" s="101">
        <f t="shared" si="11"/>
        <v>206</v>
      </c>
      <c r="C253" s="102">
        <v>3.34382027631814E-2</v>
      </c>
      <c r="D253" s="102">
        <v>0.95802745219598506</v>
      </c>
      <c r="E253" s="103">
        <v>0.95380685652341457</v>
      </c>
    </row>
    <row r="254" spans="2:5" x14ac:dyDescent="0.3">
      <c r="B254" s="101">
        <f t="shared" si="11"/>
        <v>207</v>
      </c>
      <c r="C254" s="102">
        <v>3.4382006561037688E-2</v>
      </c>
      <c r="D254" s="102">
        <v>0.99050688199238979</v>
      </c>
      <c r="E254" s="103">
        <v>0.90899563579435183</v>
      </c>
    </row>
    <row r="255" spans="2:5" x14ac:dyDescent="0.3">
      <c r="B255" s="101">
        <f t="shared" si="11"/>
        <v>208</v>
      </c>
      <c r="C255" s="102">
        <v>2.6617487548576041E-2</v>
      </c>
      <c r="D255" s="102">
        <v>1.0430479648758701</v>
      </c>
      <c r="E255" s="103">
        <v>1.0459099945592583</v>
      </c>
    </row>
    <row r="256" spans="2:5" x14ac:dyDescent="0.3">
      <c r="B256" s="101">
        <f t="shared" si="11"/>
        <v>209</v>
      </c>
      <c r="C256" s="102">
        <v>4.7824468359608623E-2</v>
      </c>
      <c r="D256" s="102">
        <v>0.90566487884880587</v>
      </c>
      <c r="E256" s="103">
        <v>0.91712891746643799</v>
      </c>
    </row>
    <row r="257" spans="2:5" x14ac:dyDescent="0.3">
      <c r="B257" s="101">
        <f t="shared" si="11"/>
        <v>210</v>
      </c>
      <c r="C257" s="102">
        <v>2.8381075833592298E-2</v>
      </c>
      <c r="D257" s="102">
        <v>0.92091660465751346</v>
      </c>
      <c r="E257" s="103">
        <v>1.1926580909364262</v>
      </c>
    </row>
    <row r="258" spans="2:5" x14ac:dyDescent="0.3">
      <c r="B258" s="101">
        <f t="shared" si="11"/>
        <v>211</v>
      </c>
      <c r="C258" s="102">
        <v>3.0654851210207119E-2</v>
      </c>
      <c r="D258" s="102">
        <v>0.94942601432078266</v>
      </c>
      <c r="E258" s="103">
        <v>1.0573607804930865</v>
      </c>
    </row>
    <row r="259" spans="2:5" x14ac:dyDescent="0.3">
      <c r="B259" s="101">
        <f t="shared" si="11"/>
        <v>212</v>
      </c>
      <c r="C259" s="102">
        <v>4.3854663289533732E-2</v>
      </c>
      <c r="D259" s="102">
        <v>1.0282173749826191</v>
      </c>
      <c r="E259" s="103">
        <v>0.89570639626038295</v>
      </c>
    </row>
    <row r="260" spans="2:5" x14ac:dyDescent="0.3">
      <c r="B260" s="101">
        <f t="shared" si="11"/>
        <v>213</v>
      </c>
      <c r="C260" s="102">
        <v>3.7901693476563462E-2</v>
      </c>
      <c r="D260" s="102">
        <v>0.97467717641914342</v>
      </c>
      <c r="E260" s="103">
        <v>1.1854888060137918</v>
      </c>
    </row>
    <row r="261" spans="2:5" x14ac:dyDescent="0.3">
      <c r="B261" s="101">
        <f t="shared" si="11"/>
        <v>214</v>
      </c>
      <c r="C261" s="102">
        <v>3.1880897270550913E-2</v>
      </c>
      <c r="D261" s="102">
        <v>1.0957953897538486</v>
      </c>
      <c r="E261" s="103">
        <v>0.96091011544575833</v>
      </c>
    </row>
    <row r="262" spans="2:5" x14ac:dyDescent="0.3">
      <c r="B262" s="101">
        <f t="shared" si="11"/>
        <v>215</v>
      </c>
      <c r="C262" s="102">
        <v>4.5358334003889937E-2</v>
      </c>
      <c r="D262" s="102">
        <v>1.0617070065876335</v>
      </c>
      <c r="E262" s="103">
        <v>1.0731031142650607</v>
      </c>
    </row>
    <row r="263" spans="2:5" x14ac:dyDescent="0.3">
      <c r="B263" s="101">
        <f t="shared" si="11"/>
        <v>216</v>
      </c>
      <c r="C263" s="102">
        <v>3.4388088755961145E-2</v>
      </c>
      <c r="D263" s="102">
        <v>0.99389440150202224</v>
      </c>
      <c r="E263" s="103">
        <v>0.90406645259414065</v>
      </c>
    </row>
    <row r="264" spans="2:5" x14ac:dyDescent="0.3">
      <c r="B264" s="101">
        <f t="shared" si="11"/>
        <v>217</v>
      </c>
      <c r="C264" s="102">
        <v>4.0021898841452228E-2</v>
      </c>
      <c r="D264" s="102">
        <v>0.90227852467934877</v>
      </c>
      <c r="E264" s="103">
        <v>1.0478477243014057</v>
      </c>
    </row>
    <row r="265" spans="2:5" x14ac:dyDescent="0.3">
      <c r="B265" s="101">
        <f t="shared" si="11"/>
        <v>218</v>
      </c>
      <c r="C265" s="102">
        <v>2.5762416954899912E-2</v>
      </c>
      <c r="D265" s="102">
        <v>0.9283639909020841</v>
      </c>
      <c r="E265" s="103">
        <v>1.0916926912975022</v>
      </c>
    </row>
    <row r="266" spans="2:5" x14ac:dyDescent="0.3">
      <c r="B266" s="101">
        <f t="shared" si="11"/>
        <v>219</v>
      </c>
      <c r="C266" s="102">
        <v>5.0005211922380687E-2</v>
      </c>
      <c r="D266" s="102">
        <v>0.91397588942313257</v>
      </c>
      <c r="E266" s="103">
        <v>0.84014516562105224</v>
      </c>
    </row>
    <row r="267" spans="2:5" x14ac:dyDescent="0.3">
      <c r="B267" s="101">
        <f t="shared" si="11"/>
        <v>220</v>
      </c>
      <c r="C267" s="102">
        <v>5.4191744670687811E-2</v>
      </c>
      <c r="D267" s="102">
        <v>1.0184986903685318</v>
      </c>
      <c r="E267" s="103">
        <v>0.9873879753688648</v>
      </c>
    </row>
    <row r="268" spans="2:5" x14ac:dyDescent="0.3">
      <c r="B268" s="101">
        <f t="shared" si="11"/>
        <v>221</v>
      </c>
      <c r="C268" s="102">
        <v>3.0055985284036479E-2</v>
      </c>
      <c r="D268" s="102">
        <v>0.96268749960006661</v>
      </c>
      <c r="E268" s="103">
        <v>0.99623656191588106</v>
      </c>
    </row>
    <row r="269" spans="2:5" x14ac:dyDescent="0.3">
      <c r="B269" s="101">
        <f t="shared" si="11"/>
        <v>222</v>
      </c>
      <c r="C269" s="102">
        <v>4.0284289413952956E-2</v>
      </c>
      <c r="D269" s="102">
        <v>0.96719253413630779</v>
      </c>
      <c r="E269" s="103">
        <v>0.93355347885262141</v>
      </c>
    </row>
    <row r="270" spans="2:5" x14ac:dyDescent="0.3">
      <c r="B270" s="101">
        <f t="shared" si="11"/>
        <v>223</v>
      </c>
      <c r="C270" s="102">
        <v>4.1999096049771034E-2</v>
      </c>
      <c r="D270" s="102">
        <v>1.0671719047530515</v>
      </c>
      <c r="E270" s="103">
        <v>0.93701771006590373</v>
      </c>
    </row>
    <row r="271" spans="2:5" x14ac:dyDescent="0.3">
      <c r="B271" s="101">
        <f t="shared" si="11"/>
        <v>224</v>
      </c>
      <c r="C271" s="102">
        <v>4.8829136166164501E-2</v>
      </c>
      <c r="D271" s="102">
        <v>0.92650349224459749</v>
      </c>
      <c r="E271" s="103">
        <v>1.1499210524830494</v>
      </c>
    </row>
    <row r="272" spans="2:5" x14ac:dyDescent="0.3">
      <c r="B272" s="101">
        <f t="shared" si="11"/>
        <v>225</v>
      </c>
      <c r="C272" s="102">
        <v>2.8158036915593536E-2</v>
      </c>
      <c r="D272" s="102">
        <v>0.99104951771448269</v>
      </c>
      <c r="E272" s="103">
        <v>0.86810246101054434</v>
      </c>
    </row>
    <row r="273" spans="2:5" x14ac:dyDescent="0.3">
      <c r="B273" s="101">
        <f t="shared" si="11"/>
        <v>226</v>
      </c>
      <c r="C273" s="102">
        <v>3.8039521045002127E-2</v>
      </c>
      <c r="D273" s="102">
        <v>1.0839846156476152</v>
      </c>
      <c r="E273" s="103">
        <v>1.1698788566225544</v>
      </c>
    </row>
    <row r="274" spans="2:5" x14ac:dyDescent="0.3">
      <c r="B274" s="101">
        <f t="shared" si="11"/>
        <v>227</v>
      </c>
      <c r="C274" s="102">
        <v>3.9394283654327115E-2</v>
      </c>
      <c r="D274" s="102">
        <v>1.0444896910622523</v>
      </c>
      <c r="E274" s="103">
        <v>1.0012118730372652</v>
      </c>
    </row>
    <row r="275" spans="2:5" x14ac:dyDescent="0.3">
      <c r="B275" s="101">
        <f t="shared" si="11"/>
        <v>228</v>
      </c>
      <c r="C275" s="102">
        <v>3.6088726507655725E-2</v>
      </c>
      <c r="D275" s="102">
        <v>1.0379207343131525</v>
      </c>
      <c r="E275" s="103">
        <v>0.83668735080552437</v>
      </c>
    </row>
    <row r="276" spans="2:5" x14ac:dyDescent="0.3">
      <c r="B276" s="101">
        <f t="shared" si="11"/>
        <v>229</v>
      </c>
      <c r="C276" s="102">
        <v>5.105998519737457E-2</v>
      </c>
      <c r="D276" s="102">
        <v>1.0665992025725279</v>
      </c>
      <c r="E276" s="103">
        <v>1.118736475873535</v>
      </c>
    </row>
    <row r="277" spans="2:5" x14ac:dyDescent="0.3">
      <c r="B277" s="101">
        <f t="shared" si="11"/>
        <v>230</v>
      </c>
      <c r="C277" s="102">
        <v>5.1473315090937333E-2</v>
      </c>
      <c r="D277" s="102">
        <v>0.94258465233930899</v>
      </c>
      <c r="E277" s="103">
        <v>0.89195357928662755</v>
      </c>
    </row>
    <row r="278" spans="2:5" x14ac:dyDescent="0.3">
      <c r="B278" s="101">
        <f t="shared" si="11"/>
        <v>231</v>
      </c>
      <c r="C278" s="102">
        <v>4.0586688026240374E-2</v>
      </c>
      <c r="D278" s="102">
        <v>1.0054021149992116</v>
      </c>
      <c r="E278" s="103">
        <v>0.81733824314497372</v>
      </c>
    </row>
    <row r="279" spans="2:5" x14ac:dyDescent="0.3">
      <c r="B279" s="101">
        <f t="shared" si="11"/>
        <v>232</v>
      </c>
      <c r="C279" s="102">
        <v>4.0045479120768876E-2</v>
      </c>
      <c r="D279" s="102">
        <v>0.94396290245877945</v>
      </c>
      <c r="E279" s="103">
        <v>1.0851273370989405</v>
      </c>
    </row>
    <row r="280" spans="2:5" x14ac:dyDescent="0.3">
      <c r="B280" s="101">
        <f t="shared" si="11"/>
        <v>233</v>
      </c>
      <c r="C280" s="102">
        <v>3.1484891816327187E-2</v>
      </c>
      <c r="D280" s="102">
        <v>0.94534853330987956</v>
      </c>
      <c r="E280" s="103">
        <v>1.0234000458214927</v>
      </c>
    </row>
    <row r="281" spans="2:5" x14ac:dyDescent="0.3">
      <c r="B281" s="101">
        <f t="shared" si="11"/>
        <v>234</v>
      </c>
      <c r="C281" s="102">
        <v>4.1389038635066246E-2</v>
      </c>
      <c r="D281" s="102">
        <v>0.99165278037194038</v>
      </c>
      <c r="E281" s="103">
        <v>1.1691923623806963</v>
      </c>
    </row>
    <row r="282" spans="2:5" x14ac:dyDescent="0.3">
      <c r="B282" s="101">
        <f t="shared" si="11"/>
        <v>235</v>
      </c>
      <c r="C282" s="102">
        <v>3.5549840553294389E-2</v>
      </c>
      <c r="D282" s="102">
        <v>0.97591656575931074</v>
      </c>
      <c r="E282" s="103">
        <v>0.8854276406891346</v>
      </c>
    </row>
    <row r="283" spans="2:5" x14ac:dyDescent="0.3">
      <c r="B283" s="101">
        <f t="shared" si="11"/>
        <v>236</v>
      </c>
      <c r="C283" s="102">
        <v>3.5393329759589573E-2</v>
      </c>
      <c r="D283" s="102">
        <v>0.97686695597277817</v>
      </c>
      <c r="E283" s="103">
        <v>0.88238766077457975</v>
      </c>
    </row>
    <row r="284" spans="2:5" x14ac:dyDescent="0.3">
      <c r="B284" s="101">
        <f t="shared" si="11"/>
        <v>237</v>
      </c>
      <c r="C284" s="102">
        <v>5.2418988248715354E-2</v>
      </c>
      <c r="D284" s="102">
        <v>1.0348009690173707</v>
      </c>
      <c r="E284" s="103">
        <v>0.91689715776465963</v>
      </c>
    </row>
    <row r="285" spans="2:5" x14ac:dyDescent="0.3">
      <c r="B285" s="101">
        <f t="shared" si="11"/>
        <v>238</v>
      </c>
      <c r="C285" s="102">
        <v>5.4867741711170023E-2</v>
      </c>
      <c r="D285" s="102">
        <v>1.029793000740082</v>
      </c>
      <c r="E285" s="103">
        <v>0.80929604611385675</v>
      </c>
    </row>
    <row r="286" spans="2:5" x14ac:dyDescent="0.3">
      <c r="B286" s="101">
        <f t="shared" si="11"/>
        <v>239</v>
      </c>
      <c r="C286" s="102">
        <v>4.2485973460440925E-2</v>
      </c>
      <c r="D286" s="102">
        <v>0.9366630454737811</v>
      </c>
      <c r="E286" s="103">
        <v>0.89081763281206527</v>
      </c>
    </row>
    <row r="287" spans="2:5" x14ac:dyDescent="0.3">
      <c r="B287" s="101">
        <f t="shared" si="11"/>
        <v>240</v>
      </c>
      <c r="C287" s="102">
        <v>3.6198254357509355E-2</v>
      </c>
      <c r="D287" s="102">
        <v>1.0949656604899163</v>
      </c>
      <c r="E287" s="103">
        <v>0.89211583062119459</v>
      </c>
    </row>
    <row r="288" spans="2:5" x14ac:dyDescent="0.3">
      <c r="B288" s="101">
        <f t="shared" si="11"/>
        <v>241</v>
      </c>
      <c r="C288" s="102">
        <v>3.2752901729201922E-2</v>
      </c>
      <c r="D288" s="102">
        <v>1.0177455994536186</v>
      </c>
      <c r="E288" s="103">
        <v>1.1694568791929389</v>
      </c>
    </row>
    <row r="289" spans="2:5" x14ac:dyDescent="0.3">
      <c r="B289" s="101">
        <f t="shared" si="11"/>
        <v>242</v>
      </c>
      <c r="C289" s="102">
        <v>4.6599640213594258E-2</v>
      </c>
      <c r="D289" s="102">
        <v>1.0026498179492958</v>
      </c>
      <c r="E289" s="103">
        <v>1.0315469121071967</v>
      </c>
    </row>
    <row r="290" spans="2:5" x14ac:dyDescent="0.3">
      <c r="B290" s="101">
        <f t="shared" si="11"/>
        <v>243</v>
      </c>
      <c r="C290" s="102">
        <v>4.047689354871583E-2</v>
      </c>
      <c r="D290" s="102">
        <v>1.0874900753335586</v>
      </c>
      <c r="E290" s="103">
        <v>0.96742033486601675</v>
      </c>
    </row>
    <row r="291" spans="2:5" x14ac:dyDescent="0.3">
      <c r="B291" s="101">
        <f t="shared" si="11"/>
        <v>244</v>
      </c>
      <c r="C291" s="102">
        <v>3.3134252562066958E-2</v>
      </c>
      <c r="D291" s="102">
        <v>0.92754591109793183</v>
      </c>
      <c r="E291" s="103">
        <v>0.82997563815650177</v>
      </c>
    </row>
    <row r="292" spans="2:5" x14ac:dyDescent="0.3">
      <c r="B292" s="101">
        <f t="shared" si="11"/>
        <v>245</v>
      </c>
      <c r="C292" s="102">
        <v>4.7057932003501349E-2</v>
      </c>
      <c r="D292" s="102">
        <v>0.96010465981048065</v>
      </c>
      <c r="E292" s="103">
        <v>1.1693891779095602</v>
      </c>
    </row>
    <row r="293" spans="2:5" x14ac:dyDescent="0.3">
      <c r="B293" s="101">
        <f t="shared" si="11"/>
        <v>246</v>
      </c>
      <c r="C293" s="102">
        <v>4.1795142367058537E-2</v>
      </c>
      <c r="D293" s="102">
        <v>0.93066220408936351</v>
      </c>
      <c r="E293" s="103">
        <v>0.9794566062932506</v>
      </c>
    </row>
    <row r="294" spans="2:5" x14ac:dyDescent="0.3">
      <c r="B294" s="101">
        <f t="shared" si="11"/>
        <v>247</v>
      </c>
      <c r="C294" s="102">
        <v>4.4597582047021751E-2</v>
      </c>
      <c r="D294" s="102">
        <v>0.92616311366082471</v>
      </c>
      <c r="E294" s="103">
        <v>1.019225428220258</v>
      </c>
    </row>
    <row r="295" spans="2:5" x14ac:dyDescent="0.3">
      <c r="B295" s="101">
        <f t="shared" si="11"/>
        <v>248</v>
      </c>
      <c r="C295" s="102">
        <v>4.3877555427203653E-2</v>
      </c>
      <c r="D295" s="102">
        <v>0.93094638923239836</v>
      </c>
      <c r="E295" s="103">
        <v>1.0256634824776811</v>
      </c>
    </row>
    <row r="296" spans="2:5" x14ac:dyDescent="0.3">
      <c r="B296" s="101">
        <f t="shared" si="11"/>
        <v>249</v>
      </c>
      <c r="C296" s="102">
        <v>2.9458200484930211E-2</v>
      </c>
      <c r="D296" s="102">
        <v>1.085140274728523</v>
      </c>
      <c r="E296" s="103">
        <v>0.86750211797609811</v>
      </c>
    </row>
    <row r="297" spans="2:5" x14ac:dyDescent="0.3">
      <c r="B297" s="101">
        <f t="shared" si="11"/>
        <v>250</v>
      </c>
      <c r="C297" s="102">
        <v>3.7733445609547833E-2</v>
      </c>
      <c r="D297" s="102">
        <v>1.0956087403215009</v>
      </c>
      <c r="E297" s="103">
        <v>0.99052595572835611</v>
      </c>
    </row>
    <row r="298" spans="2:5" x14ac:dyDescent="0.3">
      <c r="B298" s="101">
        <f t="shared" si="11"/>
        <v>251</v>
      </c>
      <c r="C298" s="102">
        <v>4.7058826853558125E-2</v>
      </c>
      <c r="D298" s="102">
        <v>0.92510444151951043</v>
      </c>
      <c r="E298" s="103">
        <v>1.1491836286586314</v>
      </c>
    </row>
    <row r="299" spans="2:5" x14ac:dyDescent="0.3">
      <c r="B299" s="101">
        <f t="shared" si="11"/>
        <v>252</v>
      </c>
      <c r="C299" s="102">
        <v>3.0748195600719924E-2</v>
      </c>
      <c r="D299" s="102">
        <v>1.0906020626832194</v>
      </c>
      <c r="E299" s="103">
        <v>0.9458395244309753</v>
      </c>
    </row>
    <row r="300" spans="2:5" x14ac:dyDescent="0.3">
      <c r="B300" s="101">
        <f t="shared" si="11"/>
        <v>253</v>
      </c>
      <c r="C300" s="102">
        <v>5.3745071093555946E-2</v>
      </c>
      <c r="D300" s="102">
        <v>1.0691070932455597</v>
      </c>
      <c r="E300" s="103">
        <v>1.148367387880459</v>
      </c>
    </row>
    <row r="301" spans="2:5" x14ac:dyDescent="0.3">
      <c r="B301" s="101">
        <f t="shared" si="11"/>
        <v>254</v>
      </c>
      <c r="C301" s="102">
        <v>2.5204304306452721E-2</v>
      </c>
      <c r="D301" s="102">
        <v>0.91439136974471236</v>
      </c>
      <c r="E301" s="103">
        <v>1.153997109040404</v>
      </c>
    </row>
    <row r="302" spans="2:5" x14ac:dyDescent="0.3">
      <c r="B302" s="101">
        <f t="shared" si="11"/>
        <v>255</v>
      </c>
      <c r="C302" s="102">
        <v>4.7631450682079093E-2</v>
      </c>
      <c r="D302" s="102">
        <v>0.98351967086951908</v>
      </c>
      <c r="E302" s="103">
        <v>1.1738834132934877</v>
      </c>
    </row>
    <row r="303" spans="2:5" x14ac:dyDescent="0.3">
      <c r="B303" s="101">
        <f t="shared" si="11"/>
        <v>256</v>
      </c>
      <c r="C303" s="102">
        <v>3.9910622623222064E-2</v>
      </c>
      <c r="D303" s="102">
        <v>1.0020187282983637</v>
      </c>
      <c r="E303" s="103">
        <v>1.1243162263717386</v>
      </c>
    </row>
    <row r="304" spans="2:5" x14ac:dyDescent="0.3">
      <c r="B304" s="101">
        <f t="shared" si="11"/>
        <v>257</v>
      </c>
      <c r="C304" s="102">
        <v>3.5193492549945277E-2</v>
      </c>
      <c r="D304" s="102">
        <v>1.0602260130954284</v>
      </c>
      <c r="E304" s="103">
        <v>0.88305217911245171</v>
      </c>
    </row>
    <row r="305" spans="2:5" x14ac:dyDescent="0.3">
      <c r="B305" s="101">
        <f t="shared" si="11"/>
        <v>258</v>
      </c>
      <c r="C305" s="102">
        <v>5.1731106782086943E-2</v>
      </c>
      <c r="D305" s="102">
        <v>0.98802522971522266</v>
      </c>
      <c r="E305" s="103">
        <v>0.80540773370461338</v>
      </c>
    </row>
    <row r="306" spans="2:5" x14ac:dyDescent="0.3">
      <c r="B306" s="101">
        <f t="shared" ref="B306:B369" si="12">B305+1</f>
        <v>259</v>
      </c>
      <c r="C306" s="102">
        <v>5.0832312718843711E-2</v>
      </c>
      <c r="D306" s="102">
        <v>1.0194155816025703</v>
      </c>
      <c r="E306" s="103">
        <v>0.89613282548702944</v>
      </c>
    </row>
    <row r="307" spans="2:5" x14ac:dyDescent="0.3">
      <c r="B307" s="101">
        <f t="shared" si="12"/>
        <v>260</v>
      </c>
      <c r="C307" s="102">
        <v>4.0117441830660801E-2</v>
      </c>
      <c r="D307" s="102">
        <v>0.92622721915059025</v>
      </c>
      <c r="E307" s="103">
        <v>0.89717814211997648</v>
      </c>
    </row>
    <row r="308" spans="2:5" x14ac:dyDescent="0.3">
      <c r="B308" s="101">
        <f t="shared" si="12"/>
        <v>261</v>
      </c>
      <c r="C308" s="102">
        <v>2.9861255152340546E-2</v>
      </c>
      <c r="D308" s="102">
        <v>0.9619563477518569</v>
      </c>
      <c r="E308" s="103">
        <v>1.1762547542065269</v>
      </c>
    </row>
    <row r="309" spans="2:5" x14ac:dyDescent="0.3">
      <c r="B309" s="101">
        <f t="shared" si="12"/>
        <v>262</v>
      </c>
      <c r="C309" s="102">
        <v>2.9784905345441398E-2</v>
      </c>
      <c r="D309" s="102">
        <v>0.93829847084820184</v>
      </c>
      <c r="E309" s="103">
        <v>0.90937207719811297</v>
      </c>
    </row>
    <row r="310" spans="2:5" x14ac:dyDescent="0.3">
      <c r="B310" s="101">
        <f t="shared" si="12"/>
        <v>263</v>
      </c>
      <c r="C310" s="102">
        <v>4.0280502820964272E-2</v>
      </c>
      <c r="D310" s="102">
        <v>1.071348902031678</v>
      </c>
      <c r="E310" s="103">
        <v>1.1624759519901096</v>
      </c>
    </row>
    <row r="311" spans="2:5" x14ac:dyDescent="0.3">
      <c r="B311" s="101">
        <f t="shared" si="12"/>
        <v>264</v>
      </c>
      <c r="C311" s="102">
        <v>2.7923887143164447E-2</v>
      </c>
      <c r="D311" s="102">
        <v>0.94784642902794392</v>
      </c>
      <c r="E311" s="103">
        <v>0.86591445457902372</v>
      </c>
    </row>
    <row r="312" spans="2:5" x14ac:dyDescent="0.3">
      <c r="B312" s="101">
        <f t="shared" si="12"/>
        <v>265</v>
      </c>
      <c r="C312" s="102">
        <v>2.6106762508185728E-2</v>
      </c>
      <c r="D312" s="102">
        <v>0.99364694334659243</v>
      </c>
      <c r="E312" s="103">
        <v>1.1180754558587251</v>
      </c>
    </row>
    <row r="313" spans="2:5" x14ac:dyDescent="0.3">
      <c r="B313" s="101">
        <f t="shared" si="12"/>
        <v>266</v>
      </c>
      <c r="C313" s="102">
        <v>2.7977725221337169E-2</v>
      </c>
      <c r="D313" s="102">
        <v>0.90190641723924159</v>
      </c>
      <c r="E313" s="103">
        <v>1.1696297768786688</v>
      </c>
    </row>
    <row r="314" spans="2:5" x14ac:dyDescent="0.3">
      <c r="B314" s="101">
        <f t="shared" si="12"/>
        <v>267</v>
      </c>
      <c r="C314" s="102">
        <v>3.2803882013235655E-2</v>
      </c>
      <c r="D314" s="102">
        <v>0.92715556907403351</v>
      </c>
      <c r="E314" s="103">
        <v>1.0714079266291323</v>
      </c>
    </row>
    <row r="315" spans="2:5" x14ac:dyDescent="0.3">
      <c r="B315" s="101">
        <f t="shared" si="12"/>
        <v>268</v>
      </c>
      <c r="C315" s="102">
        <v>2.6261219585833294E-2</v>
      </c>
      <c r="D315" s="102">
        <v>0.93797358528883079</v>
      </c>
      <c r="E315" s="103">
        <v>0.85701015212141962</v>
      </c>
    </row>
    <row r="316" spans="2:5" x14ac:dyDescent="0.3">
      <c r="B316" s="101">
        <f t="shared" si="12"/>
        <v>269</v>
      </c>
      <c r="C316" s="102">
        <v>4.9577163682459721E-2</v>
      </c>
      <c r="D316" s="102">
        <v>0.92175675294896608</v>
      </c>
      <c r="E316" s="103">
        <v>0.91186846856682602</v>
      </c>
    </row>
    <row r="317" spans="2:5" x14ac:dyDescent="0.3">
      <c r="B317" s="101">
        <f t="shared" si="12"/>
        <v>270</v>
      </c>
      <c r="C317" s="102">
        <v>4.5562438187710746E-2</v>
      </c>
      <c r="D317" s="102">
        <v>0.9304268221623897</v>
      </c>
      <c r="E317" s="103">
        <v>1.0187987249637194</v>
      </c>
    </row>
    <row r="318" spans="2:5" x14ac:dyDescent="0.3">
      <c r="B318" s="101">
        <f t="shared" si="12"/>
        <v>271</v>
      </c>
      <c r="C318" s="102">
        <v>4.2439367562438476E-2</v>
      </c>
      <c r="D318" s="102">
        <v>1.0771885002146653</v>
      </c>
      <c r="E318" s="103">
        <v>0.91110057826235369</v>
      </c>
    </row>
    <row r="319" spans="2:5" x14ac:dyDescent="0.3">
      <c r="B319" s="101">
        <f t="shared" si="12"/>
        <v>272</v>
      </c>
      <c r="C319" s="102">
        <v>5.1024921468258752E-2</v>
      </c>
      <c r="D319" s="102">
        <v>0.95717863635800149</v>
      </c>
      <c r="E319" s="103">
        <v>0.90399231552019066</v>
      </c>
    </row>
    <row r="320" spans="2:5" x14ac:dyDescent="0.3">
      <c r="B320" s="101">
        <f t="shared" si="12"/>
        <v>273</v>
      </c>
      <c r="C320" s="102">
        <v>5.1248362380859398E-2</v>
      </c>
      <c r="D320" s="102">
        <v>0.92330607232277639</v>
      </c>
      <c r="E320" s="103">
        <v>0.87226663721527287</v>
      </c>
    </row>
    <row r="321" spans="2:5" x14ac:dyDescent="0.3">
      <c r="B321" s="101">
        <f t="shared" si="12"/>
        <v>274</v>
      </c>
      <c r="C321" s="102">
        <v>3.246614716627208E-2</v>
      </c>
      <c r="D321" s="102">
        <v>0.92764107943749563</v>
      </c>
      <c r="E321" s="103">
        <v>0.86850498605754334</v>
      </c>
    </row>
    <row r="322" spans="2:5" x14ac:dyDescent="0.3">
      <c r="B322" s="101">
        <f t="shared" si="12"/>
        <v>275</v>
      </c>
      <c r="C322" s="102">
        <v>3.9889481978509091E-2</v>
      </c>
      <c r="D322" s="102">
        <v>1.0167220852775953</v>
      </c>
      <c r="E322" s="103">
        <v>0.98295537646958164</v>
      </c>
    </row>
    <row r="323" spans="2:5" x14ac:dyDescent="0.3">
      <c r="B323" s="101">
        <f t="shared" si="12"/>
        <v>276</v>
      </c>
      <c r="C323" s="102">
        <v>5.4022811767924443E-2</v>
      </c>
      <c r="D323" s="102">
        <v>0.99439651062611634</v>
      </c>
      <c r="E323" s="103">
        <v>1.1385386529771278</v>
      </c>
    </row>
    <row r="324" spans="2:5" x14ac:dyDescent="0.3">
      <c r="B324" s="101">
        <f t="shared" si="12"/>
        <v>277</v>
      </c>
      <c r="C324" s="102">
        <v>4.7455955864410732E-2</v>
      </c>
      <c r="D324" s="102">
        <v>1.0278917086230741</v>
      </c>
      <c r="E324" s="103">
        <v>1.1872122543464494</v>
      </c>
    </row>
    <row r="325" spans="2:5" x14ac:dyDescent="0.3">
      <c r="B325" s="101">
        <f t="shared" si="12"/>
        <v>278</v>
      </c>
      <c r="C325" s="102">
        <v>3.0055207603361986E-2</v>
      </c>
      <c r="D325" s="102">
        <v>1.0377383871247099</v>
      </c>
      <c r="E325" s="103">
        <v>1.1027116282647764</v>
      </c>
    </row>
    <row r="326" spans="2:5" x14ac:dyDescent="0.3">
      <c r="B326" s="101">
        <f t="shared" si="12"/>
        <v>279</v>
      </c>
      <c r="C326" s="102">
        <v>3.9536296727778988E-2</v>
      </c>
      <c r="D326" s="102">
        <v>1.0530479516918601</v>
      </c>
      <c r="E326" s="103">
        <v>1.1139414438855126</v>
      </c>
    </row>
    <row r="327" spans="2:5" x14ac:dyDescent="0.3">
      <c r="B327" s="101">
        <f t="shared" si="12"/>
        <v>280</v>
      </c>
      <c r="C327" s="102">
        <v>2.5065688352308567E-2</v>
      </c>
      <c r="D327" s="102">
        <v>1.0451863920327362</v>
      </c>
      <c r="E327" s="103">
        <v>1.126170794017388</v>
      </c>
    </row>
    <row r="328" spans="2:5" x14ac:dyDescent="0.3">
      <c r="B328" s="101">
        <f t="shared" si="12"/>
        <v>281</v>
      </c>
      <c r="C328" s="102">
        <v>2.7372614503778526E-2</v>
      </c>
      <c r="D328" s="102">
        <v>0.97812590960898593</v>
      </c>
      <c r="E328" s="103">
        <v>0.92305080637660075</v>
      </c>
    </row>
    <row r="329" spans="2:5" x14ac:dyDescent="0.3">
      <c r="B329" s="101">
        <f t="shared" si="12"/>
        <v>282</v>
      </c>
      <c r="C329" s="102">
        <v>3.4222005564239003E-2</v>
      </c>
      <c r="D329" s="102">
        <v>1.0693945589247882</v>
      </c>
      <c r="E329" s="103">
        <v>0.83590683116985209</v>
      </c>
    </row>
    <row r="330" spans="2:5" x14ac:dyDescent="0.3">
      <c r="B330" s="101">
        <f t="shared" si="12"/>
        <v>283</v>
      </c>
      <c r="C330" s="102">
        <v>3.1548056561482227E-2</v>
      </c>
      <c r="D330" s="102">
        <v>1.0529719077903406</v>
      </c>
      <c r="E330" s="103">
        <v>1.0036473828086923</v>
      </c>
    </row>
    <row r="331" spans="2:5" x14ac:dyDescent="0.3">
      <c r="B331" s="101">
        <f t="shared" si="12"/>
        <v>284</v>
      </c>
      <c r="C331" s="102">
        <v>3.7269351169557867E-2</v>
      </c>
      <c r="D331" s="102">
        <v>0.9643143850609236</v>
      </c>
      <c r="E331" s="103">
        <v>1.1454371239694658</v>
      </c>
    </row>
    <row r="332" spans="2:5" x14ac:dyDescent="0.3">
      <c r="B332" s="101">
        <f t="shared" si="12"/>
        <v>285</v>
      </c>
      <c r="C332" s="102">
        <v>5.3683519652790362E-2</v>
      </c>
      <c r="D332" s="102">
        <v>0.91004825758370755</v>
      </c>
      <c r="E332" s="103">
        <v>1.1220966019990402</v>
      </c>
    </row>
    <row r="333" spans="2:5" x14ac:dyDescent="0.3">
      <c r="B333" s="101">
        <f t="shared" si="12"/>
        <v>286</v>
      </c>
      <c r="C333" s="102">
        <v>4.6616166756112923E-2</v>
      </c>
      <c r="D333" s="102">
        <v>1.0731827602375874</v>
      </c>
      <c r="E333" s="103">
        <v>1.0609362917530936</v>
      </c>
    </row>
    <row r="334" spans="2:5" x14ac:dyDescent="0.3">
      <c r="B334" s="101">
        <f t="shared" si="12"/>
        <v>287</v>
      </c>
      <c r="C334" s="102">
        <v>5.1215435313543833E-2</v>
      </c>
      <c r="D334" s="102">
        <v>1.0370382369565574</v>
      </c>
      <c r="E334" s="103">
        <v>1.0731397600518413</v>
      </c>
    </row>
    <row r="335" spans="2:5" x14ac:dyDescent="0.3">
      <c r="B335" s="101">
        <f t="shared" si="12"/>
        <v>288</v>
      </c>
      <c r="C335" s="102">
        <v>2.7605094585262103E-2</v>
      </c>
      <c r="D335" s="102">
        <v>1.0776164472522411</v>
      </c>
      <c r="E335" s="103">
        <v>0.88045007207814141</v>
      </c>
    </row>
    <row r="336" spans="2:5" x14ac:dyDescent="0.3">
      <c r="B336" s="101">
        <f t="shared" si="12"/>
        <v>289</v>
      </c>
      <c r="C336" s="102">
        <v>3.9797538237652447E-2</v>
      </c>
      <c r="D336" s="102">
        <v>0.92190729601461641</v>
      </c>
      <c r="E336" s="103">
        <v>0.82591732449851363</v>
      </c>
    </row>
    <row r="337" spans="2:5" x14ac:dyDescent="0.3">
      <c r="B337" s="101">
        <f t="shared" si="12"/>
        <v>290</v>
      </c>
      <c r="C337" s="102">
        <v>2.5658213386093455E-2</v>
      </c>
      <c r="D337" s="102">
        <v>0.9609214498034141</v>
      </c>
      <c r="E337" s="103">
        <v>1.1214903446395741</v>
      </c>
    </row>
    <row r="338" spans="2:5" x14ac:dyDescent="0.3">
      <c r="B338" s="101">
        <f t="shared" si="12"/>
        <v>291</v>
      </c>
      <c r="C338" s="102">
        <v>2.9196401645308508E-2</v>
      </c>
      <c r="D338" s="102">
        <v>0.97101156008275147</v>
      </c>
      <c r="E338" s="103">
        <v>0.90752407281591208</v>
      </c>
    </row>
    <row r="339" spans="2:5" x14ac:dyDescent="0.3">
      <c r="B339" s="101">
        <f t="shared" si="12"/>
        <v>292</v>
      </c>
      <c r="C339" s="102">
        <v>4.6347134932813609E-2</v>
      </c>
      <c r="D339" s="102">
        <v>1.0208571143108105</v>
      </c>
      <c r="E339" s="103">
        <v>1.1747228928094979</v>
      </c>
    </row>
    <row r="340" spans="2:5" x14ac:dyDescent="0.3">
      <c r="B340" s="101">
        <f t="shared" si="12"/>
        <v>293</v>
      </c>
      <c r="C340" s="102">
        <v>5.4567312508043177E-2</v>
      </c>
      <c r="D340" s="102">
        <v>0.91881281754159871</v>
      </c>
      <c r="E340" s="103">
        <v>0.87420310662656442</v>
      </c>
    </row>
    <row r="341" spans="2:5" x14ac:dyDescent="0.3">
      <c r="B341" s="101">
        <f t="shared" si="12"/>
        <v>294</v>
      </c>
      <c r="C341" s="102">
        <v>3.3746714131510563E-2</v>
      </c>
      <c r="D341" s="102">
        <v>0.9738399448490147</v>
      </c>
      <c r="E341" s="103">
        <v>1.1864979894979522</v>
      </c>
    </row>
    <row r="342" spans="2:5" x14ac:dyDescent="0.3">
      <c r="B342" s="101">
        <f t="shared" si="12"/>
        <v>295</v>
      </c>
      <c r="C342" s="102">
        <v>3.8430794955540637E-2</v>
      </c>
      <c r="D342" s="102">
        <v>0.98962418304963662</v>
      </c>
      <c r="E342" s="103">
        <v>1.1499828411676378</v>
      </c>
    </row>
    <row r="343" spans="2:5" x14ac:dyDescent="0.3">
      <c r="B343" s="101">
        <f t="shared" si="12"/>
        <v>296</v>
      </c>
      <c r="C343" s="102">
        <v>3.1876051907426359E-2</v>
      </c>
      <c r="D343" s="102">
        <v>0.91065423198360662</v>
      </c>
      <c r="E343" s="103">
        <v>1.1453356375064334</v>
      </c>
    </row>
    <row r="344" spans="2:5" x14ac:dyDescent="0.3">
      <c r="B344" s="101">
        <f t="shared" si="12"/>
        <v>297</v>
      </c>
      <c r="C344" s="102">
        <v>3.128355858156992E-2</v>
      </c>
      <c r="D344" s="102">
        <v>1.0313836711569035</v>
      </c>
      <c r="E344" s="103">
        <v>0.96563521568444877</v>
      </c>
    </row>
    <row r="345" spans="2:5" x14ac:dyDescent="0.3">
      <c r="B345" s="101">
        <f t="shared" si="12"/>
        <v>298</v>
      </c>
      <c r="C345" s="102">
        <v>4.2700295944091735E-2</v>
      </c>
      <c r="D345" s="102">
        <v>0.91872466713106893</v>
      </c>
      <c r="E345" s="103">
        <v>0.95205858536766175</v>
      </c>
    </row>
    <row r="346" spans="2:5" x14ac:dyDescent="0.3">
      <c r="B346" s="101">
        <f t="shared" si="12"/>
        <v>299</v>
      </c>
      <c r="C346" s="102">
        <v>3.8483035769476003E-2</v>
      </c>
      <c r="D346" s="102">
        <v>1.0922650458551262</v>
      </c>
      <c r="E346" s="103">
        <v>0.80522956522778477</v>
      </c>
    </row>
    <row r="347" spans="2:5" x14ac:dyDescent="0.3">
      <c r="B347" s="101">
        <f t="shared" si="12"/>
        <v>300</v>
      </c>
      <c r="C347" s="102">
        <v>2.8542512135133279E-2</v>
      </c>
      <c r="D347" s="102">
        <v>1.0645193972517277</v>
      </c>
      <c r="E347" s="103">
        <v>0.98109068195591054</v>
      </c>
    </row>
    <row r="348" spans="2:5" x14ac:dyDescent="0.3">
      <c r="B348" s="101">
        <f t="shared" si="12"/>
        <v>301</v>
      </c>
      <c r="C348" s="102">
        <v>5.2220544241341357E-2</v>
      </c>
      <c r="D348" s="102">
        <v>1.0161621088636026</v>
      </c>
      <c r="E348" s="103">
        <v>0.95393948125212613</v>
      </c>
    </row>
    <row r="349" spans="2:5" x14ac:dyDescent="0.3">
      <c r="B349" s="101">
        <f t="shared" si="12"/>
        <v>302</v>
      </c>
      <c r="C349" s="102">
        <v>3.5509431797425398E-2</v>
      </c>
      <c r="D349" s="102">
        <v>1.0454076420469316</v>
      </c>
      <c r="E349" s="103">
        <v>0.86946872908481776</v>
      </c>
    </row>
    <row r="350" spans="2:5" x14ac:dyDescent="0.3">
      <c r="B350" s="101">
        <f t="shared" si="12"/>
        <v>303</v>
      </c>
      <c r="C350" s="102">
        <v>3.0307854105988255E-2</v>
      </c>
      <c r="D350" s="102">
        <v>0.99478625221568251</v>
      </c>
      <c r="E350" s="103">
        <v>0.98511072216964568</v>
      </c>
    </row>
    <row r="351" spans="2:5" x14ac:dyDescent="0.3">
      <c r="B351" s="101">
        <f t="shared" si="12"/>
        <v>304</v>
      </c>
      <c r="C351" s="102">
        <v>4.0040002450088562E-2</v>
      </c>
      <c r="D351" s="102">
        <v>1.0160467364913071</v>
      </c>
      <c r="E351" s="103">
        <v>1.1079112402660611</v>
      </c>
    </row>
    <row r="352" spans="2:5" x14ac:dyDescent="0.3">
      <c r="B352" s="101">
        <f t="shared" si="12"/>
        <v>305</v>
      </c>
      <c r="C352" s="102">
        <v>4.8001483232468875E-2</v>
      </c>
      <c r="D352" s="102">
        <v>1.0950511218951275</v>
      </c>
      <c r="E352" s="103">
        <v>0.91970880318236159</v>
      </c>
    </row>
    <row r="353" spans="2:5" x14ac:dyDescent="0.3">
      <c r="B353" s="101">
        <f t="shared" si="12"/>
        <v>306</v>
      </c>
      <c r="C353" s="102">
        <v>5.3443130735571401E-2</v>
      </c>
      <c r="D353" s="102">
        <v>0.92462949549354545</v>
      </c>
      <c r="E353" s="103">
        <v>0.94503782414295068</v>
      </c>
    </row>
    <row r="354" spans="2:5" x14ac:dyDescent="0.3">
      <c r="B354" s="101">
        <f t="shared" si="12"/>
        <v>307</v>
      </c>
      <c r="C354" s="102">
        <v>4.0264166703422026E-2</v>
      </c>
      <c r="D354" s="102">
        <v>0.92301017799192242</v>
      </c>
      <c r="E354" s="103">
        <v>1.1976935802376165</v>
      </c>
    </row>
    <row r="355" spans="2:5" x14ac:dyDescent="0.3">
      <c r="B355" s="101">
        <f t="shared" si="12"/>
        <v>308</v>
      </c>
      <c r="C355" s="102">
        <v>5.4363933654991731E-2</v>
      </c>
      <c r="D355" s="102">
        <v>1.0625387479451027</v>
      </c>
      <c r="E355" s="103">
        <v>0.90436705510794435</v>
      </c>
    </row>
    <row r="356" spans="2:5" x14ac:dyDescent="0.3">
      <c r="B356" s="101">
        <f t="shared" si="12"/>
        <v>309</v>
      </c>
      <c r="C356" s="102">
        <v>3.7890639290318898E-2</v>
      </c>
      <c r="D356" s="102">
        <v>1.0627675130166612</v>
      </c>
      <c r="E356" s="103">
        <v>0.92538357589988285</v>
      </c>
    </row>
    <row r="357" spans="2:5" x14ac:dyDescent="0.3">
      <c r="B357" s="101">
        <f t="shared" si="12"/>
        <v>310</v>
      </c>
      <c r="C357" s="102">
        <v>3.7580672277845943E-2</v>
      </c>
      <c r="D357" s="102">
        <v>0.9949522321711739</v>
      </c>
      <c r="E357" s="103">
        <v>0.84054672458375734</v>
      </c>
    </row>
    <row r="358" spans="2:5" x14ac:dyDescent="0.3">
      <c r="B358" s="101">
        <f t="shared" si="12"/>
        <v>311</v>
      </c>
      <c r="C358" s="102">
        <v>4.1824918315496409E-2</v>
      </c>
      <c r="D358" s="102">
        <v>0.99233603372962353</v>
      </c>
      <c r="E358" s="103">
        <v>1.0992144779037372</v>
      </c>
    </row>
    <row r="359" spans="2:5" x14ac:dyDescent="0.3">
      <c r="B359" s="101">
        <f t="shared" si="12"/>
        <v>312</v>
      </c>
      <c r="C359" s="102">
        <v>5.2591124947425058E-2</v>
      </c>
      <c r="D359" s="102">
        <v>1.0513815222134368</v>
      </c>
      <c r="E359" s="103">
        <v>1.1503614556525972</v>
      </c>
    </row>
    <row r="360" spans="2:5" x14ac:dyDescent="0.3">
      <c r="B360" s="101">
        <f t="shared" si="12"/>
        <v>313</v>
      </c>
      <c r="C360" s="102">
        <v>3.9055296627130316E-2</v>
      </c>
      <c r="D360" s="102">
        <v>0.99815084312152724</v>
      </c>
      <c r="E360" s="103">
        <v>0.80246552541857719</v>
      </c>
    </row>
    <row r="361" spans="2:5" x14ac:dyDescent="0.3">
      <c r="B361" s="101">
        <f t="shared" si="12"/>
        <v>314</v>
      </c>
      <c r="C361" s="102">
        <v>3.2576210978877737E-2</v>
      </c>
      <c r="D361" s="102">
        <v>0.93241828028507556</v>
      </c>
      <c r="E361" s="103">
        <v>0.90901628074046381</v>
      </c>
    </row>
    <row r="362" spans="2:5" x14ac:dyDescent="0.3">
      <c r="B362" s="101">
        <f t="shared" si="12"/>
        <v>315</v>
      </c>
      <c r="C362" s="102">
        <v>4.7705924336595137E-2</v>
      </c>
      <c r="D362" s="102">
        <v>1.0363722930587511</v>
      </c>
      <c r="E362" s="103">
        <v>0.9653962172012498</v>
      </c>
    </row>
    <row r="363" spans="2:5" x14ac:dyDescent="0.3">
      <c r="B363" s="101">
        <f t="shared" si="12"/>
        <v>316</v>
      </c>
      <c r="C363" s="102">
        <v>3.1343911329088078E-2</v>
      </c>
      <c r="D363" s="102">
        <v>0.93984183372496</v>
      </c>
      <c r="E363" s="103">
        <v>1.0515231229952442</v>
      </c>
    </row>
    <row r="364" spans="2:5" x14ac:dyDescent="0.3">
      <c r="B364" s="101">
        <f t="shared" si="12"/>
        <v>317</v>
      </c>
      <c r="C364" s="102">
        <v>4.8714102046434449E-2</v>
      </c>
      <c r="D364" s="102">
        <v>1.0464562215279942</v>
      </c>
      <c r="E364" s="103">
        <v>1.0583068219010554</v>
      </c>
    </row>
    <row r="365" spans="2:5" x14ac:dyDescent="0.3">
      <c r="B365" s="101">
        <f t="shared" si="12"/>
        <v>318</v>
      </c>
      <c r="C365" s="102">
        <v>5.2658579984052413E-2</v>
      </c>
      <c r="D365" s="102">
        <v>0.91344270388738447</v>
      </c>
      <c r="E365" s="103">
        <v>0.94867531665700955</v>
      </c>
    </row>
    <row r="366" spans="2:5" x14ac:dyDescent="0.3">
      <c r="B366" s="101">
        <f t="shared" si="12"/>
        <v>319</v>
      </c>
      <c r="C366" s="102">
        <v>4.4865344620341134E-2</v>
      </c>
      <c r="D366" s="102">
        <v>1.0123709769508391</v>
      </c>
      <c r="E366" s="103">
        <v>1.0511487854020425</v>
      </c>
    </row>
    <row r="367" spans="2:5" x14ac:dyDescent="0.3">
      <c r="B367" s="101">
        <f t="shared" si="12"/>
        <v>320</v>
      </c>
      <c r="C367" s="102">
        <v>3.8001834505288448E-2</v>
      </c>
      <c r="D367" s="102">
        <v>1.0745248169636394</v>
      </c>
      <c r="E367" s="103">
        <v>0.87066657103968081</v>
      </c>
    </row>
    <row r="368" spans="2:5" x14ac:dyDescent="0.3">
      <c r="B368" s="101">
        <f t="shared" si="12"/>
        <v>321</v>
      </c>
      <c r="C368" s="102">
        <v>4.2595439883197271E-2</v>
      </c>
      <c r="D368" s="102">
        <v>0.91400236653418054</v>
      </c>
      <c r="E368" s="103">
        <v>1.1271532327086726</v>
      </c>
    </row>
    <row r="369" spans="2:5" x14ac:dyDescent="0.3">
      <c r="B369" s="101">
        <f t="shared" si="12"/>
        <v>322</v>
      </c>
      <c r="C369" s="102">
        <v>3.9310270745674988E-2</v>
      </c>
      <c r="D369" s="102">
        <v>0.90853301606120684</v>
      </c>
      <c r="E369" s="103">
        <v>0.97261128727854929</v>
      </c>
    </row>
    <row r="370" spans="2:5" x14ac:dyDescent="0.3">
      <c r="B370" s="101">
        <f t="shared" ref="B370:B433" si="13">B369+1</f>
        <v>323</v>
      </c>
      <c r="C370" s="102">
        <v>3.2773571511632404E-2</v>
      </c>
      <c r="D370" s="102">
        <v>0.95984387362902202</v>
      </c>
      <c r="E370" s="103">
        <v>1.0832281663750292</v>
      </c>
    </row>
    <row r="371" spans="2:5" x14ac:dyDescent="0.3">
      <c r="B371" s="101">
        <f t="shared" si="13"/>
        <v>324</v>
      </c>
      <c r="C371" s="102">
        <v>2.6241723577993193E-2</v>
      </c>
      <c r="D371" s="102">
        <v>0.96877396359355994</v>
      </c>
      <c r="E371" s="103">
        <v>0.94034362416275286</v>
      </c>
    </row>
    <row r="372" spans="2:5" x14ac:dyDescent="0.3">
      <c r="B372" s="101">
        <f t="shared" si="13"/>
        <v>325</v>
      </c>
      <c r="C372" s="102">
        <v>4.9377387250784409E-2</v>
      </c>
      <c r="D372" s="102">
        <v>0.96005029937221864</v>
      </c>
      <c r="E372" s="103">
        <v>1.0209330817676339</v>
      </c>
    </row>
    <row r="373" spans="2:5" x14ac:dyDescent="0.3">
      <c r="B373" s="101">
        <f t="shared" si="13"/>
        <v>326</v>
      </c>
      <c r="C373" s="102">
        <v>3.8197967218515767E-2</v>
      </c>
      <c r="D373" s="102">
        <v>1.0306010582999729</v>
      </c>
      <c r="E373" s="103">
        <v>0.81931198099847447</v>
      </c>
    </row>
    <row r="374" spans="2:5" x14ac:dyDescent="0.3">
      <c r="B374" s="101">
        <f t="shared" si="13"/>
        <v>327</v>
      </c>
      <c r="C374" s="102">
        <v>3.3275861277765523E-2</v>
      </c>
      <c r="D374" s="102">
        <v>1.076780137386008</v>
      </c>
      <c r="E374" s="103">
        <v>1.0659010968970837</v>
      </c>
    </row>
    <row r="375" spans="2:5" x14ac:dyDescent="0.3">
      <c r="B375" s="101">
        <f t="shared" si="13"/>
        <v>328</v>
      </c>
      <c r="C375" s="102">
        <v>2.8432737347540829E-2</v>
      </c>
      <c r="D375" s="102">
        <v>1.0512139254253803</v>
      </c>
      <c r="E375" s="103">
        <v>1.0205734382498683</v>
      </c>
    </row>
    <row r="376" spans="2:5" x14ac:dyDescent="0.3">
      <c r="B376" s="101">
        <f t="shared" si="13"/>
        <v>329</v>
      </c>
      <c r="C376" s="102">
        <v>4.9673707043279287E-2</v>
      </c>
      <c r="D376" s="102">
        <v>1.0616818700361177</v>
      </c>
      <c r="E376" s="103">
        <v>1.04316344714054</v>
      </c>
    </row>
    <row r="377" spans="2:5" x14ac:dyDescent="0.3">
      <c r="B377" s="101">
        <f t="shared" si="13"/>
        <v>330</v>
      </c>
      <c r="C377" s="102">
        <v>4.1152489624246863E-2</v>
      </c>
      <c r="D377" s="102">
        <v>0.97602084989372218</v>
      </c>
      <c r="E377" s="103">
        <v>0.85162400548919914</v>
      </c>
    </row>
    <row r="378" spans="2:5" x14ac:dyDescent="0.3">
      <c r="B378" s="101">
        <f t="shared" si="13"/>
        <v>331</v>
      </c>
      <c r="C378" s="102">
        <v>2.599710947916788E-2</v>
      </c>
      <c r="D378" s="102">
        <v>1.0587735291382712</v>
      </c>
      <c r="E378" s="103">
        <v>0.90149418467648124</v>
      </c>
    </row>
    <row r="379" spans="2:5" x14ac:dyDescent="0.3">
      <c r="B379" s="101">
        <f t="shared" si="13"/>
        <v>332</v>
      </c>
      <c r="C379" s="102">
        <v>4.6029162991570179E-2</v>
      </c>
      <c r="D379" s="102">
        <v>0.93389885927604299</v>
      </c>
      <c r="E379" s="103">
        <v>0.95329905137600845</v>
      </c>
    </row>
    <row r="380" spans="2:5" x14ac:dyDescent="0.3">
      <c r="B380" s="101">
        <f t="shared" si="13"/>
        <v>333</v>
      </c>
      <c r="C380" s="102">
        <v>3.904937026340017E-2</v>
      </c>
      <c r="D380" s="102">
        <v>1.0416006562447442</v>
      </c>
      <c r="E380" s="103">
        <v>0.95746253410352389</v>
      </c>
    </row>
    <row r="381" spans="2:5" x14ac:dyDescent="0.3">
      <c r="B381" s="101">
        <f t="shared" si="13"/>
        <v>334</v>
      </c>
      <c r="C381" s="102">
        <v>3.4439633594552904E-2</v>
      </c>
      <c r="D381" s="102">
        <v>0.95451220420400895</v>
      </c>
      <c r="E381" s="103">
        <v>0.93625828897510111</v>
      </c>
    </row>
    <row r="382" spans="2:5" x14ac:dyDescent="0.3">
      <c r="B382" s="101">
        <f t="shared" si="13"/>
        <v>335</v>
      </c>
      <c r="C382" s="102">
        <v>2.6471615492316327E-2</v>
      </c>
      <c r="D382" s="102">
        <v>0.93936312705578917</v>
      </c>
      <c r="E382" s="103">
        <v>1.0978469926773771</v>
      </c>
    </row>
    <row r="383" spans="2:5" x14ac:dyDescent="0.3">
      <c r="B383" s="101">
        <f t="shared" si="13"/>
        <v>336</v>
      </c>
      <c r="C383" s="102">
        <v>5.3293567708440306E-2</v>
      </c>
      <c r="D383" s="102">
        <v>1.0600931976625692</v>
      </c>
      <c r="E383" s="103">
        <v>1.0715937142843053</v>
      </c>
    </row>
    <row r="384" spans="2:5" x14ac:dyDescent="0.3">
      <c r="B384" s="101">
        <f t="shared" si="13"/>
        <v>337</v>
      </c>
      <c r="C384" s="102">
        <v>4.3060941214116508E-2</v>
      </c>
      <c r="D384" s="102">
        <v>1.0711374348279645</v>
      </c>
      <c r="E384" s="103">
        <v>0.84100792740677943</v>
      </c>
    </row>
    <row r="385" spans="2:5" x14ac:dyDescent="0.3">
      <c r="B385" s="101">
        <f t="shared" si="13"/>
        <v>338</v>
      </c>
      <c r="C385" s="102">
        <v>4.4222817526319944E-2</v>
      </c>
      <c r="D385" s="102">
        <v>0.92895830994404438</v>
      </c>
      <c r="E385" s="103">
        <v>1.0816328080552942</v>
      </c>
    </row>
    <row r="386" spans="2:5" x14ac:dyDescent="0.3">
      <c r="B386" s="101">
        <f t="shared" si="13"/>
        <v>339</v>
      </c>
      <c r="C386" s="102">
        <v>3.6862102964806111E-2</v>
      </c>
      <c r="D386" s="102">
        <v>1.0139023992752434</v>
      </c>
      <c r="E386" s="103">
        <v>0.89176510813810861</v>
      </c>
    </row>
    <row r="387" spans="2:5" x14ac:dyDescent="0.3">
      <c r="B387" s="101">
        <f t="shared" si="13"/>
        <v>340</v>
      </c>
      <c r="C387" s="102">
        <v>5.4021495632955316E-2</v>
      </c>
      <c r="D387" s="102">
        <v>1.0985711502869986</v>
      </c>
      <c r="E387" s="103">
        <v>0.90067167450336105</v>
      </c>
    </row>
    <row r="388" spans="2:5" x14ac:dyDescent="0.3">
      <c r="B388" s="101">
        <f t="shared" si="13"/>
        <v>341</v>
      </c>
      <c r="C388" s="102">
        <v>4.5503903217460714E-2</v>
      </c>
      <c r="D388" s="102">
        <v>0.97815533081268791</v>
      </c>
      <c r="E388" s="103">
        <v>0.872995982121192</v>
      </c>
    </row>
    <row r="389" spans="2:5" x14ac:dyDescent="0.3">
      <c r="B389" s="101">
        <f t="shared" si="13"/>
        <v>342</v>
      </c>
      <c r="C389" s="102">
        <v>3.7258654462465741E-2</v>
      </c>
      <c r="D389" s="102">
        <v>1.0852346644695856</v>
      </c>
      <c r="E389" s="103">
        <v>0.80471238710022086</v>
      </c>
    </row>
    <row r="390" spans="2:5" x14ac:dyDescent="0.3">
      <c r="B390" s="101">
        <f t="shared" si="13"/>
        <v>343</v>
      </c>
      <c r="C390" s="102">
        <v>3.7349050707016912E-2</v>
      </c>
      <c r="D390" s="102">
        <v>1.0601954860751275</v>
      </c>
      <c r="E390" s="103">
        <v>1.1974832401818194</v>
      </c>
    </row>
    <row r="391" spans="2:5" x14ac:dyDescent="0.3">
      <c r="B391" s="101">
        <f t="shared" si="13"/>
        <v>344</v>
      </c>
      <c r="C391" s="102">
        <v>4.3657436593760778E-2</v>
      </c>
      <c r="D391" s="102">
        <v>0.96602616047561785</v>
      </c>
      <c r="E391" s="103">
        <v>1.0917131565332014</v>
      </c>
    </row>
    <row r="392" spans="2:5" x14ac:dyDescent="0.3">
      <c r="B392" s="101">
        <f t="shared" si="13"/>
        <v>345</v>
      </c>
      <c r="C392" s="102">
        <v>5.059220639150195E-2</v>
      </c>
      <c r="D392" s="102">
        <v>1.076556333827783</v>
      </c>
      <c r="E392" s="103">
        <v>1.0667058008342383</v>
      </c>
    </row>
    <row r="393" spans="2:5" x14ac:dyDescent="0.3">
      <c r="B393" s="101">
        <f t="shared" si="13"/>
        <v>346</v>
      </c>
      <c r="C393" s="102">
        <v>4.9431720351425415E-2</v>
      </c>
      <c r="D393" s="102">
        <v>1.0137642158104949</v>
      </c>
      <c r="E393" s="103">
        <v>1.1959982186052716</v>
      </c>
    </row>
    <row r="394" spans="2:5" x14ac:dyDescent="0.3">
      <c r="B394" s="101">
        <f t="shared" si="13"/>
        <v>347</v>
      </c>
      <c r="C394" s="102">
        <v>4.1570543636381539E-2</v>
      </c>
      <c r="D394" s="102">
        <v>1.0224290120522614</v>
      </c>
      <c r="E394" s="103">
        <v>1.1650241325631201</v>
      </c>
    </row>
    <row r="395" spans="2:5" x14ac:dyDescent="0.3">
      <c r="B395" s="101">
        <f t="shared" si="13"/>
        <v>348</v>
      </c>
      <c r="C395" s="102">
        <v>4.8252440908776194E-2</v>
      </c>
      <c r="D395" s="102">
        <v>0.95029792937717072</v>
      </c>
      <c r="E395" s="103">
        <v>0.83311805335289868</v>
      </c>
    </row>
    <row r="396" spans="2:5" x14ac:dyDescent="0.3">
      <c r="B396" s="101">
        <f t="shared" si="13"/>
        <v>349</v>
      </c>
      <c r="C396" s="102">
        <v>2.9927018269482096E-2</v>
      </c>
      <c r="D396" s="102">
        <v>0.99543247989900341</v>
      </c>
      <c r="E396" s="103">
        <v>0.86447660226724432</v>
      </c>
    </row>
    <row r="397" spans="2:5" x14ac:dyDescent="0.3">
      <c r="B397" s="101">
        <f t="shared" si="13"/>
        <v>350</v>
      </c>
      <c r="C397" s="102">
        <v>4.2815160670169869E-2</v>
      </c>
      <c r="D397" s="102">
        <v>1.0765245537254819</v>
      </c>
      <c r="E397" s="103">
        <v>1.0291020337299825</v>
      </c>
    </row>
    <row r="398" spans="2:5" x14ac:dyDescent="0.3">
      <c r="B398" s="101">
        <f t="shared" si="13"/>
        <v>351</v>
      </c>
      <c r="C398" s="102">
        <v>4.9401749483847998E-2</v>
      </c>
      <c r="D398" s="102">
        <v>0.95941327373671248</v>
      </c>
      <c r="E398" s="103">
        <v>0.84212715608075517</v>
      </c>
    </row>
    <row r="399" spans="2:5" x14ac:dyDescent="0.3">
      <c r="B399" s="101">
        <f t="shared" si="13"/>
        <v>352</v>
      </c>
      <c r="C399" s="102">
        <v>4.2754792804687559E-2</v>
      </c>
      <c r="D399" s="102">
        <v>0.94245078271114147</v>
      </c>
      <c r="E399" s="103">
        <v>1.0670782739775431</v>
      </c>
    </row>
    <row r="400" spans="2:5" x14ac:dyDescent="0.3">
      <c r="B400" s="101">
        <f t="shared" si="13"/>
        <v>353</v>
      </c>
      <c r="C400" s="102">
        <v>5.180573943191466E-2</v>
      </c>
      <c r="D400" s="102">
        <v>0.98938553834541043</v>
      </c>
      <c r="E400" s="103">
        <v>1.105449417306644</v>
      </c>
    </row>
    <row r="401" spans="2:5" x14ac:dyDescent="0.3">
      <c r="B401" s="101">
        <f t="shared" si="13"/>
        <v>354</v>
      </c>
      <c r="C401" s="102">
        <v>4.8459431060246472E-2</v>
      </c>
      <c r="D401" s="102">
        <v>0.95243176690458653</v>
      </c>
      <c r="E401" s="103">
        <v>1.0029902710747063</v>
      </c>
    </row>
    <row r="402" spans="2:5" x14ac:dyDescent="0.3">
      <c r="B402" s="101">
        <f t="shared" si="13"/>
        <v>355</v>
      </c>
      <c r="C402" s="102">
        <v>2.9452445406659297E-2</v>
      </c>
      <c r="D402" s="102">
        <v>0.99074805681605105</v>
      </c>
      <c r="E402" s="103">
        <v>0.99570908052021201</v>
      </c>
    </row>
    <row r="403" spans="2:5" x14ac:dyDescent="0.3">
      <c r="B403" s="101">
        <f t="shared" si="13"/>
        <v>356</v>
      </c>
      <c r="C403" s="102">
        <v>3.2719876381566433E-2</v>
      </c>
      <c r="D403" s="102">
        <v>0.94091061295872591</v>
      </c>
      <c r="E403" s="103">
        <v>0.95111575835082007</v>
      </c>
    </row>
    <row r="404" spans="2:5" x14ac:dyDescent="0.3">
      <c r="B404" s="101">
        <f t="shared" si="13"/>
        <v>357</v>
      </c>
      <c r="C404" s="102">
        <v>4.1349325187766593E-2</v>
      </c>
      <c r="D404" s="102">
        <v>1.0738790831750116</v>
      </c>
      <c r="E404" s="103">
        <v>1.114814091399553</v>
      </c>
    </row>
    <row r="405" spans="2:5" x14ac:dyDescent="0.3">
      <c r="B405" s="101">
        <f t="shared" si="13"/>
        <v>358</v>
      </c>
      <c r="C405" s="102">
        <v>2.7591346569730953E-2</v>
      </c>
      <c r="D405" s="102">
        <v>0.92530232793195144</v>
      </c>
      <c r="E405" s="103">
        <v>1.1314018381187221</v>
      </c>
    </row>
    <row r="406" spans="2:5" x14ac:dyDescent="0.3">
      <c r="B406" s="101">
        <f t="shared" si="13"/>
        <v>359</v>
      </c>
      <c r="C406" s="102">
        <v>4.2865898160841583E-2</v>
      </c>
      <c r="D406" s="102">
        <v>1.0405138658720787</v>
      </c>
      <c r="E406" s="103">
        <v>0.93807317913846233</v>
      </c>
    </row>
    <row r="407" spans="2:5" x14ac:dyDescent="0.3">
      <c r="B407" s="101">
        <f t="shared" si="13"/>
        <v>360</v>
      </c>
      <c r="C407" s="102">
        <v>5.4337061115939618E-2</v>
      </c>
      <c r="D407" s="102">
        <v>0.96881574068118192</v>
      </c>
      <c r="E407" s="103">
        <v>0.96143450479452119</v>
      </c>
    </row>
    <row r="408" spans="2:5" x14ac:dyDescent="0.3">
      <c r="B408" s="101">
        <f t="shared" si="13"/>
        <v>361</v>
      </c>
      <c r="C408" s="102">
        <v>5.0873279921082648E-2</v>
      </c>
      <c r="D408" s="102">
        <v>1.0870803752554006</v>
      </c>
      <c r="E408" s="103">
        <v>0.85994273019867851</v>
      </c>
    </row>
    <row r="409" spans="2:5" x14ac:dyDescent="0.3">
      <c r="B409" s="101">
        <f t="shared" si="13"/>
        <v>362</v>
      </c>
      <c r="C409" s="102">
        <v>4.1997793208724835E-2</v>
      </c>
      <c r="D409" s="102">
        <v>0.91865379258700486</v>
      </c>
      <c r="E409" s="103">
        <v>0.92898423378344397</v>
      </c>
    </row>
    <row r="410" spans="2:5" x14ac:dyDescent="0.3">
      <c r="B410" s="101">
        <f t="shared" si="13"/>
        <v>363</v>
      </c>
      <c r="C410" s="102">
        <v>4.8776385805545247E-2</v>
      </c>
      <c r="D410" s="102">
        <v>1.046468679954804</v>
      </c>
      <c r="E410" s="103">
        <v>1.1475562292902588</v>
      </c>
    </row>
    <row r="411" spans="2:5" x14ac:dyDescent="0.3">
      <c r="B411" s="101">
        <f t="shared" si="13"/>
        <v>364</v>
      </c>
      <c r="C411" s="102">
        <v>4.8745137254769665E-2</v>
      </c>
      <c r="D411" s="102">
        <v>1.0347511892439742</v>
      </c>
      <c r="E411" s="103">
        <v>0.86405358606086025</v>
      </c>
    </row>
    <row r="412" spans="2:5" x14ac:dyDescent="0.3">
      <c r="B412" s="101">
        <f t="shared" si="13"/>
        <v>365</v>
      </c>
      <c r="C412" s="102">
        <v>3.6231798043630817E-2</v>
      </c>
      <c r="D412" s="102">
        <v>0.98158645642158937</v>
      </c>
      <c r="E412" s="103">
        <v>1.1293011817875251</v>
      </c>
    </row>
    <row r="413" spans="2:5" x14ac:dyDescent="0.3">
      <c r="B413" s="101">
        <f t="shared" si="13"/>
        <v>366</v>
      </c>
      <c r="C413" s="102">
        <v>4.314244890539376E-2</v>
      </c>
      <c r="D413" s="102">
        <v>1.0948125117388832</v>
      </c>
      <c r="E413" s="103">
        <v>1.0457995863594209</v>
      </c>
    </row>
    <row r="414" spans="2:5" x14ac:dyDescent="0.3">
      <c r="B414" s="101">
        <f t="shared" si="13"/>
        <v>367</v>
      </c>
      <c r="C414" s="102">
        <v>3.5627016242495667E-2</v>
      </c>
      <c r="D414" s="102">
        <v>1.0162650987940811</v>
      </c>
      <c r="E414" s="103">
        <v>0.8161546189894282</v>
      </c>
    </row>
    <row r="415" spans="2:5" x14ac:dyDescent="0.3">
      <c r="B415" s="101">
        <f t="shared" si="13"/>
        <v>368</v>
      </c>
      <c r="C415" s="102">
        <v>3.4610115143097447E-2</v>
      </c>
      <c r="D415" s="102">
        <v>0.97194904770149593</v>
      </c>
      <c r="E415" s="103">
        <v>1.1072886974882847</v>
      </c>
    </row>
    <row r="416" spans="2:5" x14ac:dyDescent="0.3">
      <c r="B416" s="101">
        <f t="shared" si="13"/>
        <v>369</v>
      </c>
      <c r="C416" s="102">
        <v>4.236874408765403E-2</v>
      </c>
      <c r="D416" s="102">
        <v>1.0079391845770487</v>
      </c>
      <c r="E416" s="103">
        <v>0.8093571237834607</v>
      </c>
    </row>
    <row r="417" spans="2:5" x14ac:dyDescent="0.3">
      <c r="B417" s="101">
        <f t="shared" si="13"/>
        <v>370</v>
      </c>
      <c r="C417" s="102">
        <v>4.3068523778998134E-2</v>
      </c>
      <c r="D417" s="102">
        <v>1.0344124503449088</v>
      </c>
      <c r="E417" s="103">
        <v>0.97480840691015491</v>
      </c>
    </row>
    <row r="418" spans="2:5" x14ac:dyDescent="0.3">
      <c r="B418" s="101">
        <f t="shared" si="13"/>
        <v>371</v>
      </c>
      <c r="C418" s="102">
        <v>3.6742611382901552E-2</v>
      </c>
      <c r="D418" s="102">
        <v>0.95760703651796386</v>
      </c>
      <c r="E418" s="103">
        <v>0.8368136517462117</v>
      </c>
    </row>
    <row r="419" spans="2:5" x14ac:dyDescent="0.3">
      <c r="B419" s="101">
        <f t="shared" si="13"/>
        <v>372</v>
      </c>
      <c r="C419" s="102">
        <v>3.8497004699175962E-2</v>
      </c>
      <c r="D419" s="102">
        <v>1.0876306706313061</v>
      </c>
      <c r="E419" s="103">
        <v>1.1039228393523068</v>
      </c>
    </row>
    <row r="420" spans="2:5" x14ac:dyDescent="0.3">
      <c r="B420" s="101">
        <f t="shared" si="13"/>
        <v>373</v>
      </c>
      <c r="C420" s="102">
        <v>3.2536407933602421E-2</v>
      </c>
      <c r="D420" s="102">
        <v>0.92367477762145456</v>
      </c>
      <c r="E420" s="103">
        <v>0.83755569879973968</v>
      </c>
    </row>
    <row r="421" spans="2:5" x14ac:dyDescent="0.3">
      <c r="B421" s="101">
        <f t="shared" si="13"/>
        <v>374</v>
      </c>
      <c r="C421" s="102">
        <v>3.4711385613687799E-2</v>
      </c>
      <c r="D421" s="102">
        <v>0.99945033429580166</v>
      </c>
      <c r="E421" s="103">
        <v>1.1529211223801037</v>
      </c>
    </row>
    <row r="422" spans="2:5" x14ac:dyDescent="0.3">
      <c r="B422" s="101">
        <f t="shared" si="13"/>
        <v>375</v>
      </c>
      <c r="C422" s="102">
        <v>3.1270092279121697E-2</v>
      </c>
      <c r="D422" s="102">
        <v>1.0627116523953071</v>
      </c>
      <c r="E422" s="103">
        <v>1.1417617490233112</v>
      </c>
    </row>
    <row r="423" spans="2:5" x14ac:dyDescent="0.3">
      <c r="B423" s="101">
        <f t="shared" si="13"/>
        <v>376</v>
      </c>
      <c r="C423" s="102">
        <v>2.928323622225781E-2</v>
      </c>
      <c r="D423" s="102">
        <v>1.0315376167344537</v>
      </c>
      <c r="E423" s="103">
        <v>0.95715760948837691</v>
      </c>
    </row>
    <row r="424" spans="2:5" x14ac:dyDescent="0.3">
      <c r="B424" s="101">
        <f t="shared" si="13"/>
        <v>377</v>
      </c>
      <c r="C424" s="102">
        <v>2.7706137410597041E-2</v>
      </c>
      <c r="D424" s="102">
        <v>1.0914078193882792</v>
      </c>
      <c r="E424" s="103">
        <v>1.1918969939456465</v>
      </c>
    </row>
    <row r="425" spans="2:5" x14ac:dyDescent="0.3">
      <c r="B425" s="101">
        <f t="shared" si="13"/>
        <v>378</v>
      </c>
      <c r="C425" s="102">
        <v>2.7961202456161627E-2</v>
      </c>
      <c r="D425" s="102">
        <v>1.0780936481422183</v>
      </c>
      <c r="E425" s="103">
        <v>0.9062651506362267</v>
      </c>
    </row>
    <row r="426" spans="2:5" x14ac:dyDescent="0.3">
      <c r="B426" s="101">
        <f t="shared" si="13"/>
        <v>379</v>
      </c>
      <c r="C426" s="102">
        <v>4.3514238999696357E-2</v>
      </c>
      <c r="D426" s="102">
        <v>1.0250468274224918</v>
      </c>
      <c r="E426" s="103">
        <v>0.91648101888040956</v>
      </c>
    </row>
    <row r="427" spans="2:5" x14ac:dyDescent="0.3">
      <c r="B427" s="101">
        <f t="shared" si="13"/>
        <v>380</v>
      </c>
      <c r="C427" s="102">
        <v>4.1797959950023569E-2</v>
      </c>
      <c r="D427" s="102">
        <v>1.0843260517239734</v>
      </c>
      <c r="E427" s="103">
        <v>1.0289463254897055</v>
      </c>
    </row>
    <row r="428" spans="2:5" x14ac:dyDescent="0.3">
      <c r="B428" s="101">
        <f t="shared" si="13"/>
        <v>381</v>
      </c>
      <c r="C428" s="102">
        <v>4.6579371243985992E-2</v>
      </c>
      <c r="D428" s="102">
        <v>1.0454096174568519</v>
      </c>
      <c r="E428" s="103">
        <v>1.0570378397653872</v>
      </c>
    </row>
    <row r="429" spans="2:5" x14ac:dyDescent="0.3">
      <c r="B429" s="101">
        <f t="shared" si="13"/>
        <v>382</v>
      </c>
      <c r="C429" s="102">
        <v>5.1663160307470757E-2</v>
      </c>
      <c r="D429" s="102">
        <v>1.0609823176221254</v>
      </c>
      <c r="E429" s="103">
        <v>1.0419725708651675</v>
      </c>
    </row>
    <row r="430" spans="2:5" x14ac:dyDescent="0.3">
      <c r="B430" s="101">
        <f t="shared" si="13"/>
        <v>383</v>
      </c>
      <c r="C430" s="102">
        <v>5.0518534826448309E-2</v>
      </c>
      <c r="D430" s="102">
        <v>0.90168851223257096</v>
      </c>
      <c r="E430" s="103">
        <v>1.0060260375389241</v>
      </c>
    </row>
    <row r="431" spans="2:5" x14ac:dyDescent="0.3">
      <c r="B431" s="101">
        <f t="shared" si="13"/>
        <v>384</v>
      </c>
      <c r="C431" s="102">
        <v>3.6130762414912768E-2</v>
      </c>
      <c r="D431" s="102">
        <v>1.0815087061996458</v>
      </c>
      <c r="E431" s="103">
        <v>1.0437869581540553</v>
      </c>
    </row>
    <row r="432" spans="2:5" x14ac:dyDescent="0.3">
      <c r="B432" s="101">
        <f t="shared" si="13"/>
        <v>385</v>
      </c>
      <c r="C432" s="102">
        <v>5.0983208084098244E-2</v>
      </c>
      <c r="D432" s="102">
        <v>1.0767259225125871</v>
      </c>
      <c r="E432" s="103">
        <v>1.1198910493288396</v>
      </c>
    </row>
    <row r="433" spans="2:5" x14ac:dyDescent="0.3">
      <c r="B433" s="101">
        <f t="shared" si="13"/>
        <v>386</v>
      </c>
      <c r="C433" s="102">
        <v>4.3642495911875641E-2</v>
      </c>
      <c r="D433" s="102">
        <v>1.0450996884552357</v>
      </c>
      <c r="E433" s="103">
        <v>0.89365302520004219</v>
      </c>
    </row>
    <row r="434" spans="2:5" x14ac:dyDescent="0.3">
      <c r="B434" s="101">
        <f t="shared" ref="B434:B497" si="14">B433+1</f>
        <v>387</v>
      </c>
      <c r="C434" s="102">
        <v>4.7012971236845544E-2</v>
      </c>
      <c r="D434" s="102">
        <v>1.0241816999791196</v>
      </c>
      <c r="E434" s="103">
        <v>1.0859922855142612</v>
      </c>
    </row>
    <row r="435" spans="2:5" x14ac:dyDescent="0.3">
      <c r="B435" s="101">
        <f t="shared" si="14"/>
        <v>388</v>
      </c>
      <c r="C435" s="102">
        <v>4.3464281392276025E-2</v>
      </c>
      <c r="D435" s="102">
        <v>1.0695266848419431</v>
      </c>
      <c r="E435" s="103">
        <v>1.0747505677358433</v>
      </c>
    </row>
    <row r="436" spans="2:5" x14ac:dyDescent="0.3">
      <c r="B436" s="101">
        <f t="shared" si="14"/>
        <v>389</v>
      </c>
      <c r="C436" s="102">
        <v>4.349058358578152E-2</v>
      </c>
      <c r="D436" s="102">
        <v>0.99266434357846323</v>
      </c>
      <c r="E436" s="103">
        <v>0.8452059512813469</v>
      </c>
    </row>
    <row r="437" spans="2:5" x14ac:dyDescent="0.3">
      <c r="B437" s="101">
        <f t="shared" si="14"/>
        <v>390</v>
      </c>
      <c r="C437" s="102">
        <v>5.2067106548585075E-2</v>
      </c>
      <c r="D437" s="102">
        <v>0.95865814399657634</v>
      </c>
      <c r="E437" s="103">
        <v>1.0211187691544161</v>
      </c>
    </row>
    <row r="438" spans="2:5" x14ac:dyDescent="0.3">
      <c r="B438" s="101">
        <f t="shared" si="14"/>
        <v>391</v>
      </c>
      <c r="C438" s="102">
        <v>4.5133871315444753E-2</v>
      </c>
      <c r="D438" s="102">
        <v>1.0461126660982614</v>
      </c>
      <c r="E438" s="103">
        <v>1.1688043693776069</v>
      </c>
    </row>
    <row r="439" spans="2:5" x14ac:dyDescent="0.3">
      <c r="B439" s="101">
        <f t="shared" si="14"/>
        <v>392</v>
      </c>
      <c r="C439" s="102">
        <v>2.8700623462005748E-2</v>
      </c>
      <c r="D439" s="102">
        <v>0.97570940970954867</v>
      </c>
      <c r="E439" s="103">
        <v>0.97626505170460365</v>
      </c>
    </row>
    <row r="440" spans="2:5" x14ac:dyDescent="0.3">
      <c r="B440" s="101">
        <f t="shared" si="14"/>
        <v>393</v>
      </c>
      <c r="C440" s="102">
        <v>2.7841116541107182E-2</v>
      </c>
      <c r="D440" s="102">
        <v>1.0634598330628446</v>
      </c>
      <c r="E440" s="103">
        <v>1.0757406822277611</v>
      </c>
    </row>
    <row r="441" spans="2:5" x14ac:dyDescent="0.3">
      <c r="B441" s="101">
        <f t="shared" si="14"/>
        <v>394</v>
      </c>
      <c r="C441" s="102">
        <v>4.0730056145324635E-2</v>
      </c>
      <c r="D441" s="102">
        <v>1.0573532488439135</v>
      </c>
      <c r="E441" s="103">
        <v>1.1811530409433444</v>
      </c>
    </row>
    <row r="442" spans="2:5" x14ac:dyDescent="0.3">
      <c r="B442" s="101">
        <f t="shared" si="14"/>
        <v>395</v>
      </c>
      <c r="C442" s="102">
        <v>3.1375969352585624E-2</v>
      </c>
      <c r="D442" s="102">
        <v>0.99344060907601672</v>
      </c>
      <c r="E442" s="103">
        <v>0.82631985366287719</v>
      </c>
    </row>
    <row r="443" spans="2:5" x14ac:dyDescent="0.3">
      <c r="B443" s="101">
        <f t="shared" si="14"/>
        <v>396</v>
      </c>
      <c r="C443" s="102">
        <v>4.8417965937844976E-2</v>
      </c>
      <c r="D443" s="102">
        <v>0.91790620675736201</v>
      </c>
      <c r="E443" s="103">
        <v>0.97290167398478467</v>
      </c>
    </row>
    <row r="444" spans="2:5" x14ac:dyDescent="0.3">
      <c r="B444" s="101">
        <f t="shared" si="14"/>
        <v>397</v>
      </c>
      <c r="C444" s="102">
        <v>3.8832870471991257E-2</v>
      </c>
      <c r="D444" s="102">
        <v>1.0767515173074758</v>
      </c>
      <c r="E444" s="103">
        <v>0.90701432299018547</v>
      </c>
    </row>
    <row r="445" spans="2:5" x14ac:dyDescent="0.3">
      <c r="B445" s="101">
        <f t="shared" si="14"/>
        <v>398</v>
      </c>
      <c r="C445" s="102">
        <v>4.1817927694050884E-2</v>
      </c>
      <c r="D445" s="102">
        <v>0.95612917110482232</v>
      </c>
      <c r="E445" s="103">
        <v>1.008044680665976</v>
      </c>
    </row>
    <row r="446" spans="2:5" x14ac:dyDescent="0.3">
      <c r="B446" s="101">
        <f t="shared" si="14"/>
        <v>399</v>
      </c>
      <c r="C446" s="102">
        <v>3.303844781796756E-2</v>
      </c>
      <c r="D446" s="102">
        <v>0.96296235602821301</v>
      </c>
      <c r="E446" s="103">
        <v>1.0510301573428735</v>
      </c>
    </row>
    <row r="447" spans="2:5" x14ac:dyDescent="0.3">
      <c r="B447" s="101">
        <f t="shared" si="14"/>
        <v>400</v>
      </c>
      <c r="C447" s="102">
        <v>5.3000492371158739E-2</v>
      </c>
      <c r="D447" s="102">
        <v>1.0255208863975338</v>
      </c>
      <c r="E447" s="103">
        <v>1.0346699208021819</v>
      </c>
    </row>
    <row r="448" spans="2:5" x14ac:dyDescent="0.3">
      <c r="B448" s="101">
        <f t="shared" si="14"/>
        <v>401</v>
      </c>
      <c r="C448" s="102">
        <v>4.8105955714183954E-2</v>
      </c>
      <c r="D448" s="102">
        <v>1.0261275618316013</v>
      </c>
      <c r="E448" s="103">
        <v>1.1583248961214725</v>
      </c>
    </row>
    <row r="449" spans="2:5" x14ac:dyDescent="0.3">
      <c r="B449" s="101">
        <f t="shared" si="14"/>
        <v>402</v>
      </c>
      <c r="C449" s="102">
        <v>3.7500403706310796E-2</v>
      </c>
      <c r="D449" s="102">
        <v>0.94753809321157545</v>
      </c>
      <c r="E449" s="103">
        <v>0.87277161429039452</v>
      </c>
    </row>
    <row r="450" spans="2:5" x14ac:dyDescent="0.3">
      <c r="B450" s="101">
        <f t="shared" si="14"/>
        <v>403</v>
      </c>
      <c r="C450" s="102">
        <v>5.2255414939664513E-2</v>
      </c>
      <c r="D450" s="102">
        <v>1.0879914048249291</v>
      </c>
      <c r="E450" s="103">
        <v>1.0113890733106692</v>
      </c>
    </row>
    <row r="451" spans="2:5" x14ac:dyDescent="0.3">
      <c r="B451" s="101">
        <f t="shared" si="14"/>
        <v>404</v>
      </c>
      <c r="C451" s="102">
        <v>3.0778019546534488E-2</v>
      </c>
      <c r="D451" s="102">
        <v>1.0011619807938037</v>
      </c>
      <c r="E451" s="103">
        <v>0.9472984184490072</v>
      </c>
    </row>
    <row r="452" spans="2:5" x14ac:dyDescent="0.3">
      <c r="B452" s="101">
        <f t="shared" si="14"/>
        <v>405</v>
      </c>
      <c r="C452" s="102">
        <v>2.6987264558059516E-2</v>
      </c>
      <c r="D452" s="102">
        <v>1.0749131170804276</v>
      </c>
      <c r="E452" s="103">
        <v>0.95617183878502476</v>
      </c>
    </row>
    <row r="453" spans="2:5" x14ac:dyDescent="0.3">
      <c r="B453" s="101">
        <f t="shared" si="14"/>
        <v>406</v>
      </c>
      <c r="C453" s="102">
        <v>3.7387055381212307E-2</v>
      </c>
      <c r="D453" s="102">
        <v>1.0597102488078161</v>
      </c>
      <c r="E453" s="103">
        <v>0.9196165191240957</v>
      </c>
    </row>
    <row r="454" spans="2:5" x14ac:dyDescent="0.3">
      <c r="B454" s="101">
        <f t="shared" si="14"/>
        <v>407</v>
      </c>
      <c r="C454" s="102">
        <v>4.7244874202398437E-2</v>
      </c>
      <c r="D454" s="102">
        <v>1.0758318869550239</v>
      </c>
      <c r="E454" s="103">
        <v>0.91890669835597705</v>
      </c>
    </row>
    <row r="455" spans="2:5" x14ac:dyDescent="0.3">
      <c r="B455" s="101">
        <f t="shared" si="14"/>
        <v>408</v>
      </c>
      <c r="C455" s="102">
        <v>2.577737568496731E-2</v>
      </c>
      <c r="D455" s="102">
        <v>0.9308863435598913</v>
      </c>
      <c r="E455" s="103">
        <v>1.0530065675087346</v>
      </c>
    </row>
    <row r="456" spans="2:5" x14ac:dyDescent="0.3">
      <c r="B456" s="101">
        <f t="shared" si="14"/>
        <v>409</v>
      </c>
      <c r="C456" s="102">
        <v>4.7727741784793526E-2</v>
      </c>
      <c r="D456" s="102">
        <v>1.0777145061234334</v>
      </c>
      <c r="E456" s="103">
        <v>1.1680737740796427</v>
      </c>
    </row>
    <row r="457" spans="2:5" x14ac:dyDescent="0.3">
      <c r="B457" s="101">
        <f t="shared" si="14"/>
        <v>410</v>
      </c>
      <c r="C457" s="102">
        <v>5.2958426626409913E-2</v>
      </c>
      <c r="D457" s="102">
        <v>0.98857790267431755</v>
      </c>
      <c r="E457" s="103">
        <v>0.8226570365057887</v>
      </c>
    </row>
    <row r="458" spans="2:5" x14ac:dyDescent="0.3">
      <c r="B458" s="101">
        <f t="shared" si="14"/>
        <v>411</v>
      </c>
      <c r="C458" s="102">
        <v>4.0801971790670369E-2</v>
      </c>
      <c r="D458" s="102">
        <v>1.0115441832921803</v>
      </c>
      <c r="E458" s="103">
        <v>1.1901487503195811</v>
      </c>
    </row>
    <row r="459" spans="2:5" x14ac:dyDescent="0.3">
      <c r="B459" s="101">
        <f t="shared" si="14"/>
        <v>412</v>
      </c>
      <c r="C459" s="102">
        <v>3.6499976828522768E-2</v>
      </c>
      <c r="D459" s="102">
        <v>1.0466086333303835</v>
      </c>
      <c r="E459" s="103">
        <v>0.82455007565866523</v>
      </c>
    </row>
    <row r="460" spans="2:5" x14ac:dyDescent="0.3">
      <c r="B460" s="101">
        <f t="shared" si="14"/>
        <v>413</v>
      </c>
      <c r="C460" s="102">
        <v>3.075536513401398E-2</v>
      </c>
      <c r="D460" s="102">
        <v>0.91891379671344042</v>
      </c>
      <c r="E460" s="103">
        <v>1.1855857599486055</v>
      </c>
    </row>
    <row r="461" spans="2:5" x14ac:dyDescent="0.3">
      <c r="B461" s="101">
        <f t="shared" si="14"/>
        <v>414</v>
      </c>
      <c r="C461" s="102">
        <v>2.5807143217490329E-2</v>
      </c>
      <c r="D461" s="102">
        <v>0.97761142323603323</v>
      </c>
      <c r="E461" s="103">
        <v>0.91192870071485732</v>
      </c>
    </row>
    <row r="462" spans="2:5" x14ac:dyDescent="0.3">
      <c r="B462" s="101">
        <f t="shared" si="14"/>
        <v>415</v>
      </c>
      <c r="C462" s="102">
        <v>4.7322978287921758E-2</v>
      </c>
      <c r="D462" s="102">
        <v>1.0817383656564432</v>
      </c>
      <c r="E462" s="103">
        <v>0.8162397193113764</v>
      </c>
    </row>
    <row r="463" spans="2:5" x14ac:dyDescent="0.3">
      <c r="B463" s="101">
        <f t="shared" si="14"/>
        <v>416</v>
      </c>
      <c r="C463" s="102">
        <v>3.5574971729755087E-2</v>
      </c>
      <c r="D463" s="102">
        <v>1.0852580709878574</v>
      </c>
      <c r="E463" s="103">
        <v>0.81587041314279496</v>
      </c>
    </row>
    <row r="464" spans="2:5" x14ac:dyDescent="0.3">
      <c r="B464" s="101">
        <f t="shared" si="14"/>
        <v>417</v>
      </c>
      <c r="C464" s="102">
        <v>4.4330353076038838E-2</v>
      </c>
      <c r="D464" s="102">
        <v>1.0249609415277559</v>
      </c>
      <c r="E464" s="103">
        <v>1.0727354203665984</v>
      </c>
    </row>
    <row r="465" spans="2:5" x14ac:dyDescent="0.3">
      <c r="B465" s="101">
        <f t="shared" si="14"/>
        <v>418</v>
      </c>
      <c r="C465" s="102">
        <v>3.8733687518794739E-2</v>
      </c>
      <c r="D465" s="102">
        <v>0.96988735557817851</v>
      </c>
      <c r="E465" s="103">
        <v>0.98685353530077657</v>
      </c>
    </row>
    <row r="466" spans="2:5" x14ac:dyDescent="0.3">
      <c r="B466" s="101">
        <f t="shared" si="14"/>
        <v>419</v>
      </c>
      <c r="C466" s="102">
        <v>2.8335038096686003E-2</v>
      </c>
      <c r="D466" s="102">
        <v>1.0461491877113518</v>
      </c>
      <c r="E466" s="103">
        <v>1.0615436351637186</v>
      </c>
    </row>
    <row r="467" spans="2:5" x14ac:dyDescent="0.3">
      <c r="B467" s="101">
        <f t="shared" si="14"/>
        <v>420</v>
      </c>
      <c r="C467" s="102">
        <v>4.8035997437854958E-2</v>
      </c>
      <c r="D467" s="102">
        <v>0.99009121820217683</v>
      </c>
      <c r="E467" s="103">
        <v>1.0857282355423592</v>
      </c>
    </row>
    <row r="468" spans="2:5" x14ac:dyDescent="0.3">
      <c r="B468" s="101">
        <f t="shared" si="14"/>
        <v>421</v>
      </c>
      <c r="C468" s="102">
        <v>3.8976355173138952E-2</v>
      </c>
      <c r="D468" s="102">
        <v>0.9944107415645832</v>
      </c>
      <c r="E468" s="103">
        <v>0.92899220937408633</v>
      </c>
    </row>
    <row r="469" spans="2:5" x14ac:dyDescent="0.3">
      <c r="B469" s="101">
        <f t="shared" si="14"/>
        <v>422</v>
      </c>
      <c r="C469" s="102">
        <v>3.812451856754806E-2</v>
      </c>
      <c r="D469" s="102">
        <v>0.93654100163319132</v>
      </c>
      <c r="E469" s="103">
        <v>0.97451104379244169</v>
      </c>
    </row>
    <row r="470" spans="2:5" x14ac:dyDescent="0.3">
      <c r="B470" s="101">
        <f t="shared" si="14"/>
        <v>423</v>
      </c>
      <c r="C470" s="102">
        <v>2.6133401514679119E-2</v>
      </c>
      <c r="D470" s="102">
        <v>1.0214647155354319</v>
      </c>
      <c r="E470" s="103">
        <v>1.1637758890334216</v>
      </c>
    </row>
    <row r="471" spans="2:5" x14ac:dyDescent="0.3">
      <c r="B471" s="101">
        <f t="shared" si="14"/>
        <v>424</v>
      </c>
      <c r="C471" s="102">
        <v>3.2950913455004303E-2</v>
      </c>
      <c r="D471" s="102">
        <v>0.9941861403474701</v>
      </c>
      <c r="E471" s="103">
        <v>0.80802224028335656</v>
      </c>
    </row>
    <row r="472" spans="2:5" x14ac:dyDescent="0.3">
      <c r="B472" s="101">
        <f t="shared" si="14"/>
        <v>425</v>
      </c>
      <c r="C472" s="102">
        <v>4.2942501494841419E-2</v>
      </c>
      <c r="D472" s="102">
        <v>0.93164247398515521</v>
      </c>
      <c r="E472" s="103">
        <v>0.85270573620603229</v>
      </c>
    </row>
    <row r="473" spans="2:5" x14ac:dyDescent="0.3">
      <c r="B473" s="101">
        <f t="shared" si="14"/>
        <v>426</v>
      </c>
      <c r="C473" s="102">
        <v>4.8210059737544289E-2</v>
      </c>
      <c r="D473" s="102">
        <v>1.0565889893089542</v>
      </c>
      <c r="E473" s="103">
        <v>0.87114574153115432</v>
      </c>
    </row>
    <row r="474" spans="2:5" x14ac:dyDescent="0.3">
      <c r="B474" s="101">
        <f t="shared" si="14"/>
        <v>427</v>
      </c>
      <c r="C474" s="102">
        <v>4.3597810759288383E-2</v>
      </c>
      <c r="D474" s="102">
        <v>0.93668514446143536</v>
      </c>
      <c r="E474" s="103">
        <v>1.1125280572749265</v>
      </c>
    </row>
    <row r="475" spans="2:5" x14ac:dyDescent="0.3">
      <c r="B475" s="101">
        <f t="shared" si="14"/>
        <v>428</v>
      </c>
      <c r="C475" s="102">
        <v>5.1488601318138261E-2</v>
      </c>
      <c r="D475" s="102">
        <v>1.0244693740957238</v>
      </c>
      <c r="E475" s="103">
        <v>1.0175289419952931</v>
      </c>
    </row>
    <row r="476" spans="2:5" x14ac:dyDescent="0.3">
      <c r="B476" s="101">
        <f t="shared" si="14"/>
        <v>429</v>
      </c>
      <c r="C476" s="102">
        <v>3.515033845406499E-2</v>
      </c>
      <c r="D476" s="102">
        <v>0.96752661482930602</v>
      </c>
      <c r="E476" s="103">
        <v>1.0345559359748107</v>
      </c>
    </row>
    <row r="477" spans="2:5" x14ac:dyDescent="0.3">
      <c r="B477" s="101">
        <f t="shared" si="14"/>
        <v>430</v>
      </c>
      <c r="C477" s="102">
        <v>4.9331742051612303E-2</v>
      </c>
      <c r="D477" s="102">
        <v>1.0873842731013748</v>
      </c>
      <c r="E477" s="103">
        <v>1.1159593127980929</v>
      </c>
    </row>
    <row r="478" spans="2:5" x14ac:dyDescent="0.3">
      <c r="B478" s="101">
        <f t="shared" si="14"/>
        <v>431</v>
      </c>
      <c r="C478" s="102">
        <v>3.5349374747059542E-2</v>
      </c>
      <c r="D478" s="102">
        <v>0.92003229793143904</v>
      </c>
      <c r="E478" s="103">
        <v>0.95270810033389508</v>
      </c>
    </row>
    <row r="479" spans="2:5" x14ac:dyDescent="0.3">
      <c r="B479" s="101">
        <f t="shared" si="14"/>
        <v>432</v>
      </c>
      <c r="C479" s="102">
        <v>4.9744913405474961E-2</v>
      </c>
      <c r="D479" s="102">
        <v>1.0728027355575205</v>
      </c>
      <c r="E479" s="103">
        <v>0.85552318164243846</v>
      </c>
    </row>
    <row r="480" spans="2:5" x14ac:dyDescent="0.3">
      <c r="B480" s="101">
        <f t="shared" si="14"/>
        <v>433</v>
      </c>
      <c r="C480" s="102">
        <v>4.5966550779002344E-2</v>
      </c>
      <c r="D480" s="102">
        <v>1.0913202524098462</v>
      </c>
      <c r="E480" s="103">
        <v>1.1447982448133738</v>
      </c>
    </row>
    <row r="481" spans="2:5" x14ac:dyDescent="0.3">
      <c r="B481" s="101">
        <f t="shared" si="14"/>
        <v>434</v>
      </c>
      <c r="C481" s="102">
        <v>3.8535766533744471E-2</v>
      </c>
      <c r="D481" s="102">
        <v>0.97436503016611331</v>
      </c>
      <c r="E481" s="103">
        <v>0.91418931488353161</v>
      </c>
    </row>
    <row r="482" spans="2:5" x14ac:dyDescent="0.3">
      <c r="B482" s="101">
        <f t="shared" si="14"/>
        <v>435</v>
      </c>
      <c r="C482" s="102">
        <v>3.4822851219948686E-2</v>
      </c>
      <c r="D482" s="102">
        <v>1.0870891910195783</v>
      </c>
      <c r="E482" s="103">
        <v>1.1859606313128286</v>
      </c>
    </row>
    <row r="483" spans="2:5" x14ac:dyDescent="0.3">
      <c r="B483" s="101">
        <f t="shared" si="14"/>
        <v>436</v>
      </c>
      <c r="C483" s="102">
        <v>4.4695549653495481E-2</v>
      </c>
      <c r="D483" s="102">
        <v>0.97733376057764232</v>
      </c>
      <c r="E483" s="103">
        <v>0.9736214115909122</v>
      </c>
    </row>
    <row r="484" spans="2:5" x14ac:dyDescent="0.3">
      <c r="B484" s="101">
        <f t="shared" si="14"/>
        <v>437</v>
      </c>
      <c r="C484" s="102">
        <v>3.4886801293981175E-2</v>
      </c>
      <c r="D484" s="102">
        <v>1.0676767585418176</v>
      </c>
      <c r="E484" s="103">
        <v>0.90450405514025345</v>
      </c>
    </row>
    <row r="485" spans="2:5" x14ac:dyDescent="0.3">
      <c r="B485" s="101">
        <f t="shared" si="14"/>
        <v>438</v>
      </c>
      <c r="C485" s="102">
        <v>2.9333900780490772E-2</v>
      </c>
      <c r="D485" s="102">
        <v>1.0561114698820915</v>
      </c>
      <c r="E485" s="103">
        <v>1.1386150951331664</v>
      </c>
    </row>
    <row r="486" spans="2:5" x14ac:dyDescent="0.3">
      <c r="B486" s="101">
        <f t="shared" si="14"/>
        <v>439</v>
      </c>
      <c r="C486" s="102">
        <v>4.0118717015118904E-2</v>
      </c>
      <c r="D486" s="102">
        <v>0.99268173284059091</v>
      </c>
      <c r="E486" s="103">
        <v>0.94147610369817525</v>
      </c>
    </row>
    <row r="487" spans="2:5" x14ac:dyDescent="0.3">
      <c r="B487" s="101">
        <f t="shared" si="14"/>
        <v>440</v>
      </c>
      <c r="C487" s="102">
        <v>2.5375623974135252E-2</v>
      </c>
      <c r="D487" s="102">
        <v>0.92098459458304904</v>
      </c>
      <c r="E487" s="103">
        <v>0.9128208060354146</v>
      </c>
    </row>
    <row r="488" spans="2:5" x14ac:dyDescent="0.3">
      <c r="B488" s="101">
        <f t="shared" si="14"/>
        <v>441</v>
      </c>
      <c r="C488" s="102">
        <v>4.5049437089810483E-2</v>
      </c>
      <c r="D488" s="102">
        <v>1.0193370177031387</v>
      </c>
      <c r="E488" s="103">
        <v>1.1445136144178707</v>
      </c>
    </row>
    <row r="489" spans="2:5" x14ac:dyDescent="0.3">
      <c r="B489" s="101">
        <f t="shared" si="14"/>
        <v>442</v>
      </c>
      <c r="C489" s="102">
        <v>4.2016538163987406E-2</v>
      </c>
      <c r="D489" s="102">
        <v>1.0012029188267995</v>
      </c>
      <c r="E489" s="103">
        <v>1.0942858530620274</v>
      </c>
    </row>
    <row r="490" spans="2:5" x14ac:dyDescent="0.3">
      <c r="B490" s="101">
        <f t="shared" si="14"/>
        <v>443</v>
      </c>
      <c r="C490" s="102">
        <v>3.9556581245224973E-2</v>
      </c>
      <c r="D490" s="102">
        <v>1.0177591209290735</v>
      </c>
      <c r="E490" s="103">
        <v>1.1630550494444993</v>
      </c>
    </row>
    <row r="491" spans="2:5" x14ac:dyDescent="0.3">
      <c r="B491" s="101">
        <f t="shared" si="14"/>
        <v>444</v>
      </c>
      <c r="C491" s="102">
        <v>4.1516472716538293E-2</v>
      </c>
      <c r="D491" s="102">
        <v>0.92782212315962553</v>
      </c>
      <c r="E491" s="103">
        <v>0.9119577871577873</v>
      </c>
    </row>
    <row r="492" spans="2:5" x14ac:dyDescent="0.3">
      <c r="B492" s="101">
        <f t="shared" si="14"/>
        <v>445</v>
      </c>
      <c r="C492" s="102">
        <v>4.1270583890754053E-2</v>
      </c>
      <c r="D492" s="102">
        <v>0.95942780357009205</v>
      </c>
      <c r="E492" s="103">
        <v>0.95709743781729317</v>
      </c>
    </row>
    <row r="493" spans="2:5" x14ac:dyDescent="0.3">
      <c r="B493" s="101">
        <f t="shared" si="14"/>
        <v>446</v>
      </c>
      <c r="C493" s="102">
        <v>3.3052776704711774E-2</v>
      </c>
      <c r="D493" s="102">
        <v>0.96212774163809012</v>
      </c>
      <c r="E493" s="103">
        <v>0.88512655991686129</v>
      </c>
    </row>
    <row r="494" spans="2:5" x14ac:dyDescent="0.3">
      <c r="B494" s="101">
        <f t="shared" si="14"/>
        <v>447</v>
      </c>
      <c r="C494" s="102">
        <v>3.5130347116008591E-2</v>
      </c>
      <c r="D494" s="102">
        <v>0.98068305558764468</v>
      </c>
      <c r="E494" s="103">
        <v>0.98749408496143565</v>
      </c>
    </row>
    <row r="495" spans="2:5" x14ac:dyDescent="0.3">
      <c r="B495" s="101">
        <f t="shared" si="14"/>
        <v>448</v>
      </c>
      <c r="C495" s="102">
        <v>2.5494768159241205E-2</v>
      </c>
      <c r="D495" s="102">
        <v>0.98502033484297147</v>
      </c>
      <c r="E495" s="103">
        <v>1.0681584085274538</v>
      </c>
    </row>
    <row r="496" spans="2:5" x14ac:dyDescent="0.3">
      <c r="B496" s="101">
        <f t="shared" si="14"/>
        <v>449</v>
      </c>
      <c r="C496" s="102">
        <v>3.9295112669352227E-2</v>
      </c>
      <c r="D496" s="102">
        <v>1.0909340002786962</v>
      </c>
      <c r="E496" s="103">
        <v>1.1769279349166129</v>
      </c>
    </row>
    <row r="497" spans="2:5" x14ac:dyDescent="0.3">
      <c r="B497" s="101">
        <f t="shared" si="14"/>
        <v>450</v>
      </c>
      <c r="C497" s="102">
        <v>3.3695777784505054E-2</v>
      </c>
      <c r="D497" s="102">
        <v>0.90712781847690516</v>
      </c>
      <c r="E497" s="103">
        <v>1.1528388415410018</v>
      </c>
    </row>
    <row r="498" spans="2:5" x14ac:dyDescent="0.3">
      <c r="B498" s="101">
        <f t="shared" ref="B498:B540" si="15">B497+1</f>
        <v>451</v>
      </c>
      <c r="C498" s="102">
        <v>4.5567135629263691E-2</v>
      </c>
      <c r="D498" s="102">
        <v>1.0175347152690324</v>
      </c>
      <c r="E498" s="103">
        <v>0.81479053652933342</v>
      </c>
    </row>
    <row r="499" spans="2:5" x14ac:dyDescent="0.3">
      <c r="B499" s="101">
        <f t="shared" si="15"/>
        <v>452</v>
      </c>
      <c r="C499" s="102">
        <v>5.0514381190866722E-2</v>
      </c>
      <c r="D499" s="102">
        <v>0.90344510552848001</v>
      </c>
      <c r="E499" s="103">
        <v>1.0156819147600953</v>
      </c>
    </row>
    <row r="500" spans="2:5" x14ac:dyDescent="0.3">
      <c r="B500" s="101">
        <f t="shared" si="15"/>
        <v>453</v>
      </c>
      <c r="C500" s="102">
        <v>3.8499873472841978E-2</v>
      </c>
      <c r="D500" s="102">
        <v>1.0323458987097998</v>
      </c>
      <c r="E500" s="103">
        <v>0.85263439031114208</v>
      </c>
    </row>
    <row r="501" spans="2:5" x14ac:dyDescent="0.3">
      <c r="B501" s="101">
        <f t="shared" si="15"/>
        <v>454</v>
      </c>
      <c r="C501" s="102">
        <v>3.82726878246386E-2</v>
      </c>
      <c r="D501" s="102">
        <v>0.97071688072682127</v>
      </c>
      <c r="E501" s="103">
        <v>1.1057932935303989</v>
      </c>
    </row>
    <row r="502" spans="2:5" x14ac:dyDescent="0.3">
      <c r="B502" s="101">
        <f t="shared" si="15"/>
        <v>455</v>
      </c>
      <c r="C502" s="102">
        <v>4.3614264661496246E-2</v>
      </c>
      <c r="D502" s="102">
        <v>0.99222234709752855</v>
      </c>
      <c r="E502" s="103">
        <v>0.94776532846623607</v>
      </c>
    </row>
    <row r="503" spans="2:5" x14ac:dyDescent="0.3">
      <c r="B503" s="101">
        <f t="shared" si="15"/>
        <v>456</v>
      </c>
      <c r="C503" s="102">
        <v>4.8426061910687081E-2</v>
      </c>
      <c r="D503" s="102">
        <v>0.98468235532364601</v>
      </c>
      <c r="E503" s="103">
        <v>0.91040836417734039</v>
      </c>
    </row>
    <row r="504" spans="2:5" x14ac:dyDescent="0.3">
      <c r="B504" s="101">
        <f t="shared" si="15"/>
        <v>457</v>
      </c>
      <c r="C504" s="102">
        <v>4.3226286326513763E-2</v>
      </c>
      <c r="D504" s="102">
        <v>1.0044416258775954</v>
      </c>
      <c r="E504" s="103">
        <v>0.89262311684358464</v>
      </c>
    </row>
    <row r="505" spans="2:5" x14ac:dyDescent="0.3">
      <c r="B505" s="101">
        <f t="shared" si="15"/>
        <v>458</v>
      </c>
      <c r="C505" s="102">
        <v>4.0774021046897341E-2</v>
      </c>
      <c r="D505" s="102">
        <v>0.99178061021889863</v>
      </c>
      <c r="E505" s="103">
        <v>0.82642304779856501</v>
      </c>
    </row>
    <row r="506" spans="2:5" x14ac:dyDescent="0.3">
      <c r="B506" s="101">
        <f t="shared" si="15"/>
        <v>459</v>
      </c>
      <c r="C506" s="102">
        <v>4.4439486767511804E-2</v>
      </c>
      <c r="D506" s="102">
        <v>0.99855827335883107</v>
      </c>
      <c r="E506" s="103">
        <v>1.0785378418627165</v>
      </c>
    </row>
    <row r="507" spans="2:5" x14ac:dyDescent="0.3">
      <c r="B507" s="101">
        <f t="shared" si="15"/>
        <v>460</v>
      </c>
      <c r="C507" s="102">
        <v>4.3795538571936889E-2</v>
      </c>
      <c r="D507" s="102">
        <v>0.99249540947003734</v>
      </c>
      <c r="E507" s="103">
        <v>0.9407608255809381</v>
      </c>
    </row>
    <row r="508" spans="2:5" x14ac:dyDescent="0.3">
      <c r="B508" s="101">
        <f t="shared" si="15"/>
        <v>461</v>
      </c>
      <c r="C508" s="102">
        <v>3.4726309238297809E-2</v>
      </c>
      <c r="D508" s="102">
        <v>0.97524968848851223</v>
      </c>
      <c r="E508" s="103">
        <v>1.0594503778006759</v>
      </c>
    </row>
    <row r="509" spans="2:5" x14ac:dyDescent="0.3">
      <c r="B509" s="101">
        <f t="shared" si="15"/>
        <v>462</v>
      </c>
      <c r="C509" s="102">
        <v>5.4566006450494274E-2</v>
      </c>
      <c r="D509" s="102">
        <v>0.90538677177796534</v>
      </c>
      <c r="E509" s="103">
        <v>1.0250634684059197</v>
      </c>
    </row>
    <row r="510" spans="2:5" x14ac:dyDescent="0.3">
      <c r="B510" s="101">
        <f t="shared" si="15"/>
        <v>463</v>
      </c>
      <c r="C510" s="102">
        <v>4.9479145463259967E-2</v>
      </c>
      <c r="D510" s="102">
        <v>0.91547902818742843</v>
      </c>
      <c r="E510" s="103">
        <v>0.8231664536195693</v>
      </c>
    </row>
    <row r="511" spans="2:5" x14ac:dyDescent="0.3">
      <c r="B511" s="101">
        <f t="shared" si="15"/>
        <v>464</v>
      </c>
      <c r="C511" s="102">
        <v>2.7362601346143572E-2</v>
      </c>
      <c r="D511" s="102">
        <v>1.0102712196728281</v>
      </c>
      <c r="E511" s="103">
        <v>1.1700953100212703</v>
      </c>
    </row>
    <row r="512" spans="2:5" x14ac:dyDescent="0.3">
      <c r="B512" s="101">
        <f t="shared" si="15"/>
        <v>465</v>
      </c>
      <c r="C512" s="102">
        <v>2.864620180886732E-2</v>
      </c>
      <c r="D512" s="102">
        <v>0.99356924168816274</v>
      </c>
      <c r="E512" s="103">
        <v>0.91325853686367386</v>
      </c>
    </row>
    <row r="513" spans="2:5" x14ac:dyDescent="0.3">
      <c r="B513" s="101">
        <f t="shared" si="15"/>
        <v>466</v>
      </c>
      <c r="C513" s="102">
        <v>2.9708358875028068E-2</v>
      </c>
      <c r="D513" s="102">
        <v>1.0891176473626862</v>
      </c>
      <c r="E513" s="103">
        <v>0.90999639324407011</v>
      </c>
    </row>
    <row r="514" spans="2:5" x14ac:dyDescent="0.3">
      <c r="B514" s="101">
        <f t="shared" si="15"/>
        <v>467</v>
      </c>
      <c r="C514" s="102">
        <v>4.9219494351029618E-2</v>
      </c>
      <c r="D514" s="102">
        <v>1.0721688237702929</v>
      </c>
      <c r="E514" s="103">
        <v>1.0831977204371119</v>
      </c>
    </row>
    <row r="515" spans="2:5" x14ac:dyDescent="0.3">
      <c r="B515" s="101">
        <f t="shared" si="15"/>
        <v>468</v>
      </c>
      <c r="C515" s="102">
        <v>5.3941365589336251E-2</v>
      </c>
      <c r="D515" s="102">
        <v>1.02512027205038</v>
      </c>
      <c r="E515" s="103">
        <v>0.81649734249167971</v>
      </c>
    </row>
    <row r="516" spans="2:5" x14ac:dyDescent="0.3">
      <c r="B516" s="101">
        <f t="shared" si="15"/>
        <v>469</v>
      </c>
      <c r="C516" s="102">
        <v>3.243647819802125E-2</v>
      </c>
      <c r="D516" s="102">
        <v>1.0353074797685484</v>
      </c>
      <c r="E516" s="103">
        <v>1.1225900614592863</v>
      </c>
    </row>
    <row r="517" spans="2:5" x14ac:dyDescent="0.3">
      <c r="B517" s="101">
        <f t="shared" si="15"/>
        <v>470</v>
      </c>
      <c r="C517" s="102">
        <v>3.2110504226952691E-2</v>
      </c>
      <c r="D517" s="102">
        <v>0.98663413939987077</v>
      </c>
      <c r="E517" s="103">
        <v>1.1008621501391076</v>
      </c>
    </row>
    <row r="518" spans="2:5" x14ac:dyDescent="0.3">
      <c r="B518" s="101">
        <f t="shared" si="15"/>
        <v>471</v>
      </c>
      <c r="C518" s="102">
        <v>3.8148998353627527E-2</v>
      </c>
      <c r="D518" s="102">
        <v>1.0134513316575826</v>
      </c>
      <c r="E518" s="103">
        <v>1.1431101664281627</v>
      </c>
    </row>
    <row r="519" spans="2:5" x14ac:dyDescent="0.3">
      <c r="B519" s="101">
        <f t="shared" si="15"/>
        <v>472</v>
      </c>
      <c r="C519" s="102">
        <v>3.5282041399400166E-2</v>
      </c>
      <c r="D519" s="102">
        <v>1.0255930552646964</v>
      </c>
      <c r="E519" s="103">
        <v>1.0281134256061937</v>
      </c>
    </row>
    <row r="520" spans="2:5" x14ac:dyDescent="0.3">
      <c r="B520" s="101">
        <f t="shared" si="15"/>
        <v>473</v>
      </c>
      <c r="C520" s="102">
        <v>4.6319962476561331E-2</v>
      </c>
      <c r="D520" s="102">
        <v>1.0239016749652667</v>
      </c>
      <c r="E520" s="103">
        <v>0.8150666871079727</v>
      </c>
    </row>
    <row r="521" spans="2:5" x14ac:dyDescent="0.3">
      <c r="B521" s="101">
        <f t="shared" si="15"/>
        <v>474</v>
      </c>
      <c r="C521" s="102">
        <v>3.2083567167086512E-2</v>
      </c>
      <c r="D521" s="102">
        <v>1.0667249050427556</v>
      </c>
      <c r="E521" s="103">
        <v>1.1434077946429497</v>
      </c>
    </row>
    <row r="522" spans="2:5" x14ac:dyDescent="0.3">
      <c r="B522" s="101">
        <f t="shared" si="15"/>
        <v>475</v>
      </c>
      <c r="C522" s="102">
        <v>4.8228142772851902E-2</v>
      </c>
      <c r="D522" s="102">
        <v>1.0530358465845966</v>
      </c>
      <c r="E522" s="103">
        <v>0.9461175388205838</v>
      </c>
    </row>
    <row r="523" spans="2:5" x14ac:dyDescent="0.3">
      <c r="B523" s="101">
        <f t="shared" si="15"/>
        <v>476</v>
      </c>
      <c r="C523" s="102">
        <v>4.285758116186679E-2</v>
      </c>
      <c r="D523" s="102">
        <v>0.95044175273774856</v>
      </c>
      <c r="E523" s="103">
        <v>0.96932725305663947</v>
      </c>
    </row>
    <row r="524" spans="2:5" x14ac:dyDescent="0.3">
      <c r="B524" s="101">
        <f t="shared" si="15"/>
        <v>477</v>
      </c>
      <c r="C524" s="102">
        <v>2.9566623208212513E-2</v>
      </c>
      <c r="D524" s="102">
        <v>0.9811188823285627</v>
      </c>
      <c r="E524" s="103">
        <v>1.1725046082438684</v>
      </c>
    </row>
    <row r="525" spans="2:5" x14ac:dyDescent="0.3">
      <c r="B525" s="101">
        <f t="shared" si="15"/>
        <v>478</v>
      </c>
      <c r="C525" s="102">
        <v>4.4826318960334698E-2</v>
      </c>
      <c r="D525" s="102">
        <v>1.0263592373011459</v>
      </c>
      <c r="E525" s="103">
        <v>0.93784709694293367</v>
      </c>
    </row>
    <row r="526" spans="2:5" x14ac:dyDescent="0.3">
      <c r="B526" s="101">
        <f t="shared" si="15"/>
        <v>479</v>
      </c>
      <c r="C526" s="102">
        <v>4.4502654586060314E-2</v>
      </c>
      <c r="D526" s="102">
        <v>0.93160374522065104</v>
      </c>
      <c r="E526" s="103">
        <v>1.0934120761347086</v>
      </c>
    </row>
    <row r="527" spans="2:5" x14ac:dyDescent="0.3">
      <c r="B527" s="101">
        <f t="shared" si="15"/>
        <v>480</v>
      </c>
      <c r="C527" s="102">
        <v>4.5296818184242388E-2</v>
      </c>
      <c r="D527" s="102">
        <v>0.90718760533622766</v>
      </c>
      <c r="E527" s="103">
        <v>1.1201042622293442</v>
      </c>
    </row>
    <row r="528" spans="2:5" x14ac:dyDescent="0.3">
      <c r="B528" s="101">
        <f t="shared" si="15"/>
        <v>481</v>
      </c>
      <c r="C528" s="102">
        <v>5.4416535125367343E-2</v>
      </c>
      <c r="D528" s="102">
        <v>0.93465767439222336</v>
      </c>
      <c r="E528" s="103">
        <v>0.86280070547461918</v>
      </c>
    </row>
    <row r="529" spans="2:5" x14ac:dyDescent="0.3">
      <c r="B529" s="101">
        <f t="shared" si="15"/>
        <v>482</v>
      </c>
      <c r="C529" s="102">
        <v>3.030368309614824E-2</v>
      </c>
      <c r="D529" s="102">
        <v>0.92754661907037994</v>
      </c>
      <c r="E529" s="103">
        <v>0.97307094456885457</v>
      </c>
    </row>
    <row r="530" spans="2:5" x14ac:dyDescent="0.3">
      <c r="B530" s="101">
        <f t="shared" si="15"/>
        <v>483</v>
      </c>
      <c r="C530" s="102">
        <v>4.6578377469506958E-2</v>
      </c>
      <c r="D530" s="102">
        <v>0.95934184363322716</v>
      </c>
      <c r="E530" s="103">
        <v>0.97955767210068978</v>
      </c>
    </row>
    <row r="531" spans="2:5" x14ac:dyDescent="0.3">
      <c r="B531" s="101">
        <f t="shared" si="15"/>
        <v>484</v>
      </c>
      <c r="C531" s="102">
        <v>5.3767585342633845E-2</v>
      </c>
      <c r="D531" s="102">
        <v>1.0622647442767938</v>
      </c>
      <c r="E531" s="103">
        <v>1.1350149571163763</v>
      </c>
    </row>
    <row r="532" spans="2:5" x14ac:dyDescent="0.3">
      <c r="B532" s="101">
        <f t="shared" si="15"/>
        <v>485</v>
      </c>
      <c r="C532" s="102">
        <v>3.8702345703431729E-2</v>
      </c>
      <c r="D532" s="102">
        <v>0.92184454821140838</v>
      </c>
      <c r="E532" s="103">
        <v>0.89217060859149111</v>
      </c>
    </row>
    <row r="533" spans="2:5" x14ac:dyDescent="0.3">
      <c r="B533" s="101">
        <f t="shared" si="15"/>
        <v>486</v>
      </c>
      <c r="C533" s="102">
        <v>4.3893358782822474E-2</v>
      </c>
      <c r="D533" s="102">
        <v>0.91624066962934159</v>
      </c>
      <c r="E533" s="103">
        <v>0.9656936249645327</v>
      </c>
    </row>
    <row r="534" spans="2:5" x14ac:dyDescent="0.3">
      <c r="B534" s="101">
        <f t="shared" si="15"/>
        <v>487</v>
      </c>
      <c r="C534" s="102">
        <v>2.7133654042364952E-2</v>
      </c>
      <c r="D534" s="102">
        <v>1.0218631664326858</v>
      </c>
      <c r="E534" s="103">
        <v>1.1429068922552736</v>
      </c>
    </row>
    <row r="535" spans="2:5" x14ac:dyDescent="0.3">
      <c r="B535" s="101">
        <f t="shared" si="15"/>
        <v>488</v>
      </c>
      <c r="C535" s="102">
        <v>4.1184943707798995E-2</v>
      </c>
      <c r="D535" s="102">
        <v>1.0175909356899957</v>
      </c>
      <c r="E535" s="103">
        <v>1.0005905878454262</v>
      </c>
    </row>
    <row r="536" spans="2:5" x14ac:dyDescent="0.3">
      <c r="B536" s="101">
        <f t="shared" si="15"/>
        <v>489</v>
      </c>
      <c r="C536" s="102">
        <v>5.4026726811511716E-2</v>
      </c>
      <c r="D536" s="102">
        <v>1.0925739417372387</v>
      </c>
      <c r="E536" s="103">
        <v>0.91715056276000084</v>
      </c>
    </row>
    <row r="537" spans="2:5" x14ac:dyDescent="0.3">
      <c r="B537" s="101">
        <f t="shared" si="15"/>
        <v>490</v>
      </c>
      <c r="C537" s="102">
        <v>4.4399263552748446E-2</v>
      </c>
      <c r="D537" s="102">
        <v>0.99602191180275779</v>
      </c>
      <c r="E537" s="103">
        <v>0.85856728955235129</v>
      </c>
    </row>
    <row r="538" spans="2:5" x14ac:dyDescent="0.3">
      <c r="B538" s="101">
        <f t="shared" si="15"/>
        <v>491</v>
      </c>
      <c r="C538" s="102">
        <v>4.3522016368707492E-2</v>
      </c>
      <c r="D538" s="102">
        <v>1.0382550977757059</v>
      </c>
      <c r="E538" s="103">
        <v>1.1282416159010815</v>
      </c>
    </row>
    <row r="539" spans="2:5" x14ac:dyDescent="0.3">
      <c r="B539" s="101">
        <f t="shared" si="15"/>
        <v>492</v>
      </c>
      <c r="C539" s="102">
        <v>3.4096718011650123E-2</v>
      </c>
      <c r="D539" s="102">
        <v>1.0573840377589794</v>
      </c>
      <c r="E539" s="103">
        <v>1.0509733831128496</v>
      </c>
    </row>
    <row r="540" spans="2:5" x14ac:dyDescent="0.3">
      <c r="B540" s="101">
        <f t="shared" si="15"/>
        <v>493</v>
      </c>
      <c r="C540" s="102">
        <v>2.5596818702881809E-2</v>
      </c>
      <c r="D540" s="102">
        <v>1.003827879383453</v>
      </c>
      <c r="E540" s="103">
        <v>1.1615454681928616</v>
      </c>
    </row>
    <row r="541" spans="2:5" x14ac:dyDescent="0.3">
      <c r="B541" s="101">
        <f>B540+1</f>
        <v>494</v>
      </c>
      <c r="C541" s="102">
        <v>4.7895874222571133E-2</v>
      </c>
      <c r="D541" s="102">
        <v>0.91659018153682636</v>
      </c>
      <c r="E541" s="103">
        <v>1.0535898313864478</v>
      </c>
    </row>
    <row r="542" spans="2:5" x14ac:dyDescent="0.3">
      <c r="B542" s="101">
        <f t="shared" ref="B542:B547" si="16">B541+1</f>
        <v>495</v>
      </c>
      <c r="C542" s="102">
        <v>3.3515568105152771E-2</v>
      </c>
      <c r="D542" s="102">
        <v>1.0766618764847198</v>
      </c>
      <c r="E542" s="103">
        <v>1.0713817099238463</v>
      </c>
    </row>
    <row r="543" spans="2:5" x14ac:dyDescent="0.3">
      <c r="B543" s="101">
        <f t="shared" si="16"/>
        <v>496</v>
      </c>
      <c r="C543" s="102">
        <v>3.5369987677427592E-2</v>
      </c>
      <c r="D543" s="102">
        <v>1.0009844558251979</v>
      </c>
      <c r="E543" s="103">
        <v>0.80869211960013576</v>
      </c>
    </row>
    <row r="544" spans="2:5" x14ac:dyDescent="0.3">
      <c r="B544" s="101">
        <f t="shared" si="16"/>
        <v>497</v>
      </c>
      <c r="C544" s="102">
        <v>4.5582696984753542E-2</v>
      </c>
      <c r="D544" s="102">
        <v>0.95874777207634154</v>
      </c>
      <c r="E544" s="103">
        <v>0.82763283057034709</v>
      </c>
    </row>
    <row r="545" spans="2:5" x14ac:dyDescent="0.3">
      <c r="B545" s="101">
        <f t="shared" si="16"/>
        <v>498</v>
      </c>
      <c r="C545" s="102">
        <v>2.9040171479220795E-2</v>
      </c>
      <c r="D545" s="102">
        <v>0.99882796062591772</v>
      </c>
      <c r="E545" s="103">
        <v>0.872485331773735</v>
      </c>
    </row>
    <row r="546" spans="2:5" x14ac:dyDescent="0.3">
      <c r="B546" s="101">
        <f t="shared" si="16"/>
        <v>499</v>
      </c>
      <c r="C546" s="102">
        <v>3.0014345642522915E-2</v>
      </c>
      <c r="D546" s="102">
        <v>0.9035639563270963</v>
      </c>
      <c r="E546" s="103">
        <v>1.182463721940112</v>
      </c>
    </row>
    <row r="547" spans="2:5" ht="15" thickBot="1" x14ac:dyDescent="0.35">
      <c r="B547" s="104">
        <f t="shared" si="16"/>
        <v>500</v>
      </c>
      <c r="C547" s="105">
        <v>5.1153932579348277E-2</v>
      </c>
      <c r="D547" s="105">
        <v>1.0848245476249736</v>
      </c>
      <c r="E547" s="106">
        <v>0.85815820266980058</v>
      </c>
    </row>
  </sheetData>
  <mergeCells count="9">
    <mergeCell ref="B36:K36"/>
    <mergeCell ref="B43:K43"/>
    <mergeCell ref="B45:K45"/>
    <mergeCell ref="A7:K7"/>
    <mergeCell ref="B29:K29"/>
    <mergeCell ref="B31:C31"/>
    <mergeCell ref="B32:C32"/>
    <mergeCell ref="B33:C33"/>
    <mergeCell ref="B34:C34"/>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8C81C-B59E-4FD1-95EB-52AA1F2F4ED6}">
  <sheetPr>
    <tabColor theme="9" tint="0.59999389629810485"/>
  </sheetPr>
  <dimension ref="A1:R633"/>
  <sheetViews>
    <sheetView zoomScale="115" zoomScaleNormal="115" workbookViewId="0"/>
  </sheetViews>
  <sheetFormatPr defaultRowHeight="14.4" outlineLevelRow="1" x14ac:dyDescent="0.3"/>
  <cols>
    <col min="1" max="1" width="5.109375" customWidth="1"/>
    <col min="2" max="2" width="22.5546875" customWidth="1"/>
    <col min="3" max="3" width="14.6640625" bestFit="1" customWidth="1"/>
    <col min="4" max="7" width="12.77734375" customWidth="1"/>
    <col min="8" max="8" width="15.44140625" customWidth="1"/>
    <col min="9" max="9" width="14.6640625" customWidth="1"/>
    <col min="10" max="10" width="15.5546875" customWidth="1"/>
    <col min="11" max="11" width="16.21875" customWidth="1"/>
    <col min="12" max="13" width="12.77734375" customWidth="1"/>
    <col min="14" max="14" width="11.77734375" bestFit="1" customWidth="1"/>
    <col min="15" max="20" width="12.77734375" customWidth="1"/>
  </cols>
  <sheetData>
    <row r="1" spans="1:11" x14ac:dyDescent="0.3">
      <c r="A1" s="67" t="s">
        <v>560</v>
      </c>
    </row>
    <row r="3" spans="1:11" x14ac:dyDescent="0.3">
      <c r="A3" s="66" t="s">
        <v>471</v>
      </c>
    </row>
    <row r="4" spans="1:11" x14ac:dyDescent="0.3">
      <c r="A4" s="67" t="s">
        <v>472</v>
      </c>
    </row>
    <row r="5" spans="1:11" x14ac:dyDescent="0.3">
      <c r="A5" s="7"/>
    </row>
    <row r="6" spans="1:11" ht="36.450000000000003" customHeight="1" x14ac:dyDescent="0.3">
      <c r="A6" s="107" t="s">
        <v>490</v>
      </c>
      <c r="B6" s="143" t="s">
        <v>491</v>
      </c>
      <c r="C6" s="143"/>
      <c r="D6" s="143"/>
      <c r="E6" s="143"/>
      <c r="F6" s="143"/>
      <c r="G6" s="143"/>
      <c r="H6" s="143"/>
      <c r="I6" s="143"/>
      <c r="J6" s="143"/>
      <c r="K6" s="144"/>
    </row>
    <row r="8" spans="1:11" x14ac:dyDescent="0.3">
      <c r="B8" s="145" t="s">
        <v>492</v>
      </c>
      <c r="C8" s="146"/>
      <c r="D8" s="91" t="s">
        <v>493</v>
      </c>
      <c r="E8" s="91" t="s">
        <v>494</v>
      </c>
    </row>
    <row r="9" spans="1:11" x14ac:dyDescent="0.3">
      <c r="B9" s="147" t="s">
        <v>495</v>
      </c>
      <c r="C9" s="148"/>
      <c r="D9" s="92">
        <v>5.5E-2</v>
      </c>
      <c r="E9" s="92">
        <v>2.8000000000000001E-2</v>
      </c>
    </row>
    <row r="10" spans="1:11" x14ac:dyDescent="0.3">
      <c r="B10" s="147" t="s">
        <v>496</v>
      </c>
      <c r="C10" s="148"/>
      <c r="D10" s="93">
        <v>1.1000000000000001</v>
      </c>
      <c r="E10" s="93">
        <v>0.9</v>
      </c>
    </row>
    <row r="11" spans="1:11" x14ac:dyDescent="0.3">
      <c r="B11" s="147" t="s">
        <v>497</v>
      </c>
      <c r="C11" s="148"/>
      <c r="D11" s="93">
        <v>1.2</v>
      </c>
      <c r="E11" s="93">
        <v>0.8</v>
      </c>
    </row>
    <row r="12" spans="1:11" ht="15" thickBot="1" x14ac:dyDescent="0.35">
      <c r="D12" s="5"/>
      <c r="E12" s="5"/>
    </row>
    <row r="13" spans="1:11" x14ac:dyDescent="0.3">
      <c r="B13" s="108" t="s">
        <v>495</v>
      </c>
      <c r="C13" s="109" t="s">
        <v>509</v>
      </c>
      <c r="D13" s="109" t="s">
        <v>510</v>
      </c>
      <c r="E13" s="110" t="s">
        <v>511</v>
      </c>
    </row>
    <row r="14" spans="1:11" x14ac:dyDescent="0.3">
      <c r="B14" s="111" t="s">
        <v>481</v>
      </c>
      <c r="C14" s="112">
        <f>'Q ILA201-100-25 3a'!D12</f>
        <v>0.04</v>
      </c>
      <c r="D14" s="113">
        <f>D9</f>
        <v>5.5E-2</v>
      </c>
      <c r="E14" s="114">
        <f>E9</f>
        <v>2.8000000000000001E-2</v>
      </c>
    </row>
    <row r="15" spans="1:11" x14ac:dyDescent="0.3">
      <c r="A15" s="12"/>
      <c r="B15" s="111" t="s">
        <v>70</v>
      </c>
      <c r="C15" s="112">
        <f>'Q ILA201-100-25 3a'!K9</f>
        <v>1949440.6992217565</v>
      </c>
      <c r="D15" s="112">
        <f>SUMPRODUCT(J19:J34,N19:N34)</f>
        <v>1738943.3855883502</v>
      </c>
      <c r="E15" s="115">
        <f>SUMPRODUCT(K19:K34,N19:N34)</f>
        <v>2144430.9211464967</v>
      </c>
    </row>
    <row r="16" spans="1:11" ht="15" thickBot="1" x14ac:dyDescent="0.35">
      <c r="A16" s="12"/>
      <c r="B16" s="116" t="s">
        <v>512</v>
      </c>
      <c r="C16" s="149">
        <f>MAX(D15-C15,0,E15-C15,0)</f>
        <v>194990.22192474012</v>
      </c>
      <c r="D16" s="150"/>
      <c r="E16" s="151"/>
    </row>
    <row r="17" spans="1:14" ht="15" outlineLevel="1" thickBot="1" x14ac:dyDescent="0.35">
      <c r="A17" s="12"/>
    </row>
    <row r="18" spans="1:14" ht="30" outlineLevel="1" thickTop="1" thickBot="1" x14ac:dyDescent="0.35">
      <c r="B18" s="70" t="s">
        <v>478</v>
      </c>
      <c r="C18" s="71" t="s">
        <v>479</v>
      </c>
      <c r="D18" s="71" t="s">
        <v>480</v>
      </c>
      <c r="E18" s="117" t="s">
        <v>513</v>
      </c>
      <c r="F18" s="117" t="s">
        <v>514</v>
      </c>
      <c r="G18" s="71" t="s">
        <v>482</v>
      </c>
      <c r="H18" s="72" t="s">
        <v>483</v>
      </c>
      <c r="I18" s="70" t="s">
        <v>484</v>
      </c>
      <c r="J18" s="117" t="s">
        <v>515</v>
      </c>
      <c r="K18" s="117" t="s">
        <v>516</v>
      </c>
      <c r="L18" s="71" t="s">
        <v>486</v>
      </c>
      <c r="M18" s="71" t="s">
        <v>487</v>
      </c>
      <c r="N18" s="72" t="s">
        <v>488</v>
      </c>
    </row>
    <row r="19" spans="1:14" ht="15" outlineLevel="1" thickTop="1" x14ac:dyDescent="0.3">
      <c r="B19" s="73">
        <v>0</v>
      </c>
      <c r="C19" s="74"/>
      <c r="D19" s="74"/>
      <c r="E19" s="74"/>
      <c r="F19" s="74"/>
      <c r="G19" s="74"/>
      <c r="H19" s="75"/>
      <c r="I19" s="73">
        <v>1000</v>
      </c>
      <c r="J19" s="74">
        <v>1</v>
      </c>
      <c r="K19" s="74">
        <v>1</v>
      </c>
      <c r="L19" s="74"/>
      <c r="M19" s="74"/>
      <c r="N19" s="75">
        <v>0</v>
      </c>
    </row>
    <row r="20" spans="1:14" outlineLevel="1" x14ac:dyDescent="0.3">
      <c r="B20" s="76">
        <f>B19+1</f>
        <v>1</v>
      </c>
      <c r="C20" s="77">
        <v>0.49</v>
      </c>
      <c r="D20" s="79">
        <v>0.05</v>
      </c>
      <c r="E20" s="118">
        <f>D14</f>
        <v>5.5E-2</v>
      </c>
      <c r="F20" s="118">
        <f>E14</f>
        <v>2.8000000000000001E-2</v>
      </c>
      <c r="G20" s="79">
        <v>100000</v>
      </c>
      <c r="H20" s="80">
        <v>1296.655658220878</v>
      </c>
      <c r="I20" s="81">
        <f t="shared" ref="I20:I34" si="0">I19*(1-C20/1000-D20)</f>
        <v>949.51</v>
      </c>
      <c r="J20" s="79">
        <f>J19/(1+E20)</f>
        <v>0.94786729857819907</v>
      </c>
      <c r="K20" s="79">
        <f>K19/(1+F20)</f>
        <v>0.97276264591439687</v>
      </c>
      <c r="L20" s="79">
        <f t="shared" ref="L20:L34" si="1">G20*I19*C20/1000</f>
        <v>49000</v>
      </c>
      <c r="M20" s="79">
        <f t="shared" ref="M20:M34" si="2">I19*D20*H20</f>
        <v>64832.782911043898</v>
      </c>
      <c r="N20" s="82">
        <f>SUM(L20:M20)</f>
        <v>113832.78291104391</v>
      </c>
    </row>
    <row r="21" spans="1:14" outlineLevel="1" x14ac:dyDescent="0.3">
      <c r="B21" s="76">
        <f t="shared" ref="B21:B30" si="3">B20+1</f>
        <v>2</v>
      </c>
      <c r="C21" s="77">
        <v>0.72</v>
      </c>
      <c r="D21" s="79">
        <f>D20</f>
        <v>0.05</v>
      </c>
      <c r="E21" s="78">
        <f>E20</f>
        <v>5.5E-2</v>
      </c>
      <c r="F21" s="78">
        <f>F20</f>
        <v>2.8000000000000001E-2</v>
      </c>
      <c r="G21" s="79">
        <f>G20</f>
        <v>100000</v>
      </c>
      <c r="H21" s="80">
        <v>1314.2713038963395</v>
      </c>
      <c r="I21" s="81">
        <f t="shared" si="0"/>
        <v>901.35085279999987</v>
      </c>
      <c r="J21" s="79">
        <f t="shared" ref="J21:K34" si="4">J20/(1+E21)</f>
        <v>0.89845241571393286</v>
      </c>
      <c r="K21" s="79">
        <f t="shared" si="4"/>
        <v>0.94626716528637822</v>
      </c>
      <c r="L21" s="79">
        <f t="shared" si="1"/>
        <v>68364.72</v>
      </c>
      <c r="M21" s="79">
        <f t="shared" si="2"/>
        <v>62395.68728813067</v>
      </c>
      <c r="N21" s="82">
        <f t="shared" ref="N21:N34" si="5">SUM(L21:M21)</f>
        <v>130760.40728813066</v>
      </c>
    </row>
    <row r="22" spans="1:14" outlineLevel="1" x14ac:dyDescent="0.3">
      <c r="B22" s="76">
        <f t="shared" si="3"/>
        <v>3</v>
      </c>
      <c r="C22" s="77">
        <v>0.96</v>
      </c>
      <c r="D22" s="79">
        <f t="shared" ref="D22:G34" si="6">D21</f>
        <v>0.05</v>
      </c>
      <c r="E22" s="78">
        <f t="shared" si="6"/>
        <v>5.5E-2</v>
      </c>
      <c r="F22" s="78">
        <f t="shared" si="6"/>
        <v>2.8000000000000001E-2</v>
      </c>
      <c r="G22" s="79">
        <f t="shared" si="6"/>
        <v>100000</v>
      </c>
      <c r="H22" s="80">
        <v>1313.6835355694675</v>
      </c>
      <c r="I22" s="81">
        <f t="shared" si="0"/>
        <v>855.41801334131185</v>
      </c>
      <c r="J22" s="79">
        <f t="shared" si="4"/>
        <v>0.85161366418382267</v>
      </c>
      <c r="K22" s="79">
        <f t="shared" si="4"/>
        <v>0.92049335144589317</v>
      </c>
      <c r="L22" s="79">
        <f t="shared" si="1"/>
        <v>86529.681868799991</v>
      </c>
      <c r="M22" s="79">
        <f t="shared" si="2"/>
        <v>59204.488754742932</v>
      </c>
      <c r="N22" s="82">
        <f t="shared" si="5"/>
        <v>145734.17062354292</v>
      </c>
    </row>
    <row r="23" spans="1:14" outlineLevel="1" x14ac:dyDescent="0.3">
      <c r="B23" s="76">
        <f t="shared" si="3"/>
        <v>4</v>
      </c>
      <c r="C23" s="77">
        <v>1.18</v>
      </c>
      <c r="D23" s="79">
        <f t="shared" si="6"/>
        <v>0.05</v>
      </c>
      <c r="E23" s="78">
        <f t="shared" si="6"/>
        <v>5.5E-2</v>
      </c>
      <c r="F23" s="78">
        <f t="shared" si="6"/>
        <v>2.8000000000000001E-2</v>
      </c>
      <c r="G23" s="79">
        <f t="shared" si="6"/>
        <v>100000</v>
      </c>
      <c r="H23" s="80">
        <v>1297.6363046948559</v>
      </c>
      <c r="I23" s="81">
        <f t="shared" si="0"/>
        <v>811.63771941850348</v>
      </c>
      <c r="J23" s="79">
        <f t="shared" si="4"/>
        <v>0.80721674330220161</v>
      </c>
      <c r="K23" s="79">
        <f t="shared" si="4"/>
        <v>0.89542154809911789</v>
      </c>
      <c r="L23" s="79">
        <f t="shared" si="1"/>
        <v>100939.32557427479</v>
      </c>
      <c r="M23" s="79">
        <f t="shared" si="2"/>
        <v>55501.073490081748</v>
      </c>
      <c r="N23" s="82">
        <f t="shared" si="5"/>
        <v>156440.39906435652</v>
      </c>
    </row>
    <row r="24" spans="1:14" outlineLevel="1" x14ac:dyDescent="0.3">
      <c r="B24" s="76">
        <f t="shared" si="3"/>
        <v>5</v>
      </c>
      <c r="C24" s="77">
        <v>1.36</v>
      </c>
      <c r="D24" s="79">
        <f t="shared" si="6"/>
        <v>0.05</v>
      </c>
      <c r="E24" s="78">
        <f t="shared" si="6"/>
        <v>5.5E-2</v>
      </c>
      <c r="F24" s="78">
        <f t="shared" si="6"/>
        <v>2.8000000000000001E-2</v>
      </c>
      <c r="G24" s="79">
        <f t="shared" si="6"/>
        <v>100000</v>
      </c>
      <c r="H24" s="80">
        <v>1270.3613250937153</v>
      </c>
      <c r="I24" s="81">
        <f t="shared" si="0"/>
        <v>769.95200614916905</v>
      </c>
      <c r="J24" s="79">
        <f t="shared" si="4"/>
        <v>0.76513435384094941</v>
      </c>
      <c r="K24" s="79">
        <f t="shared" si="4"/>
        <v>0.87103263433766331</v>
      </c>
      <c r="L24" s="79">
        <f t="shared" si="1"/>
        <v>110382.72984091648</v>
      </c>
      <c r="M24" s="79">
        <f t="shared" si="2"/>
        <v>51553.658436826569</v>
      </c>
      <c r="N24" s="82">
        <f t="shared" si="5"/>
        <v>161936.38827774304</v>
      </c>
    </row>
    <row r="25" spans="1:14" outlineLevel="1" x14ac:dyDescent="0.3">
      <c r="B25" s="76">
        <f t="shared" si="3"/>
        <v>6</v>
      </c>
      <c r="C25" s="77">
        <v>1.57</v>
      </c>
      <c r="D25" s="79">
        <f t="shared" si="6"/>
        <v>0.05</v>
      </c>
      <c r="E25" s="78">
        <f t="shared" si="6"/>
        <v>5.5E-2</v>
      </c>
      <c r="F25" s="78">
        <f t="shared" si="6"/>
        <v>2.8000000000000001E-2</v>
      </c>
      <c r="G25" s="79">
        <f t="shared" si="6"/>
        <v>100000</v>
      </c>
      <c r="H25" s="80">
        <v>1229.9423803372763</v>
      </c>
      <c r="I25" s="81">
        <f t="shared" si="0"/>
        <v>730.24558119205642</v>
      </c>
      <c r="J25" s="79">
        <f t="shared" si="4"/>
        <v>0.72524583302459666</v>
      </c>
      <c r="K25" s="79">
        <f t="shared" si="4"/>
        <v>0.84730801005609269</v>
      </c>
      <c r="L25" s="79">
        <f t="shared" si="1"/>
        <v>120882.46496541955</v>
      </c>
      <c r="M25" s="79">
        <f t="shared" si="2"/>
        <v>47349.830159428515</v>
      </c>
      <c r="N25" s="82">
        <f t="shared" si="5"/>
        <v>168232.29512484808</v>
      </c>
    </row>
    <row r="26" spans="1:14" outlineLevel="1" x14ac:dyDescent="0.3">
      <c r="B26" s="76">
        <f t="shared" si="3"/>
        <v>7</v>
      </c>
      <c r="C26" s="77">
        <v>1.82</v>
      </c>
      <c r="D26" s="79">
        <f t="shared" si="6"/>
        <v>0.05</v>
      </c>
      <c r="E26" s="78">
        <f t="shared" si="6"/>
        <v>5.5E-2</v>
      </c>
      <c r="F26" s="78">
        <f t="shared" si="6"/>
        <v>2.8000000000000001E-2</v>
      </c>
      <c r="G26" s="79">
        <f t="shared" si="6"/>
        <v>100000</v>
      </c>
      <c r="H26" s="80">
        <v>1173.8303224795452</v>
      </c>
      <c r="I26" s="81">
        <f t="shared" si="0"/>
        <v>692.40425517468395</v>
      </c>
      <c r="J26" s="79">
        <f t="shared" si="4"/>
        <v>0.68743680855412015</v>
      </c>
      <c r="K26" s="79">
        <f t="shared" si="4"/>
        <v>0.82422958176662708</v>
      </c>
      <c r="L26" s="79">
        <f t="shared" si="1"/>
        <v>132904.69577695426</v>
      </c>
      <c r="M26" s="79">
        <f t="shared" si="2"/>
        <v>42859.220302996728</v>
      </c>
      <c r="N26" s="82">
        <f t="shared" si="5"/>
        <v>175763.91607995098</v>
      </c>
    </row>
    <row r="27" spans="1:14" outlineLevel="1" x14ac:dyDescent="0.3">
      <c r="B27" s="76">
        <f t="shared" si="3"/>
        <v>8</v>
      </c>
      <c r="C27" s="77">
        <v>2.09</v>
      </c>
      <c r="D27" s="79">
        <f t="shared" si="6"/>
        <v>0.05</v>
      </c>
      <c r="E27" s="78">
        <f t="shared" si="6"/>
        <v>5.5E-2</v>
      </c>
      <c r="F27" s="78">
        <f t="shared" si="6"/>
        <v>2.8000000000000001E-2</v>
      </c>
      <c r="G27" s="79">
        <f t="shared" si="6"/>
        <v>100000</v>
      </c>
      <c r="H27" s="80">
        <v>1101.1560814683985</v>
      </c>
      <c r="I27" s="81">
        <f t="shared" si="0"/>
        <v>656.33691752263462</v>
      </c>
      <c r="J27" s="79">
        <f t="shared" si="4"/>
        <v>0.65159887066741251</v>
      </c>
      <c r="K27" s="79">
        <f t="shared" si="4"/>
        <v>0.80177974880022085</v>
      </c>
      <c r="L27" s="79">
        <f t="shared" si="1"/>
        <v>144712.48933150893</v>
      </c>
      <c r="M27" s="79">
        <f t="shared" si="2"/>
        <v>38122.257821010004</v>
      </c>
      <c r="N27" s="82">
        <f t="shared" si="5"/>
        <v>182834.74715251895</v>
      </c>
    </row>
    <row r="28" spans="1:14" outlineLevel="1" x14ac:dyDescent="0.3">
      <c r="B28" s="76">
        <f t="shared" si="3"/>
        <v>9</v>
      </c>
      <c r="C28" s="77">
        <v>2.36</v>
      </c>
      <c r="D28" s="79">
        <f t="shared" si="6"/>
        <v>0.05</v>
      </c>
      <c r="E28" s="78">
        <f t="shared" si="6"/>
        <v>5.5E-2</v>
      </c>
      <c r="F28" s="78">
        <f t="shared" si="6"/>
        <v>2.8000000000000001E-2</v>
      </c>
      <c r="G28" s="79">
        <f t="shared" si="6"/>
        <v>100000</v>
      </c>
      <c r="H28" s="80">
        <v>1012.4988087583707</v>
      </c>
      <c r="I28" s="81">
        <f t="shared" si="0"/>
        <v>621.97111652114938</v>
      </c>
      <c r="J28" s="79">
        <f t="shared" si="4"/>
        <v>0.61762926129612561</v>
      </c>
      <c r="K28" s="79">
        <f t="shared" si="4"/>
        <v>0.77994138988348327</v>
      </c>
      <c r="L28" s="79">
        <f t="shared" si="1"/>
        <v>154895.51253534178</v>
      </c>
      <c r="M28" s="79">
        <f t="shared" si="2"/>
        <v>33227.017356790428</v>
      </c>
      <c r="N28" s="82">
        <f t="shared" si="5"/>
        <v>188122.52989213221</v>
      </c>
    </row>
    <row r="29" spans="1:14" outlineLevel="1" x14ac:dyDescent="0.3">
      <c r="B29" s="76">
        <f t="shared" si="3"/>
        <v>10</v>
      </c>
      <c r="C29" s="77">
        <v>2.69</v>
      </c>
      <c r="D29" s="79">
        <f t="shared" si="6"/>
        <v>0.05</v>
      </c>
      <c r="E29" s="78">
        <f t="shared" si="6"/>
        <v>5.5E-2</v>
      </c>
      <c r="F29" s="78">
        <f t="shared" si="6"/>
        <v>2.8000000000000001E-2</v>
      </c>
      <c r="G29" s="79">
        <f t="shared" si="6"/>
        <v>100000</v>
      </c>
      <c r="H29" s="80">
        <v>904.35177890317436</v>
      </c>
      <c r="I29" s="81">
        <f t="shared" si="0"/>
        <v>589.19945839165007</v>
      </c>
      <c r="J29" s="79">
        <f t="shared" si="4"/>
        <v>0.58543057942760723</v>
      </c>
      <c r="K29" s="79">
        <f t="shared" si="4"/>
        <v>0.75869785008120938</v>
      </c>
      <c r="L29" s="79">
        <f t="shared" si="1"/>
        <v>167310.23034418916</v>
      </c>
      <c r="M29" s="79">
        <f t="shared" si="2"/>
        <v>28124.03428261475</v>
      </c>
      <c r="N29" s="82">
        <f t="shared" si="5"/>
        <v>195434.2646268039</v>
      </c>
    </row>
    <row r="30" spans="1:14" outlineLevel="1" x14ac:dyDescent="0.3">
      <c r="B30" s="76">
        <f t="shared" si="3"/>
        <v>11</v>
      </c>
      <c r="C30" s="77">
        <v>3.06</v>
      </c>
      <c r="D30" s="79">
        <f t="shared" si="6"/>
        <v>0.05</v>
      </c>
      <c r="E30" s="78">
        <f t="shared" si="6"/>
        <v>5.5E-2</v>
      </c>
      <c r="F30" s="78">
        <f t="shared" si="6"/>
        <v>2.8000000000000001E-2</v>
      </c>
      <c r="G30" s="79">
        <f t="shared" si="6"/>
        <v>100000</v>
      </c>
      <c r="H30" s="80">
        <v>774.74071675980235</v>
      </c>
      <c r="I30" s="81">
        <f t="shared" si="0"/>
        <v>557.93653512938909</v>
      </c>
      <c r="J30" s="79">
        <f t="shared" si="4"/>
        <v>0.55491050182711588</v>
      </c>
      <c r="K30" s="79">
        <f t="shared" si="4"/>
        <v>0.73803292809456167</v>
      </c>
      <c r="L30" s="79">
        <f t="shared" si="1"/>
        <v>180295.03426784495</v>
      </c>
      <c r="M30" s="79">
        <f t="shared" si="2"/>
        <v>22823.840535441715</v>
      </c>
      <c r="N30" s="82">
        <f t="shared" si="5"/>
        <v>203118.87480328666</v>
      </c>
    </row>
    <row r="31" spans="1:14" outlineLevel="1" x14ac:dyDescent="0.3">
      <c r="B31" s="76">
        <f>B30+1</f>
        <v>12</v>
      </c>
      <c r="C31" s="77">
        <v>3.47</v>
      </c>
      <c r="D31" s="79">
        <f t="shared" si="6"/>
        <v>0.05</v>
      </c>
      <c r="E31" s="78">
        <f t="shared" si="6"/>
        <v>5.5E-2</v>
      </c>
      <c r="F31" s="78">
        <f t="shared" si="6"/>
        <v>2.8000000000000001E-2</v>
      </c>
      <c r="G31" s="79">
        <f t="shared" si="6"/>
        <v>100000</v>
      </c>
      <c r="H31" s="80">
        <v>621.81631080479781</v>
      </c>
      <c r="I31" s="81">
        <f t="shared" si="0"/>
        <v>528.10366859602061</v>
      </c>
      <c r="J31" s="79">
        <f t="shared" si="4"/>
        <v>0.5259815183195411</v>
      </c>
      <c r="K31" s="79">
        <f t="shared" si="4"/>
        <v>0.71793086390521565</v>
      </c>
      <c r="L31" s="79">
        <f t="shared" si="1"/>
        <v>193603.97768989802</v>
      </c>
      <c r="M31" s="79">
        <f t="shared" si="2"/>
        <v>17346.70189686841</v>
      </c>
      <c r="N31" s="82">
        <f t="shared" si="5"/>
        <v>210950.67958676643</v>
      </c>
    </row>
    <row r="32" spans="1:14" outlineLevel="1" x14ac:dyDescent="0.3">
      <c r="B32" s="76">
        <f t="shared" ref="B32:B34" si="7">B31+1</f>
        <v>13</v>
      </c>
      <c r="C32" s="77">
        <v>3.95</v>
      </c>
      <c r="D32" s="79">
        <f t="shared" si="6"/>
        <v>0.05</v>
      </c>
      <c r="E32" s="78">
        <f t="shared" si="6"/>
        <v>5.5E-2</v>
      </c>
      <c r="F32" s="78">
        <f t="shared" si="6"/>
        <v>2.8000000000000001E-2</v>
      </c>
      <c r="G32" s="79">
        <f t="shared" si="6"/>
        <v>100000</v>
      </c>
      <c r="H32" s="80">
        <v>442.14043702902569</v>
      </c>
      <c r="I32" s="81">
        <f t="shared" si="0"/>
        <v>499.61247567526527</v>
      </c>
      <c r="J32" s="79">
        <f t="shared" si="4"/>
        <v>0.49856068087160299</v>
      </c>
      <c r="K32" s="79">
        <f t="shared" si="4"/>
        <v>0.69837632675604633</v>
      </c>
      <c r="L32" s="79">
        <f t="shared" si="1"/>
        <v>208600.94909542816</v>
      </c>
      <c r="M32" s="79">
        <f t="shared" si="2"/>
        <v>11674.799341483815</v>
      </c>
      <c r="N32" s="82">
        <f t="shared" si="5"/>
        <v>220275.74843691199</v>
      </c>
    </row>
    <row r="33" spans="1:18" outlineLevel="1" x14ac:dyDescent="0.3">
      <c r="B33" s="76">
        <f t="shared" si="7"/>
        <v>14</v>
      </c>
      <c r="C33" s="77">
        <v>4.4400000000000004</v>
      </c>
      <c r="D33" s="79">
        <f t="shared" si="6"/>
        <v>0.05</v>
      </c>
      <c r="E33" s="78">
        <f t="shared" si="6"/>
        <v>5.5E-2</v>
      </c>
      <c r="F33" s="78">
        <f t="shared" si="6"/>
        <v>2.8000000000000001E-2</v>
      </c>
      <c r="G33" s="79">
        <f t="shared" si="6"/>
        <v>100000</v>
      </c>
      <c r="H33" s="80">
        <v>235.73437267725242</v>
      </c>
      <c r="I33" s="81">
        <f t="shared" si="0"/>
        <v>472.4135724995038</v>
      </c>
      <c r="J33" s="79">
        <f t="shared" si="4"/>
        <v>0.47256936575507397</v>
      </c>
      <c r="K33" s="79">
        <f t="shared" si="4"/>
        <v>0.67935440345918907</v>
      </c>
      <c r="L33" s="79">
        <f t="shared" si="1"/>
        <v>221827.9391998178</v>
      </c>
      <c r="M33" s="79">
        <f t="shared" si="2"/>
        <v>5888.7916767518846</v>
      </c>
      <c r="N33" s="82">
        <f t="shared" si="5"/>
        <v>227716.73087656969</v>
      </c>
    </row>
    <row r="34" spans="1:18" ht="15" outlineLevel="1" thickBot="1" x14ac:dyDescent="0.35">
      <c r="B34" s="83">
        <f t="shared" si="7"/>
        <v>15</v>
      </c>
      <c r="C34" s="84">
        <v>4.99</v>
      </c>
      <c r="D34" s="86">
        <f t="shared" si="6"/>
        <v>0.05</v>
      </c>
      <c r="E34" s="85">
        <f t="shared" si="6"/>
        <v>5.5E-2</v>
      </c>
      <c r="F34" s="85">
        <f t="shared" si="6"/>
        <v>2.8000000000000001E-2</v>
      </c>
      <c r="G34" s="86">
        <f t="shared" si="6"/>
        <v>100000</v>
      </c>
      <c r="H34" s="87">
        <v>0</v>
      </c>
      <c r="I34" s="88">
        <f t="shared" si="0"/>
        <v>446.43555014775603</v>
      </c>
      <c r="J34" s="119">
        <f t="shared" si="4"/>
        <v>0.44793304810907486</v>
      </c>
      <c r="K34" s="119">
        <f t="shared" si="4"/>
        <v>0.6608505870225575</v>
      </c>
      <c r="L34" s="119">
        <f t="shared" si="1"/>
        <v>235734.37267725242</v>
      </c>
      <c r="M34" s="86">
        <f t="shared" si="2"/>
        <v>0</v>
      </c>
      <c r="N34" s="89">
        <f t="shared" si="5"/>
        <v>235734.37267725242</v>
      </c>
    </row>
    <row r="35" spans="1:18" ht="15.6" thickTop="1" thickBot="1" x14ac:dyDescent="0.35"/>
    <row r="36" spans="1:18" x14ac:dyDescent="0.3">
      <c r="B36" s="108" t="s">
        <v>517</v>
      </c>
      <c r="C36" s="109" t="s">
        <v>509</v>
      </c>
      <c r="D36" s="109" t="s">
        <v>510</v>
      </c>
      <c r="E36" s="110" t="s">
        <v>511</v>
      </c>
    </row>
    <row r="37" spans="1:18" x14ac:dyDescent="0.3">
      <c r="B37" s="111" t="s">
        <v>507</v>
      </c>
      <c r="C37" s="113">
        <v>1</v>
      </c>
      <c r="D37" s="113">
        <f>D10</f>
        <v>1.1000000000000001</v>
      </c>
      <c r="E37" s="114">
        <f>E10</f>
        <v>0.9</v>
      </c>
    </row>
    <row r="38" spans="1:18" x14ac:dyDescent="0.3">
      <c r="A38" s="12"/>
      <c r="B38" s="111" t="s">
        <v>70</v>
      </c>
      <c r="C38" s="112">
        <f>'Q ILA201-100-25 3a'!K9</f>
        <v>1949440.6992217565</v>
      </c>
      <c r="D38" s="112">
        <f>SUMPRODUCT(J42:J57,M42:M57)</f>
        <v>2098082.440068692</v>
      </c>
      <c r="E38" s="115">
        <f>SUMPRODUCT(O42:O57,R42:R57)</f>
        <v>1800400.9339082723</v>
      </c>
    </row>
    <row r="39" spans="1:18" ht="15" thickBot="1" x14ac:dyDescent="0.35">
      <c r="A39" s="12"/>
      <c r="B39" s="116" t="s">
        <v>512</v>
      </c>
      <c r="C39" s="149">
        <f>MAX(D38-C38,0,E38-C38,0)</f>
        <v>148641.74084693543</v>
      </c>
      <c r="D39" s="150"/>
      <c r="E39" s="151"/>
    </row>
    <row r="40" spans="1:18" ht="15" outlineLevel="1" thickBot="1" x14ac:dyDescent="0.35">
      <c r="A40" s="12"/>
      <c r="I40" s="66" t="s">
        <v>518</v>
      </c>
      <c r="N40" s="66" t="s">
        <v>519</v>
      </c>
    </row>
    <row r="41" spans="1:18" ht="44.4" outlineLevel="1" thickTop="1" thickBot="1" x14ac:dyDescent="0.35">
      <c r="B41" s="70" t="s">
        <v>478</v>
      </c>
      <c r="C41" s="117" t="s">
        <v>520</v>
      </c>
      <c r="D41" s="117" t="s">
        <v>521</v>
      </c>
      <c r="E41" s="71" t="s">
        <v>480</v>
      </c>
      <c r="F41" s="71" t="s">
        <v>481</v>
      </c>
      <c r="G41" s="71" t="s">
        <v>482</v>
      </c>
      <c r="H41" s="72" t="s">
        <v>483</v>
      </c>
      <c r="I41" s="70" t="s">
        <v>484</v>
      </c>
      <c r="J41" s="71" t="s">
        <v>485</v>
      </c>
      <c r="K41" s="71" t="s">
        <v>486</v>
      </c>
      <c r="L41" s="71" t="s">
        <v>487</v>
      </c>
      <c r="M41" s="72" t="s">
        <v>488</v>
      </c>
      <c r="N41" s="70" t="s">
        <v>484</v>
      </c>
      <c r="O41" s="71" t="s">
        <v>485</v>
      </c>
      <c r="P41" s="71" t="s">
        <v>486</v>
      </c>
      <c r="Q41" s="71" t="s">
        <v>487</v>
      </c>
      <c r="R41" s="72" t="s">
        <v>488</v>
      </c>
    </row>
    <row r="42" spans="1:18" ht="15" outlineLevel="1" thickTop="1" x14ac:dyDescent="0.3">
      <c r="B42" s="73">
        <v>0</v>
      </c>
      <c r="C42" s="120"/>
      <c r="D42" s="120"/>
      <c r="E42" s="74"/>
      <c r="F42" s="74"/>
      <c r="G42" s="74"/>
      <c r="H42" s="75"/>
      <c r="I42" s="73">
        <v>1000</v>
      </c>
      <c r="J42" s="74">
        <v>1</v>
      </c>
      <c r="K42" s="74"/>
      <c r="L42" s="74"/>
      <c r="M42" s="75">
        <v>0</v>
      </c>
      <c r="N42" s="73">
        <v>1000</v>
      </c>
      <c r="O42" s="74">
        <v>1</v>
      </c>
      <c r="P42" s="74"/>
      <c r="Q42" s="74"/>
      <c r="R42" s="75">
        <v>0</v>
      </c>
    </row>
    <row r="43" spans="1:18" outlineLevel="1" x14ac:dyDescent="0.3">
      <c r="B43" s="76">
        <f>B42+1</f>
        <v>1</v>
      </c>
      <c r="C43" s="121">
        <f>'Q ILA201-100-25 3a'!B12*$D$37</f>
        <v>0.53900000000000003</v>
      </c>
      <c r="D43" s="121">
        <f>'Q ILA201-100-25 3a'!B12*$E$37</f>
        <v>0.441</v>
      </c>
      <c r="E43" s="79">
        <v>0.05</v>
      </c>
      <c r="F43" s="79">
        <v>0.04</v>
      </c>
      <c r="G43" s="79">
        <v>100000</v>
      </c>
      <c r="H43" s="80">
        <v>1296.655658220878</v>
      </c>
      <c r="I43" s="81">
        <f t="shared" ref="I43:I57" si="8">I42*(1-C43/1000-E43)</f>
        <v>949.46100000000001</v>
      </c>
      <c r="J43" s="79">
        <f t="shared" ref="J43:J57" si="9">J42/(1+F43)</f>
        <v>0.96153846153846145</v>
      </c>
      <c r="K43" s="79">
        <f t="shared" ref="K43:K57" si="10">G43*I42*C43/1000</f>
        <v>53900</v>
      </c>
      <c r="L43" s="79">
        <f t="shared" ref="L43:L57" si="11">I42*E43*H43</f>
        <v>64832.782911043898</v>
      </c>
      <c r="M43" s="82">
        <f>SUM(K43:L43)</f>
        <v>118732.78291104391</v>
      </c>
      <c r="N43" s="81">
        <f t="shared" ref="N43:N57" si="12">N42*(1-D43/1000-E43)</f>
        <v>949.55899999999997</v>
      </c>
      <c r="O43" s="79">
        <f>O42/(1+F43)</f>
        <v>0.96153846153846145</v>
      </c>
      <c r="P43" s="79">
        <f t="shared" ref="P43:P57" si="13">G43*N42*D43/1000</f>
        <v>44100</v>
      </c>
      <c r="Q43" s="79">
        <f t="shared" ref="Q43:Q57" si="14">N42*E43*H43</f>
        <v>64832.782911043898</v>
      </c>
      <c r="R43" s="82">
        <f>SUM(P43:Q43)</f>
        <v>108932.78291104391</v>
      </c>
    </row>
    <row r="44" spans="1:18" outlineLevel="1" x14ac:dyDescent="0.3">
      <c r="B44" s="76">
        <f t="shared" ref="B44:B53" si="15">B43+1</f>
        <v>2</v>
      </c>
      <c r="C44" s="121">
        <f>'Q ILA201-100-25 3a'!B13*$D$37</f>
        <v>0.79200000000000004</v>
      </c>
      <c r="D44" s="121">
        <f>'Q ILA201-100-25 3a'!B13*$E$37</f>
        <v>0.64800000000000002</v>
      </c>
      <c r="E44" s="79">
        <f>E43</f>
        <v>0.05</v>
      </c>
      <c r="F44" s="79">
        <f>F43</f>
        <v>0.04</v>
      </c>
      <c r="G44" s="79">
        <f>G43</f>
        <v>100000</v>
      </c>
      <c r="H44" s="80">
        <v>1314.2713038963395</v>
      </c>
      <c r="I44" s="81">
        <f t="shared" si="8"/>
        <v>901.23597688799998</v>
      </c>
      <c r="J44" s="79">
        <f t="shared" si="9"/>
        <v>0.92455621301775137</v>
      </c>
      <c r="K44" s="79">
        <f t="shared" si="10"/>
        <v>75197.311199999996</v>
      </c>
      <c r="L44" s="79">
        <f t="shared" si="11"/>
        <v>62392.467323436125</v>
      </c>
      <c r="M44" s="82">
        <f t="shared" ref="M44:M57" si="16">SUM(K44:L44)</f>
        <v>137589.77852343611</v>
      </c>
      <c r="N44" s="81">
        <f t="shared" si="12"/>
        <v>901.46573576799994</v>
      </c>
      <c r="O44" s="79">
        <f t="shared" ref="O44:O57" si="17">O43/(1+F44)</f>
        <v>0.92455621301775137</v>
      </c>
      <c r="P44" s="79">
        <f t="shared" si="13"/>
        <v>61531.423200000005</v>
      </c>
      <c r="Q44" s="79">
        <f t="shared" si="14"/>
        <v>62398.907252825215</v>
      </c>
      <c r="R44" s="82">
        <f t="shared" ref="R44:R57" si="18">SUM(P44:Q44)</f>
        <v>123930.33045282522</v>
      </c>
    </row>
    <row r="45" spans="1:18" outlineLevel="1" x14ac:dyDescent="0.3">
      <c r="B45" s="76">
        <f t="shared" si="15"/>
        <v>3</v>
      </c>
      <c r="C45" s="121">
        <f>'Q ILA201-100-25 3a'!B14*$D$37</f>
        <v>1.056</v>
      </c>
      <c r="D45" s="121">
        <f>'Q ILA201-100-25 3a'!B14*$E$37</f>
        <v>0.86399999999999999</v>
      </c>
      <c r="E45" s="79">
        <f t="shared" ref="E45:G57" si="19">E44</f>
        <v>0.05</v>
      </c>
      <c r="F45" s="79">
        <f t="shared" si="19"/>
        <v>0.04</v>
      </c>
      <c r="G45" s="79">
        <f t="shared" si="19"/>
        <v>100000</v>
      </c>
      <c r="H45" s="80">
        <v>1313.6835355694675</v>
      </c>
      <c r="I45" s="81">
        <f t="shared" si="8"/>
        <v>855.22247285200626</v>
      </c>
      <c r="J45" s="79">
        <f t="shared" si="9"/>
        <v>0.88899635867091475</v>
      </c>
      <c r="K45" s="79">
        <f t="shared" si="10"/>
        <v>95170.519159372794</v>
      </c>
      <c r="L45" s="79">
        <f t="shared" si="11"/>
        <v>59196.943225031537</v>
      </c>
      <c r="M45" s="82">
        <f t="shared" si="16"/>
        <v>154367.46238440432</v>
      </c>
      <c r="N45" s="81">
        <f t="shared" si="12"/>
        <v>855.61358258389635</v>
      </c>
      <c r="O45" s="79">
        <f t="shared" si="17"/>
        <v>0.88899635867091475</v>
      </c>
      <c r="P45" s="79">
        <f t="shared" si="13"/>
        <v>77886.639570355197</v>
      </c>
      <c r="Q45" s="79">
        <f t="shared" si="14"/>
        <v>59212.034747921876</v>
      </c>
      <c r="R45" s="82">
        <f t="shared" si="18"/>
        <v>137098.67431827707</v>
      </c>
    </row>
    <row r="46" spans="1:18" outlineLevel="1" x14ac:dyDescent="0.3">
      <c r="B46" s="76">
        <f t="shared" si="15"/>
        <v>4</v>
      </c>
      <c r="C46" s="121">
        <f>'Q ILA201-100-25 3a'!B15*$D$37</f>
        <v>1.298</v>
      </c>
      <c r="D46" s="121">
        <f>'Q ILA201-100-25 3a'!B15*$E$37</f>
        <v>1.0620000000000001</v>
      </c>
      <c r="E46" s="79">
        <f t="shared" si="19"/>
        <v>0.05</v>
      </c>
      <c r="F46" s="79">
        <f t="shared" si="19"/>
        <v>0.04</v>
      </c>
      <c r="G46" s="79">
        <f t="shared" si="19"/>
        <v>100000</v>
      </c>
      <c r="H46" s="80">
        <v>1297.6363046948559</v>
      </c>
      <c r="I46" s="81">
        <f t="shared" si="8"/>
        <v>811.35127043964394</v>
      </c>
      <c r="J46" s="79">
        <f t="shared" si="9"/>
        <v>0.85480419102972571</v>
      </c>
      <c r="K46" s="79">
        <f t="shared" si="10"/>
        <v>111007.87697619041</v>
      </c>
      <c r="L46" s="79">
        <f t="shared" si="11"/>
        <v>55488.386468183708</v>
      </c>
      <c r="M46" s="82">
        <f t="shared" si="16"/>
        <v>166496.26344437411</v>
      </c>
      <c r="N46" s="81">
        <f t="shared" si="12"/>
        <v>811.92424182999741</v>
      </c>
      <c r="O46" s="79">
        <f t="shared" si="17"/>
        <v>0.85480419102972571</v>
      </c>
      <c r="P46" s="79">
        <f t="shared" si="13"/>
        <v>90866.162470409792</v>
      </c>
      <c r="Q46" s="79">
        <f t="shared" si="14"/>
        <v>55513.762377544714</v>
      </c>
      <c r="R46" s="82">
        <f t="shared" si="18"/>
        <v>146379.92484795451</v>
      </c>
    </row>
    <row r="47" spans="1:18" outlineLevel="1" x14ac:dyDescent="0.3">
      <c r="B47" s="76">
        <f t="shared" si="15"/>
        <v>5</v>
      </c>
      <c r="C47" s="121">
        <f>'Q ILA201-100-25 3a'!B16*$D$37</f>
        <v>1.4960000000000002</v>
      </c>
      <c r="D47" s="121">
        <f>'Q ILA201-100-25 3a'!B16*$E$37</f>
        <v>1.2240000000000002</v>
      </c>
      <c r="E47" s="79">
        <f t="shared" si="19"/>
        <v>0.05</v>
      </c>
      <c r="F47" s="79">
        <f t="shared" si="19"/>
        <v>0.04</v>
      </c>
      <c r="G47" s="79">
        <f t="shared" si="19"/>
        <v>100000</v>
      </c>
      <c r="H47" s="80">
        <v>1270.3613250937153</v>
      </c>
      <c r="I47" s="81">
        <f t="shared" si="8"/>
        <v>769.56992541708394</v>
      </c>
      <c r="J47" s="79">
        <f t="shared" si="9"/>
        <v>0.82192710675935166</v>
      </c>
      <c r="K47" s="79">
        <f t="shared" si="10"/>
        <v>121378.15005777076</v>
      </c>
      <c r="L47" s="79">
        <f t="shared" si="11"/>
        <v>51535.463751608775</v>
      </c>
      <c r="M47" s="82">
        <f t="shared" si="16"/>
        <v>172913.61380937955</v>
      </c>
      <c r="N47" s="81">
        <f t="shared" si="12"/>
        <v>770.33423446649761</v>
      </c>
      <c r="O47" s="79">
        <f t="shared" si="17"/>
        <v>0.82192710675935166</v>
      </c>
      <c r="P47" s="79">
        <f t="shared" si="13"/>
        <v>99379.527199991702</v>
      </c>
      <c r="Q47" s="79">
        <f t="shared" si="14"/>
        <v>51571.857786343287</v>
      </c>
      <c r="R47" s="82">
        <f t="shared" si="18"/>
        <v>150951.384986335</v>
      </c>
    </row>
    <row r="48" spans="1:18" outlineLevel="1" x14ac:dyDescent="0.3">
      <c r="B48" s="76">
        <f t="shared" si="15"/>
        <v>6</v>
      </c>
      <c r="C48" s="121">
        <f>'Q ILA201-100-25 3a'!B17*$D$37</f>
        <v>1.7270000000000003</v>
      </c>
      <c r="D48" s="121">
        <f>'Q ILA201-100-25 3a'!B17*$E$37</f>
        <v>1.413</v>
      </c>
      <c r="E48" s="79">
        <f t="shared" si="19"/>
        <v>0.05</v>
      </c>
      <c r="F48" s="79">
        <f t="shared" si="19"/>
        <v>0.04</v>
      </c>
      <c r="G48" s="79">
        <f t="shared" si="19"/>
        <v>100000</v>
      </c>
      <c r="H48" s="80">
        <v>1229.9423803372763</v>
      </c>
      <c r="I48" s="81">
        <f t="shared" si="8"/>
        <v>729.76238188503442</v>
      </c>
      <c r="J48" s="79">
        <f t="shared" si="9"/>
        <v>0.79031452573014582</v>
      </c>
      <c r="K48" s="79">
        <f t="shared" si="10"/>
        <v>132904.72611953042</v>
      </c>
      <c r="L48" s="79">
        <f t="shared" si="11"/>
        <v>47326.333295173426</v>
      </c>
      <c r="M48" s="82">
        <f t="shared" si="16"/>
        <v>180231.05941470384</v>
      </c>
      <c r="N48" s="81">
        <f t="shared" si="12"/>
        <v>730.72904046987151</v>
      </c>
      <c r="O48" s="79">
        <f t="shared" si="17"/>
        <v>0.79031452573014582</v>
      </c>
      <c r="P48" s="79">
        <f t="shared" si="13"/>
        <v>108848.2273301161</v>
      </c>
      <c r="Q48" s="79">
        <f t="shared" si="14"/>
        <v>47373.336099750879</v>
      </c>
      <c r="R48" s="82">
        <f t="shared" si="18"/>
        <v>156221.56342986698</v>
      </c>
    </row>
    <row r="49" spans="1:18" outlineLevel="1" x14ac:dyDescent="0.3">
      <c r="B49" s="76">
        <f t="shared" si="15"/>
        <v>7</v>
      </c>
      <c r="C49" s="121">
        <f>'Q ILA201-100-25 3a'!B18*$D$37</f>
        <v>2.0020000000000002</v>
      </c>
      <c r="D49" s="121">
        <f>'Q ILA201-100-25 3a'!B18*$E$37</f>
        <v>1.6380000000000001</v>
      </c>
      <c r="E49" s="79">
        <f t="shared" si="19"/>
        <v>0.05</v>
      </c>
      <c r="F49" s="79">
        <f t="shared" si="19"/>
        <v>0.04</v>
      </c>
      <c r="G49" s="79">
        <f t="shared" si="19"/>
        <v>100000</v>
      </c>
      <c r="H49" s="80">
        <v>1173.8303224795452</v>
      </c>
      <c r="I49" s="81">
        <f t="shared" si="8"/>
        <v>691.81327850224886</v>
      </c>
      <c r="J49" s="79">
        <f t="shared" si="9"/>
        <v>0.75991781320206331</v>
      </c>
      <c r="K49" s="79">
        <f t="shared" si="10"/>
        <v>146098.4288533839</v>
      </c>
      <c r="L49" s="79">
        <f t="shared" si="11"/>
        <v>42830.860603077548</v>
      </c>
      <c r="M49" s="82">
        <f t="shared" si="16"/>
        <v>188929.28945646144</v>
      </c>
      <c r="N49" s="81">
        <f t="shared" si="12"/>
        <v>692.99565427808818</v>
      </c>
      <c r="O49" s="79">
        <f t="shared" si="17"/>
        <v>0.75991781320206331</v>
      </c>
      <c r="P49" s="79">
        <f t="shared" si="13"/>
        <v>119693.41682896495</v>
      </c>
      <c r="Q49" s="79">
        <f t="shared" si="14"/>
        <v>42887.595260995891</v>
      </c>
      <c r="R49" s="82">
        <f t="shared" si="18"/>
        <v>162581.01208996086</v>
      </c>
    </row>
    <row r="50" spans="1:18" outlineLevel="1" x14ac:dyDescent="0.3">
      <c r="B50" s="76">
        <f t="shared" si="15"/>
        <v>8</v>
      </c>
      <c r="C50" s="121">
        <f>'Q ILA201-100-25 3a'!B19*$D$37</f>
        <v>2.2989999999999999</v>
      </c>
      <c r="D50" s="121">
        <f>'Q ILA201-100-25 3a'!B19*$E$37</f>
        <v>1.881</v>
      </c>
      <c r="E50" s="79">
        <f t="shared" si="19"/>
        <v>0.05</v>
      </c>
      <c r="F50" s="79">
        <f t="shared" si="19"/>
        <v>0.04</v>
      </c>
      <c r="G50" s="79">
        <f t="shared" si="19"/>
        <v>100000</v>
      </c>
      <c r="H50" s="80">
        <v>1101.1560814683985</v>
      </c>
      <c r="I50" s="81">
        <f t="shared" si="8"/>
        <v>655.63213584985965</v>
      </c>
      <c r="J50" s="79">
        <f t="shared" si="9"/>
        <v>0.73069020500198389</v>
      </c>
      <c r="K50" s="79">
        <f t="shared" si="10"/>
        <v>159047.87272766701</v>
      </c>
      <c r="L50" s="79">
        <f t="shared" si="11"/>
        <v>38089.719943167111</v>
      </c>
      <c r="M50" s="82">
        <f t="shared" si="16"/>
        <v>197137.59267083413</v>
      </c>
      <c r="N50" s="81">
        <f t="shared" si="12"/>
        <v>657.04234673848669</v>
      </c>
      <c r="O50" s="79">
        <f t="shared" si="17"/>
        <v>0.73069020500198389</v>
      </c>
      <c r="P50" s="79">
        <f t="shared" si="13"/>
        <v>130352.48256970839</v>
      </c>
      <c r="Q50" s="79">
        <f t="shared" si="14"/>
        <v>38154.818956974428</v>
      </c>
      <c r="R50" s="82">
        <f t="shared" si="18"/>
        <v>168507.3015266828</v>
      </c>
    </row>
    <row r="51" spans="1:18" outlineLevel="1" x14ac:dyDescent="0.3">
      <c r="B51" s="76">
        <f t="shared" si="15"/>
        <v>9</v>
      </c>
      <c r="C51" s="121">
        <f>'Q ILA201-100-25 3a'!B20*$D$37</f>
        <v>2.5960000000000001</v>
      </c>
      <c r="D51" s="121">
        <f>'Q ILA201-100-25 3a'!B20*$E$37</f>
        <v>2.1240000000000001</v>
      </c>
      <c r="E51" s="79">
        <f t="shared" si="19"/>
        <v>0.05</v>
      </c>
      <c r="F51" s="79">
        <f t="shared" si="19"/>
        <v>0.04</v>
      </c>
      <c r="G51" s="79">
        <f t="shared" si="19"/>
        <v>100000</v>
      </c>
      <c r="H51" s="80">
        <v>1012.4988087583707</v>
      </c>
      <c r="I51" s="81">
        <f t="shared" si="8"/>
        <v>621.14850803270042</v>
      </c>
      <c r="J51" s="79">
        <f t="shared" si="9"/>
        <v>0.70258673557883067</v>
      </c>
      <c r="K51" s="79">
        <f t="shared" si="10"/>
        <v>170202.10246662356</v>
      </c>
      <c r="L51" s="79">
        <f t="shared" si="11"/>
        <v>33191.337826584466</v>
      </c>
      <c r="M51" s="82">
        <f t="shared" si="16"/>
        <v>203393.44029320803</v>
      </c>
      <c r="N51" s="81">
        <f t="shared" si="12"/>
        <v>622.79467145708975</v>
      </c>
      <c r="O51" s="79">
        <f t="shared" si="17"/>
        <v>0.70258673557883067</v>
      </c>
      <c r="P51" s="79">
        <f t="shared" si="13"/>
        <v>139555.79444725456</v>
      </c>
      <c r="Q51" s="79">
        <f t="shared" si="14"/>
        <v>33262.729668826112</v>
      </c>
      <c r="R51" s="82">
        <f t="shared" si="18"/>
        <v>172818.52411608066</v>
      </c>
    </row>
    <row r="52" spans="1:18" outlineLevel="1" x14ac:dyDescent="0.3">
      <c r="B52" s="76">
        <f t="shared" si="15"/>
        <v>10</v>
      </c>
      <c r="C52" s="121">
        <f>'Q ILA201-100-25 3a'!B21*$D$37</f>
        <v>2.9590000000000001</v>
      </c>
      <c r="D52" s="121">
        <f>'Q ILA201-100-25 3a'!B21*$E$37</f>
        <v>2.4209999999999998</v>
      </c>
      <c r="E52" s="79">
        <f t="shared" si="19"/>
        <v>0.05</v>
      </c>
      <c r="F52" s="79">
        <f t="shared" si="19"/>
        <v>0.04</v>
      </c>
      <c r="G52" s="79">
        <f t="shared" si="19"/>
        <v>100000</v>
      </c>
      <c r="H52" s="80">
        <v>904.35177890317436</v>
      </c>
      <c r="I52" s="81">
        <f t="shared" si="8"/>
        <v>588.2531041957966</v>
      </c>
      <c r="J52" s="79">
        <f t="shared" si="9"/>
        <v>0.67556416882579873</v>
      </c>
      <c r="K52" s="79">
        <f t="shared" si="10"/>
        <v>183797.84352687607</v>
      </c>
      <c r="L52" s="79">
        <f t="shared" si="11"/>
        <v>28086.837910121267</v>
      </c>
      <c r="M52" s="82">
        <f t="shared" si="16"/>
        <v>211884.68143699734</v>
      </c>
      <c r="N52" s="81">
        <f t="shared" si="12"/>
        <v>590.14715198463762</v>
      </c>
      <c r="O52" s="79">
        <f t="shared" si="17"/>
        <v>0.67556416882579873</v>
      </c>
      <c r="P52" s="79">
        <f t="shared" si="13"/>
        <v>150778.58995976142</v>
      </c>
      <c r="Q52" s="79">
        <f t="shared" si="14"/>
        <v>28161.27345118186</v>
      </c>
      <c r="R52" s="82">
        <f t="shared" si="18"/>
        <v>178939.86341094328</v>
      </c>
    </row>
    <row r="53" spans="1:18" outlineLevel="1" x14ac:dyDescent="0.3">
      <c r="B53" s="76">
        <f t="shared" si="15"/>
        <v>11</v>
      </c>
      <c r="C53" s="121">
        <f>'Q ILA201-100-25 3a'!B22*$D$37</f>
        <v>3.3660000000000005</v>
      </c>
      <c r="D53" s="121">
        <f>'Q ILA201-100-25 3a'!B22*$E$37</f>
        <v>2.754</v>
      </c>
      <c r="E53" s="79">
        <f t="shared" si="19"/>
        <v>0.05</v>
      </c>
      <c r="F53" s="79">
        <f t="shared" si="19"/>
        <v>0.04</v>
      </c>
      <c r="G53" s="79">
        <f t="shared" si="19"/>
        <v>100000</v>
      </c>
      <c r="H53" s="80">
        <v>774.74071675980235</v>
      </c>
      <c r="I53" s="81">
        <f t="shared" si="8"/>
        <v>556.86038903728365</v>
      </c>
      <c r="J53" s="79">
        <f t="shared" si="9"/>
        <v>0.64958093156326802</v>
      </c>
      <c r="K53" s="79">
        <f t="shared" si="10"/>
        <v>198005.99487230519</v>
      </c>
      <c r="L53" s="79">
        <f t="shared" si="11"/>
        <v>22787.181579041509</v>
      </c>
      <c r="M53" s="82">
        <f t="shared" si="16"/>
        <v>220793.17645134669</v>
      </c>
      <c r="N53" s="81">
        <f t="shared" si="12"/>
        <v>559.01452912883997</v>
      </c>
      <c r="O53" s="79">
        <f t="shared" si="17"/>
        <v>0.64958093156326802</v>
      </c>
      <c r="P53" s="79">
        <f t="shared" si="13"/>
        <v>162526.5256565692</v>
      </c>
      <c r="Q53" s="79">
        <f t="shared" si="14"/>
        <v>22860.551376116709</v>
      </c>
      <c r="R53" s="82">
        <f t="shared" si="18"/>
        <v>185387.07703268592</v>
      </c>
    </row>
    <row r="54" spans="1:18" outlineLevel="1" x14ac:dyDescent="0.3">
      <c r="B54" s="76">
        <f>B53+1</f>
        <v>12</v>
      </c>
      <c r="C54" s="121">
        <f>'Q ILA201-100-25 3a'!B23*$D$37</f>
        <v>3.8170000000000006</v>
      </c>
      <c r="D54" s="121">
        <f>'Q ILA201-100-25 3a'!B23*$E$37</f>
        <v>3.1230000000000002</v>
      </c>
      <c r="E54" s="79">
        <f t="shared" si="19"/>
        <v>0.05</v>
      </c>
      <c r="F54" s="79">
        <f t="shared" si="19"/>
        <v>0.04</v>
      </c>
      <c r="G54" s="79">
        <f t="shared" si="19"/>
        <v>100000</v>
      </c>
      <c r="H54" s="80">
        <v>621.81631080479781</v>
      </c>
      <c r="I54" s="81">
        <f t="shared" si="8"/>
        <v>526.89183348046413</v>
      </c>
      <c r="J54" s="79">
        <f t="shared" si="9"/>
        <v>0.62459704958006534</v>
      </c>
      <c r="K54" s="79">
        <f t="shared" si="10"/>
        <v>212553.6104955312</v>
      </c>
      <c r="L54" s="79">
        <f t="shared" si="11"/>
        <v>17313.243637224412</v>
      </c>
      <c r="M54" s="82">
        <f t="shared" si="16"/>
        <v>229866.8541327556</v>
      </c>
      <c r="N54" s="81">
        <f t="shared" si="12"/>
        <v>529.31800029792862</v>
      </c>
      <c r="O54" s="79">
        <f t="shared" si="17"/>
        <v>0.62459704958006534</v>
      </c>
      <c r="P54" s="79">
        <f t="shared" si="13"/>
        <v>174580.23744693672</v>
      </c>
      <c r="Q54" s="79">
        <f t="shared" si="14"/>
        <v>17380.217609458821</v>
      </c>
      <c r="R54" s="82">
        <f t="shared" si="18"/>
        <v>191960.45505639556</v>
      </c>
    </row>
    <row r="55" spans="1:18" outlineLevel="1" x14ac:dyDescent="0.3">
      <c r="B55" s="76">
        <f t="shared" ref="B55:B57" si="20">B54+1</f>
        <v>13</v>
      </c>
      <c r="C55" s="121">
        <f>'Q ILA201-100-25 3a'!B24*$D$37</f>
        <v>4.3450000000000006</v>
      </c>
      <c r="D55" s="121">
        <f>'Q ILA201-100-25 3a'!B24*$E$37</f>
        <v>3.5550000000000002</v>
      </c>
      <c r="E55" s="79">
        <f t="shared" si="19"/>
        <v>0.05</v>
      </c>
      <c r="F55" s="79">
        <f t="shared" si="19"/>
        <v>0.04</v>
      </c>
      <c r="G55" s="79">
        <f t="shared" si="19"/>
        <v>100000</v>
      </c>
      <c r="H55" s="80">
        <v>442.14043702902569</v>
      </c>
      <c r="I55" s="81">
        <f t="shared" si="8"/>
        <v>498.25789678996824</v>
      </c>
      <c r="J55" s="79">
        <f t="shared" si="9"/>
        <v>0.60057408613467822</v>
      </c>
      <c r="K55" s="79">
        <f t="shared" si="10"/>
        <v>228934.5016472617</v>
      </c>
      <c r="L55" s="79">
        <f t="shared" si="11"/>
        <v>11648.009276103852</v>
      </c>
      <c r="M55" s="82">
        <f t="shared" si="16"/>
        <v>240582.51092336554</v>
      </c>
      <c r="N55" s="81">
        <f t="shared" si="12"/>
        <v>500.97037479197303</v>
      </c>
      <c r="O55" s="79">
        <f t="shared" si="17"/>
        <v>0.60057408613467822</v>
      </c>
      <c r="P55" s="79">
        <f t="shared" si="13"/>
        <v>188172.54910591364</v>
      </c>
      <c r="Q55" s="79">
        <f t="shared" si="14"/>
        <v>11701.644598952807</v>
      </c>
      <c r="R55" s="82">
        <f t="shared" si="18"/>
        <v>199874.19370486645</v>
      </c>
    </row>
    <row r="56" spans="1:18" outlineLevel="1" x14ac:dyDescent="0.3">
      <c r="B56" s="76">
        <f t="shared" si="20"/>
        <v>14</v>
      </c>
      <c r="C56" s="121">
        <f>'Q ILA201-100-25 3a'!B25*$D$37</f>
        <v>4.8840000000000012</v>
      </c>
      <c r="D56" s="121">
        <f>'Q ILA201-100-25 3a'!B25*$E$37</f>
        <v>3.9960000000000004</v>
      </c>
      <c r="E56" s="79">
        <f t="shared" si="19"/>
        <v>0.05</v>
      </c>
      <c r="F56" s="79">
        <f t="shared" si="19"/>
        <v>0.04</v>
      </c>
      <c r="G56" s="79">
        <f t="shared" si="19"/>
        <v>100000</v>
      </c>
      <c r="H56" s="80">
        <v>235.73437267725242</v>
      </c>
      <c r="I56" s="81">
        <f t="shared" si="8"/>
        <v>470.91151038254759</v>
      </c>
      <c r="J56" s="79">
        <f t="shared" si="9"/>
        <v>0.57747508282180593</v>
      </c>
      <c r="K56" s="79">
        <f t="shared" si="10"/>
        <v>243349.15679222057</v>
      </c>
      <c r="L56" s="79">
        <f t="shared" si="11"/>
        <v>5872.8256365635179</v>
      </c>
      <c r="M56" s="82">
        <f t="shared" si="16"/>
        <v>249221.9824287841</v>
      </c>
      <c r="N56" s="81">
        <f t="shared" si="12"/>
        <v>473.91997843470563</v>
      </c>
      <c r="O56" s="79">
        <f t="shared" si="17"/>
        <v>0.57747508282180593</v>
      </c>
      <c r="P56" s="79">
        <f t="shared" si="13"/>
        <v>200187.76176687243</v>
      </c>
      <c r="Q56" s="79">
        <f t="shared" si="14"/>
        <v>5904.7968515736902</v>
      </c>
      <c r="R56" s="82">
        <f t="shared" si="18"/>
        <v>206092.55861844611</v>
      </c>
    </row>
    <row r="57" spans="1:18" ht="15" outlineLevel="1" thickBot="1" x14ac:dyDescent="0.35">
      <c r="B57" s="83">
        <f t="shared" si="20"/>
        <v>15</v>
      </c>
      <c r="C57" s="122">
        <f>'Q ILA201-100-25 3a'!B26*$D$37</f>
        <v>5.4890000000000008</v>
      </c>
      <c r="D57" s="122">
        <f>'Q ILA201-100-25 3a'!B26*$E$37</f>
        <v>4.4910000000000005</v>
      </c>
      <c r="E57" s="86">
        <f t="shared" si="19"/>
        <v>0.05</v>
      </c>
      <c r="F57" s="86">
        <f t="shared" si="19"/>
        <v>0.04</v>
      </c>
      <c r="G57" s="86">
        <f t="shared" si="19"/>
        <v>100000</v>
      </c>
      <c r="H57" s="87">
        <v>0</v>
      </c>
      <c r="I57" s="88">
        <f t="shared" si="8"/>
        <v>444.78110158293038</v>
      </c>
      <c r="J57" s="119">
        <f t="shared" si="9"/>
        <v>0.55526450271327488</v>
      </c>
      <c r="K57" s="119">
        <f t="shared" si="10"/>
        <v>258483.32804898042</v>
      </c>
      <c r="L57" s="119">
        <f t="shared" si="11"/>
        <v>0</v>
      </c>
      <c r="M57" s="123">
        <f t="shared" si="16"/>
        <v>258483.32804898042</v>
      </c>
      <c r="N57" s="124">
        <f t="shared" si="12"/>
        <v>448.09560488982004</v>
      </c>
      <c r="O57" s="119">
        <f t="shared" si="17"/>
        <v>0.55526450271327488</v>
      </c>
      <c r="P57" s="119">
        <f t="shared" si="13"/>
        <v>212837.46231502635</v>
      </c>
      <c r="Q57" s="119">
        <f t="shared" si="14"/>
        <v>0</v>
      </c>
      <c r="R57" s="123">
        <f t="shared" si="18"/>
        <v>212837.46231502635</v>
      </c>
    </row>
    <row r="58" spans="1:18" ht="15.6" thickTop="1" thickBot="1" x14ac:dyDescent="0.35"/>
    <row r="59" spans="1:18" x14ac:dyDescent="0.3">
      <c r="B59" s="108" t="s">
        <v>522</v>
      </c>
      <c r="C59" s="109" t="s">
        <v>509</v>
      </c>
      <c r="D59" s="109" t="s">
        <v>510</v>
      </c>
      <c r="E59" s="110" t="s">
        <v>511</v>
      </c>
    </row>
    <row r="60" spans="1:18" x14ac:dyDescent="0.3">
      <c r="B60" s="111" t="s">
        <v>508</v>
      </c>
      <c r="C60" s="113">
        <v>1</v>
      </c>
      <c r="D60" s="113">
        <f>D11</f>
        <v>1.2</v>
      </c>
      <c r="E60" s="114">
        <f>E11</f>
        <v>0.8</v>
      </c>
    </row>
    <row r="61" spans="1:18" x14ac:dyDescent="0.3">
      <c r="A61" s="12"/>
      <c r="B61" s="111" t="s">
        <v>70</v>
      </c>
      <c r="C61" s="112">
        <f>'Q ILA201-100-25 3a'!K9</f>
        <v>1949440.6992217565</v>
      </c>
      <c r="D61" s="112">
        <f>SUMPRODUCT(J65:J80,M65:M80)</f>
        <v>1893844.7283037871</v>
      </c>
      <c r="E61" s="115">
        <f>SUMPRODUCT(O65:O80,R65:R80)</f>
        <v>2010773.7896438015</v>
      </c>
    </row>
    <row r="62" spans="1:18" ht="15" thickBot="1" x14ac:dyDescent="0.35">
      <c r="A62" s="12"/>
      <c r="B62" s="116" t="s">
        <v>512</v>
      </c>
      <c r="C62" s="149">
        <f>MAX(D61-C61,0,E61-C61,0)</f>
        <v>61333.090422044974</v>
      </c>
      <c r="D62" s="150"/>
      <c r="E62" s="151"/>
    </row>
    <row r="63" spans="1:18" ht="15" outlineLevel="1" thickBot="1" x14ac:dyDescent="0.35">
      <c r="A63" s="12"/>
      <c r="I63" s="66" t="s">
        <v>523</v>
      </c>
      <c r="N63" s="66" t="s">
        <v>524</v>
      </c>
    </row>
    <row r="64" spans="1:18" ht="30" outlineLevel="1" thickTop="1" thickBot="1" x14ac:dyDescent="0.35">
      <c r="B64" s="70" t="s">
        <v>478</v>
      </c>
      <c r="C64" s="71" t="s">
        <v>479</v>
      </c>
      <c r="D64" s="117" t="s">
        <v>525</v>
      </c>
      <c r="E64" s="117" t="s">
        <v>526</v>
      </c>
      <c r="F64" s="71" t="s">
        <v>481</v>
      </c>
      <c r="G64" s="71" t="s">
        <v>482</v>
      </c>
      <c r="H64" s="72" t="s">
        <v>483</v>
      </c>
      <c r="I64" s="70" t="s">
        <v>484</v>
      </c>
      <c r="J64" s="71" t="s">
        <v>485</v>
      </c>
      <c r="K64" s="71" t="s">
        <v>486</v>
      </c>
      <c r="L64" s="71" t="s">
        <v>487</v>
      </c>
      <c r="M64" s="72" t="s">
        <v>488</v>
      </c>
      <c r="N64" s="70" t="s">
        <v>484</v>
      </c>
      <c r="O64" s="71" t="s">
        <v>485</v>
      </c>
      <c r="P64" s="71" t="s">
        <v>486</v>
      </c>
      <c r="Q64" s="71" t="s">
        <v>487</v>
      </c>
      <c r="R64" s="72" t="s">
        <v>488</v>
      </c>
    </row>
    <row r="65" spans="2:18" ht="15" outlineLevel="1" thickTop="1" x14ac:dyDescent="0.3">
      <c r="B65" s="73">
        <v>0</v>
      </c>
      <c r="C65" s="74"/>
      <c r="D65" s="74"/>
      <c r="E65" s="74"/>
      <c r="F65" s="74"/>
      <c r="G65" s="74"/>
      <c r="H65" s="75"/>
      <c r="I65" s="73">
        <v>1000</v>
      </c>
      <c r="J65" s="74">
        <v>1</v>
      </c>
      <c r="K65" s="74"/>
      <c r="L65" s="74"/>
      <c r="M65" s="75">
        <v>0</v>
      </c>
      <c r="N65" s="73">
        <v>1000</v>
      </c>
      <c r="O65" s="74">
        <v>1</v>
      </c>
      <c r="P65" s="74"/>
      <c r="Q65" s="74"/>
      <c r="R65" s="75">
        <v>0</v>
      </c>
    </row>
    <row r="66" spans="2:18" outlineLevel="1" x14ac:dyDescent="0.3">
      <c r="B66" s="76">
        <f>B65+1</f>
        <v>1</v>
      </c>
      <c r="C66" s="77">
        <v>0.49</v>
      </c>
      <c r="D66" s="125">
        <f>'Q ILA201-100-25 3a'!C12*D60</f>
        <v>0.06</v>
      </c>
      <c r="E66" s="125">
        <f>'Q ILA201-100-25 3a'!C12*E60</f>
        <v>4.0000000000000008E-2</v>
      </c>
      <c r="F66" s="79">
        <v>0.04</v>
      </c>
      <c r="G66" s="79">
        <v>100000</v>
      </c>
      <c r="H66" s="80">
        <v>1296.655658220878</v>
      </c>
      <c r="I66" s="81">
        <f t="shared" ref="I66:I80" si="21">I65*(1-C66/1000-D66)</f>
        <v>939.5100000000001</v>
      </c>
      <c r="J66" s="79">
        <f t="shared" ref="J66:J80" si="22">J65/(1+F66)</f>
        <v>0.96153846153846145</v>
      </c>
      <c r="K66" s="79">
        <f t="shared" ref="K66:K80" si="23">G66*I65*C66/1000</f>
        <v>49000</v>
      </c>
      <c r="L66" s="79">
        <f t="shared" ref="L66:L80" si="24">I65*D66*H66</f>
        <v>77799.339493252672</v>
      </c>
      <c r="M66" s="82">
        <f>SUM(K66:L66)</f>
        <v>126799.33949325267</v>
      </c>
      <c r="N66" s="81">
        <f>N65*(1-C66/1000-E66)</f>
        <v>959.51</v>
      </c>
      <c r="O66" s="79">
        <f>O65/(1+F66)</f>
        <v>0.96153846153846145</v>
      </c>
      <c r="P66" s="79">
        <f>G66*N65*C66/1000</f>
        <v>49000</v>
      </c>
      <c r="Q66" s="79">
        <f>N65*E66*H66</f>
        <v>51866.226328835131</v>
      </c>
      <c r="R66" s="82">
        <f>SUM(P66:Q66)</f>
        <v>100866.22632883512</v>
      </c>
    </row>
    <row r="67" spans="2:18" outlineLevel="1" x14ac:dyDescent="0.3">
      <c r="B67" s="76">
        <f t="shared" ref="B67:B76" si="25">B66+1</f>
        <v>2</v>
      </c>
      <c r="C67" s="77">
        <v>0.72</v>
      </c>
      <c r="D67" s="79">
        <f>D66</f>
        <v>0.06</v>
      </c>
      <c r="E67" s="79">
        <f>E66</f>
        <v>4.0000000000000008E-2</v>
      </c>
      <c r="F67" s="79">
        <f>F66</f>
        <v>0.04</v>
      </c>
      <c r="G67" s="79">
        <f>G66</f>
        <v>100000</v>
      </c>
      <c r="H67" s="80">
        <v>1314.2713038963395</v>
      </c>
      <c r="I67" s="81">
        <f t="shared" si="21"/>
        <v>882.46295280000004</v>
      </c>
      <c r="J67" s="79">
        <f t="shared" si="22"/>
        <v>0.92455621301775137</v>
      </c>
      <c r="K67" s="79">
        <f t="shared" si="23"/>
        <v>67644.720000000016</v>
      </c>
      <c r="L67" s="79">
        <f t="shared" si="24"/>
        <v>74086.261963419005</v>
      </c>
      <c r="M67" s="82">
        <f t="shared" ref="M67:M80" si="26">SUM(K67:L67)</f>
        <v>141730.98196341901</v>
      </c>
      <c r="N67" s="81">
        <f t="shared" ref="N67:N80" si="27">N66*(1-C67/1000-E67)</f>
        <v>920.43875279999986</v>
      </c>
      <c r="O67" s="79">
        <f t="shared" ref="O67:O80" si="28">O66/(1+F67)</f>
        <v>0.92455621301775137</v>
      </c>
      <c r="P67" s="79">
        <f t="shared" ref="P67:P80" si="29">G67*N66*C67/1000</f>
        <v>69084.72</v>
      </c>
      <c r="Q67" s="79">
        <f t="shared" ref="Q67:Q80" si="30">N66*E67*H67</f>
        <v>50442.25835206308</v>
      </c>
      <c r="R67" s="82">
        <f t="shared" ref="R67:R80" si="31">SUM(P67:Q67)</f>
        <v>119526.97835206307</v>
      </c>
    </row>
    <row r="68" spans="2:18" outlineLevel="1" x14ac:dyDescent="0.3">
      <c r="B68" s="76">
        <f t="shared" si="25"/>
        <v>3</v>
      </c>
      <c r="C68" s="77">
        <v>0.96</v>
      </c>
      <c r="D68" s="79">
        <f t="shared" ref="D68:G80" si="32">D67</f>
        <v>0.06</v>
      </c>
      <c r="E68" s="79">
        <f t="shared" si="32"/>
        <v>4.0000000000000008E-2</v>
      </c>
      <c r="F68" s="79">
        <f t="shared" si="32"/>
        <v>0.04</v>
      </c>
      <c r="G68" s="79">
        <f t="shared" si="32"/>
        <v>100000</v>
      </c>
      <c r="H68" s="80">
        <v>1313.6835355694675</v>
      </c>
      <c r="I68" s="81">
        <f t="shared" si="21"/>
        <v>828.66801119731213</v>
      </c>
      <c r="J68" s="79">
        <f t="shared" si="22"/>
        <v>0.88899635867091475</v>
      </c>
      <c r="K68" s="79">
        <f t="shared" si="23"/>
        <v>84716.443468799989</v>
      </c>
      <c r="L68" s="79">
        <f t="shared" si="24"/>
        <v>69556.623110602566</v>
      </c>
      <c r="M68" s="82">
        <f t="shared" si="26"/>
        <v>154273.06657940254</v>
      </c>
      <c r="N68" s="81">
        <f t="shared" si="27"/>
        <v>882.73758148531192</v>
      </c>
      <c r="O68" s="79">
        <f t="shared" si="28"/>
        <v>0.88899635867091475</v>
      </c>
      <c r="P68" s="79">
        <f t="shared" si="29"/>
        <v>88362.12026879999</v>
      </c>
      <c r="Q68" s="79">
        <f t="shared" si="30"/>
        <v>48366.609402138201</v>
      </c>
      <c r="R68" s="82">
        <f t="shared" si="31"/>
        <v>136728.72967093819</v>
      </c>
    </row>
    <row r="69" spans="2:18" outlineLevel="1" x14ac:dyDescent="0.3">
      <c r="B69" s="76">
        <f t="shared" si="25"/>
        <v>4</v>
      </c>
      <c r="C69" s="77">
        <v>1.18</v>
      </c>
      <c r="D69" s="79">
        <f t="shared" si="32"/>
        <v>0.06</v>
      </c>
      <c r="E69" s="79">
        <f t="shared" si="32"/>
        <v>4.0000000000000008E-2</v>
      </c>
      <c r="F69" s="79">
        <f t="shared" si="32"/>
        <v>0.04</v>
      </c>
      <c r="G69" s="79">
        <f t="shared" si="32"/>
        <v>100000</v>
      </c>
      <c r="H69" s="80">
        <v>1297.6363046948559</v>
      </c>
      <c r="I69" s="81">
        <f t="shared" si="21"/>
        <v>777.97010227226053</v>
      </c>
      <c r="J69" s="79">
        <f t="shared" si="22"/>
        <v>0.85480419102972571</v>
      </c>
      <c r="K69" s="79">
        <f t="shared" si="23"/>
        <v>97782.825321282828</v>
      </c>
      <c r="L69" s="79">
        <f t="shared" si="24"/>
        <v>64518.581752134931</v>
      </c>
      <c r="M69" s="82">
        <f t="shared" si="26"/>
        <v>162301.40707341777</v>
      </c>
      <c r="N69" s="81">
        <f t="shared" si="27"/>
        <v>846.38644787974681</v>
      </c>
      <c r="O69" s="79">
        <f t="shared" si="28"/>
        <v>0.85480419102972571</v>
      </c>
      <c r="P69" s="79">
        <f t="shared" si="29"/>
        <v>104163.03461526682</v>
      </c>
      <c r="Q69" s="79">
        <f t="shared" si="30"/>
        <v>45818.893330154977</v>
      </c>
      <c r="R69" s="82">
        <f t="shared" si="31"/>
        <v>149981.9279454218</v>
      </c>
    </row>
    <row r="70" spans="2:18" outlineLevel="1" x14ac:dyDescent="0.3">
      <c r="B70" s="76">
        <f t="shared" si="25"/>
        <v>5</v>
      </c>
      <c r="C70" s="77">
        <v>1.36</v>
      </c>
      <c r="D70" s="79">
        <f t="shared" si="32"/>
        <v>0.06</v>
      </c>
      <c r="E70" s="79">
        <f t="shared" si="32"/>
        <v>4.0000000000000008E-2</v>
      </c>
      <c r="F70" s="79">
        <f t="shared" si="32"/>
        <v>0.04</v>
      </c>
      <c r="G70" s="79">
        <f t="shared" si="32"/>
        <v>100000</v>
      </c>
      <c r="H70" s="80">
        <v>1270.3613250937153</v>
      </c>
      <c r="I70" s="81">
        <f t="shared" si="21"/>
        <v>730.23385679683452</v>
      </c>
      <c r="J70" s="79">
        <f t="shared" si="22"/>
        <v>0.82192710675935166</v>
      </c>
      <c r="K70" s="79">
        <f t="shared" si="23"/>
        <v>105803.93390902743</v>
      </c>
      <c r="L70" s="79">
        <f t="shared" si="24"/>
        <v>59298.187800352927</v>
      </c>
      <c r="M70" s="82">
        <f t="shared" si="26"/>
        <v>165102.12170938036</v>
      </c>
      <c r="N70" s="81">
        <f t="shared" si="27"/>
        <v>811.37990439544046</v>
      </c>
      <c r="O70" s="79">
        <f t="shared" si="28"/>
        <v>0.82192710675935166</v>
      </c>
      <c r="P70" s="79">
        <f t="shared" si="29"/>
        <v>115108.55691164557</v>
      </c>
      <c r="Q70" s="79">
        <f t="shared" si="30"/>
        <v>43008.664378795133</v>
      </c>
      <c r="R70" s="82">
        <f t="shared" si="31"/>
        <v>158117.22129044071</v>
      </c>
    </row>
    <row r="71" spans="2:18" outlineLevel="1" x14ac:dyDescent="0.3">
      <c r="B71" s="76">
        <f t="shared" si="25"/>
        <v>6</v>
      </c>
      <c r="C71" s="77">
        <v>1.57</v>
      </c>
      <c r="D71" s="79">
        <f t="shared" si="32"/>
        <v>0.06</v>
      </c>
      <c r="E71" s="79">
        <f t="shared" si="32"/>
        <v>4.0000000000000008E-2</v>
      </c>
      <c r="F71" s="79">
        <f t="shared" si="32"/>
        <v>0.04</v>
      </c>
      <c r="G71" s="79">
        <f t="shared" si="32"/>
        <v>100000</v>
      </c>
      <c r="H71" s="80">
        <v>1229.9423803372763</v>
      </c>
      <c r="I71" s="81">
        <f t="shared" si="21"/>
        <v>685.27335823385351</v>
      </c>
      <c r="J71" s="79">
        <f t="shared" si="22"/>
        <v>0.79031452573014582</v>
      </c>
      <c r="K71" s="79">
        <f t="shared" si="23"/>
        <v>114646.71551710302</v>
      </c>
      <c r="L71" s="79">
        <f t="shared" si="24"/>
        <v>53888.734081894101</v>
      </c>
      <c r="M71" s="82">
        <f t="shared" si="26"/>
        <v>168535.44959899713</v>
      </c>
      <c r="N71" s="81">
        <f t="shared" si="27"/>
        <v>777.65084176972198</v>
      </c>
      <c r="O71" s="79">
        <f t="shared" si="28"/>
        <v>0.79031452573014582</v>
      </c>
      <c r="P71" s="79">
        <f t="shared" si="29"/>
        <v>127386.64499008417</v>
      </c>
      <c r="Q71" s="79">
        <f t="shared" si="30"/>
        <v>39918.021238798399</v>
      </c>
      <c r="R71" s="82">
        <f t="shared" si="31"/>
        <v>167304.66622888256</v>
      </c>
    </row>
    <row r="72" spans="2:18" outlineLevel="1" x14ac:dyDescent="0.3">
      <c r="B72" s="76">
        <f t="shared" si="25"/>
        <v>7</v>
      </c>
      <c r="C72" s="77">
        <v>1.82</v>
      </c>
      <c r="D72" s="79">
        <f t="shared" si="32"/>
        <v>0.06</v>
      </c>
      <c r="E72" s="79">
        <f t="shared" si="32"/>
        <v>4.0000000000000008E-2</v>
      </c>
      <c r="F72" s="79">
        <f t="shared" si="32"/>
        <v>0.04</v>
      </c>
      <c r="G72" s="79">
        <f t="shared" si="32"/>
        <v>100000</v>
      </c>
      <c r="H72" s="80">
        <v>1173.8303224795452</v>
      </c>
      <c r="I72" s="81">
        <f t="shared" si="21"/>
        <v>642.90975922783673</v>
      </c>
      <c r="J72" s="79">
        <f t="shared" si="22"/>
        <v>0.75991781320206331</v>
      </c>
      <c r="K72" s="79">
        <f t="shared" si="23"/>
        <v>124719.75119856135</v>
      </c>
      <c r="L72" s="79">
        <f t="shared" si="24"/>
        <v>48263.678824937109</v>
      </c>
      <c r="M72" s="82">
        <f t="shared" si="26"/>
        <v>172983.43002349845</v>
      </c>
      <c r="N72" s="81">
        <f t="shared" si="27"/>
        <v>745.1294835669122</v>
      </c>
      <c r="O72" s="79">
        <f t="shared" si="28"/>
        <v>0.75991781320206331</v>
      </c>
      <c r="P72" s="79">
        <f t="shared" si="29"/>
        <v>141532.45320208941</v>
      </c>
      <c r="Q72" s="79">
        <f t="shared" si="30"/>
        <v>36513.205534841713</v>
      </c>
      <c r="R72" s="82">
        <f t="shared" si="31"/>
        <v>178045.65873693113</v>
      </c>
    </row>
    <row r="73" spans="2:18" outlineLevel="1" x14ac:dyDescent="0.3">
      <c r="B73" s="76">
        <f t="shared" si="25"/>
        <v>8</v>
      </c>
      <c r="C73" s="77">
        <v>2.09</v>
      </c>
      <c r="D73" s="79">
        <f t="shared" si="32"/>
        <v>0.06</v>
      </c>
      <c r="E73" s="79">
        <f t="shared" si="32"/>
        <v>4.0000000000000008E-2</v>
      </c>
      <c r="F73" s="79">
        <f t="shared" si="32"/>
        <v>0.04</v>
      </c>
      <c r="G73" s="79">
        <f t="shared" si="32"/>
        <v>100000</v>
      </c>
      <c r="H73" s="80">
        <v>1101.1560814683985</v>
      </c>
      <c r="I73" s="81">
        <f t="shared" si="21"/>
        <v>602.99149227738042</v>
      </c>
      <c r="J73" s="79">
        <f t="shared" si="22"/>
        <v>0.73069020500198389</v>
      </c>
      <c r="K73" s="79">
        <f t="shared" si="23"/>
        <v>134368.13967861785</v>
      </c>
      <c r="L73" s="79">
        <f t="shared" si="24"/>
        <v>42476.639472546973</v>
      </c>
      <c r="M73" s="82">
        <f t="shared" si="26"/>
        <v>176844.77915116481</v>
      </c>
      <c r="N73" s="81">
        <f t="shared" si="27"/>
        <v>713.7669836035808</v>
      </c>
      <c r="O73" s="79">
        <f t="shared" si="28"/>
        <v>0.73069020500198389</v>
      </c>
      <c r="P73" s="79">
        <f t="shared" si="29"/>
        <v>155732.06206548464</v>
      </c>
      <c r="Q73" s="79">
        <f t="shared" si="30"/>
        <v>32820.154492444504</v>
      </c>
      <c r="R73" s="82">
        <f t="shared" si="31"/>
        <v>188552.21655792915</v>
      </c>
    </row>
    <row r="74" spans="2:18" outlineLevel="1" x14ac:dyDescent="0.3">
      <c r="B74" s="76">
        <f t="shared" si="25"/>
        <v>9</v>
      </c>
      <c r="C74" s="77">
        <v>2.36</v>
      </c>
      <c r="D74" s="79">
        <f t="shared" si="32"/>
        <v>0.06</v>
      </c>
      <c r="E74" s="79">
        <f t="shared" si="32"/>
        <v>4.0000000000000008E-2</v>
      </c>
      <c r="F74" s="79">
        <f t="shared" si="32"/>
        <v>0.04</v>
      </c>
      <c r="G74" s="79">
        <f t="shared" si="32"/>
        <v>100000</v>
      </c>
      <c r="H74" s="80">
        <v>1012.4988087583707</v>
      </c>
      <c r="I74" s="81">
        <f t="shared" si="21"/>
        <v>565.38894281896296</v>
      </c>
      <c r="J74" s="79">
        <f t="shared" si="22"/>
        <v>0.70258673557883067</v>
      </c>
      <c r="K74" s="79">
        <f t="shared" si="23"/>
        <v>142305.99217746177</v>
      </c>
      <c r="L74" s="79">
        <f t="shared" si="24"/>
        <v>36631.690057336797</v>
      </c>
      <c r="M74" s="82">
        <f t="shared" si="26"/>
        <v>178937.68223479856</v>
      </c>
      <c r="N74" s="81">
        <f t="shared" si="27"/>
        <v>683.53181417813312</v>
      </c>
      <c r="O74" s="79">
        <f t="shared" si="28"/>
        <v>0.70258673557883067</v>
      </c>
      <c r="P74" s="79">
        <f t="shared" si="29"/>
        <v>168449.00813044503</v>
      </c>
      <c r="Q74" s="79">
        <f t="shared" si="30"/>
        <v>28907.528825187248</v>
      </c>
      <c r="R74" s="82">
        <f t="shared" si="31"/>
        <v>197356.53695563227</v>
      </c>
    </row>
    <row r="75" spans="2:18" outlineLevel="1" x14ac:dyDescent="0.3">
      <c r="B75" s="76">
        <f t="shared" si="25"/>
        <v>10</v>
      </c>
      <c r="C75" s="77">
        <v>2.69</v>
      </c>
      <c r="D75" s="79">
        <f t="shared" si="32"/>
        <v>0.06</v>
      </c>
      <c r="E75" s="79">
        <f t="shared" si="32"/>
        <v>4.0000000000000008E-2</v>
      </c>
      <c r="F75" s="79">
        <f t="shared" si="32"/>
        <v>0.04</v>
      </c>
      <c r="G75" s="79">
        <f t="shared" si="32"/>
        <v>100000</v>
      </c>
      <c r="H75" s="80">
        <v>904.35177890317436</v>
      </c>
      <c r="I75" s="81">
        <f t="shared" si="21"/>
        <v>529.94470999364228</v>
      </c>
      <c r="J75" s="79">
        <f t="shared" si="22"/>
        <v>0.67556416882579873</v>
      </c>
      <c r="K75" s="79">
        <f t="shared" si="23"/>
        <v>152089.62561830104</v>
      </c>
      <c r="L75" s="79">
        <f t="shared" si="24"/>
        <v>30678.629772630855</v>
      </c>
      <c r="M75" s="82">
        <f t="shared" si="26"/>
        <v>182768.25539093191</v>
      </c>
      <c r="N75" s="81">
        <f t="shared" si="27"/>
        <v>654.35184103086863</v>
      </c>
      <c r="O75" s="79">
        <f t="shared" si="28"/>
        <v>0.67556416882579873</v>
      </c>
      <c r="P75" s="79">
        <f t="shared" si="29"/>
        <v>183870.05801391779</v>
      </c>
      <c r="Q75" s="79">
        <f t="shared" si="30"/>
        <v>24726.128483556353</v>
      </c>
      <c r="R75" s="82">
        <f t="shared" si="31"/>
        <v>208596.18649747415</v>
      </c>
    </row>
    <row r="76" spans="2:18" outlineLevel="1" x14ac:dyDescent="0.3">
      <c r="B76" s="76">
        <f t="shared" si="25"/>
        <v>11</v>
      </c>
      <c r="C76" s="77">
        <v>3.06</v>
      </c>
      <c r="D76" s="79">
        <f t="shared" si="32"/>
        <v>0.06</v>
      </c>
      <c r="E76" s="79">
        <f t="shared" si="32"/>
        <v>4.0000000000000008E-2</v>
      </c>
      <c r="F76" s="79">
        <f t="shared" si="32"/>
        <v>0.04</v>
      </c>
      <c r="G76" s="79">
        <f t="shared" si="32"/>
        <v>100000</v>
      </c>
      <c r="H76" s="80">
        <v>774.74071675980235</v>
      </c>
      <c r="I76" s="81">
        <f t="shared" si="21"/>
        <v>496.52639658144324</v>
      </c>
      <c r="J76" s="79">
        <f t="shared" si="22"/>
        <v>0.64958093156326802</v>
      </c>
      <c r="K76" s="79">
        <f t="shared" si="23"/>
        <v>162163.08125805453</v>
      </c>
      <c r="L76" s="79">
        <f t="shared" si="24"/>
        <v>24634.184667812398</v>
      </c>
      <c r="M76" s="82">
        <f t="shared" si="26"/>
        <v>186797.26592586693</v>
      </c>
      <c r="N76" s="81">
        <f t="shared" si="27"/>
        <v>626.17545075607939</v>
      </c>
      <c r="O76" s="79">
        <f t="shared" si="28"/>
        <v>0.64958093156326802</v>
      </c>
      <c r="P76" s="79">
        <f t="shared" si="29"/>
        <v>200231.66335544581</v>
      </c>
      <c r="Q76" s="79">
        <f t="shared" si="30"/>
        <v>20278.120573334058</v>
      </c>
      <c r="R76" s="82">
        <f t="shared" si="31"/>
        <v>220509.78392877986</v>
      </c>
    </row>
    <row r="77" spans="2:18" outlineLevel="1" x14ac:dyDescent="0.3">
      <c r="B77" s="76">
        <f>B76+1</f>
        <v>12</v>
      </c>
      <c r="C77" s="77">
        <v>3.47</v>
      </c>
      <c r="D77" s="79">
        <f t="shared" si="32"/>
        <v>0.06</v>
      </c>
      <c r="E77" s="79">
        <f t="shared" si="32"/>
        <v>4.0000000000000008E-2</v>
      </c>
      <c r="F77" s="79">
        <f t="shared" si="32"/>
        <v>0.04</v>
      </c>
      <c r="G77" s="79">
        <f t="shared" si="32"/>
        <v>100000</v>
      </c>
      <c r="H77" s="80">
        <v>621.81631080479781</v>
      </c>
      <c r="I77" s="81">
        <f t="shared" si="21"/>
        <v>465.01186619041908</v>
      </c>
      <c r="J77" s="79">
        <f t="shared" si="22"/>
        <v>0.62459704958006534</v>
      </c>
      <c r="K77" s="79">
        <f t="shared" si="23"/>
        <v>172294.65961376083</v>
      </c>
      <c r="L77" s="79">
        <f t="shared" si="24"/>
        <v>18524.892728368377</v>
      </c>
      <c r="M77" s="82">
        <f t="shared" si="26"/>
        <v>190819.5523421292</v>
      </c>
      <c r="N77" s="81">
        <f t="shared" si="27"/>
        <v>598.95560391171261</v>
      </c>
      <c r="O77" s="79">
        <f t="shared" si="28"/>
        <v>0.62459704958006534</v>
      </c>
      <c r="P77" s="79">
        <f t="shared" si="29"/>
        <v>217282.88141235957</v>
      </c>
      <c r="Q77" s="79">
        <f t="shared" si="30"/>
        <v>15574.644348227068</v>
      </c>
      <c r="R77" s="82">
        <f t="shared" si="31"/>
        <v>232857.52576058664</v>
      </c>
    </row>
    <row r="78" spans="2:18" outlineLevel="1" x14ac:dyDescent="0.3">
      <c r="B78" s="76">
        <f t="shared" ref="B78:B80" si="33">B77+1</f>
        <v>13</v>
      </c>
      <c r="C78" s="77">
        <v>3.95</v>
      </c>
      <c r="D78" s="79">
        <f t="shared" si="32"/>
        <v>0.06</v>
      </c>
      <c r="E78" s="79">
        <f t="shared" si="32"/>
        <v>4.0000000000000008E-2</v>
      </c>
      <c r="F78" s="79">
        <f t="shared" si="32"/>
        <v>0.04</v>
      </c>
      <c r="G78" s="79">
        <f t="shared" si="32"/>
        <v>100000</v>
      </c>
      <c r="H78" s="80">
        <v>442.14043702902569</v>
      </c>
      <c r="I78" s="81">
        <f t="shared" si="21"/>
        <v>435.27435734754181</v>
      </c>
      <c r="J78" s="79">
        <f t="shared" si="22"/>
        <v>0.60057408613467822</v>
      </c>
      <c r="K78" s="79">
        <f t="shared" si="23"/>
        <v>183679.68714521555</v>
      </c>
      <c r="L78" s="79">
        <f t="shared" si="24"/>
        <v>12336.032984466881</v>
      </c>
      <c r="M78" s="82">
        <f t="shared" si="26"/>
        <v>196015.72012968242</v>
      </c>
      <c r="N78" s="81">
        <f t="shared" si="27"/>
        <v>572.63150511979279</v>
      </c>
      <c r="O78" s="79">
        <f t="shared" si="28"/>
        <v>0.60057408613467822</v>
      </c>
      <c r="P78" s="79">
        <f t="shared" si="29"/>
        <v>236587.46354512649</v>
      </c>
      <c r="Q78" s="79">
        <f t="shared" si="30"/>
        <v>10592.899698980347</v>
      </c>
      <c r="R78" s="82">
        <f t="shared" si="31"/>
        <v>247180.36324410685</v>
      </c>
    </row>
    <row r="79" spans="2:18" outlineLevel="1" x14ac:dyDescent="0.3">
      <c r="B79" s="76">
        <f t="shared" si="33"/>
        <v>14</v>
      </c>
      <c r="C79" s="77">
        <v>4.4400000000000004</v>
      </c>
      <c r="D79" s="79">
        <f t="shared" si="32"/>
        <v>0.06</v>
      </c>
      <c r="E79" s="79">
        <f t="shared" si="32"/>
        <v>4.0000000000000008E-2</v>
      </c>
      <c r="F79" s="79">
        <f t="shared" si="32"/>
        <v>0.04</v>
      </c>
      <c r="G79" s="79">
        <f t="shared" si="32"/>
        <v>100000</v>
      </c>
      <c r="H79" s="80">
        <v>235.73437267725242</v>
      </c>
      <c r="I79" s="81">
        <f t="shared" si="21"/>
        <v>407.22527776006621</v>
      </c>
      <c r="J79" s="79">
        <f t="shared" si="22"/>
        <v>0.57747508282180593</v>
      </c>
      <c r="K79" s="79">
        <f t="shared" si="23"/>
        <v>193261.81466230858</v>
      </c>
      <c r="L79" s="79">
        <f t="shared" si="24"/>
        <v>6156.5476543090181</v>
      </c>
      <c r="M79" s="82">
        <f t="shared" si="26"/>
        <v>199418.3623166176</v>
      </c>
      <c r="N79" s="81">
        <f t="shared" si="27"/>
        <v>547.18376103226922</v>
      </c>
      <c r="O79" s="79">
        <f t="shared" si="28"/>
        <v>0.57747508282180593</v>
      </c>
      <c r="P79" s="79">
        <f t="shared" si="29"/>
        <v>254248.38827318803</v>
      </c>
      <c r="Q79" s="79">
        <f t="shared" si="30"/>
        <v>5399.5571453858092</v>
      </c>
      <c r="R79" s="82">
        <f t="shared" si="31"/>
        <v>259647.94541857383</v>
      </c>
    </row>
    <row r="80" spans="2:18" ht="15" outlineLevel="1" thickBot="1" x14ac:dyDescent="0.35">
      <c r="B80" s="83">
        <f t="shared" si="33"/>
        <v>15</v>
      </c>
      <c r="C80" s="84">
        <v>4.99</v>
      </c>
      <c r="D80" s="86">
        <f t="shared" si="32"/>
        <v>0.06</v>
      </c>
      <c r="E80" s="86">
        <f t="shared" si="32"/>
        <v>4.0000000000000008E-2</v>
      </c>
      <c r="F80" s="86">
        <f t="shared" si="32"/>
        <v>0.04</v>
      </c>
      <c r="G80" s="86">
        <f t="shared" si="32"/>
        <v>100000</v>
      </c>
      <c r="H80" s="87">
        <v>0</v>
      </c>
      <c r="I80" s="88">
        <f t="shared" si="21"/>
        <v>380.75970695843944</v>
      </c>
      <c r="J80" s="86">
        <f t="shared" si="22"/>
        <v>0.55526450271327488</v>
      </c>
      <c r="K80" s="86">
        <f t="shared" si="23"/>
        <v>203205.41360227307</v>
      </c>
      <c r="L80" s="86">
        <f t="shared" si="24"/>
        <v>0</v>
      </c>
      <c r="M80" s="89">
        <f t="shared" si="26"/>
        <v>203205.41360227307</v>
      </c>
      <c r="N80" s="88">
        <f t="shared" si="27"/>
        <v>522.56596362342736</v>
      </c>
      <c r="O80" s="86">
        <f t="shared" si="28"/>
        <v>0.55526450271327488</v>
      </c>
      <c r="P80" s="86">
        <f t="shared" si="29"/>
        <v>273044.69675510231</v>
      </c>
      <c r="Q80" s="86">
        <f t="shared" si="30"/>
        <v>0</v>
      </c>
      <c r="R80" s="89">
        <f t="shared" si="31"/>
        <v>273044.69675510231</v>
      </c>
    </row>
    <row r="81" spans="1:11" ht="15" thickTop="1" x14ac:dyDescent="0.3"/>
    <row r="83" spans="1:11" ht="61.5" customHeight="1" x14ac:dyDescent="0.3">
      <c r="A83" s="107" t="s">
        <v>498</v>
      </c>
      <c r="B83" s="141" t="s">
        <v>499</v>
      </c>
      <c r="C83" s="142"/>
      <c r="D83" s="142"/>
      <c r="E83" s="142"/>
      <c r="F83" s="142"/>
      <c r="G83" s="142"/>
      <c r="H83" s="142"/>
      <c r="I83" s="142"/>
      <c r="J83" s="142"/>
      <c r="K83" s="142"/>
    </row>
    <row r="85" spans="1:11" x14ac:dyDescent="0.3">
      <c r="B85" s="94" t="s">
        <v>500</v>
      </c>
      <c r="C85" s="94" t="s">
        <v>481</v>
      </c>
      <c r="D85" s="94" t="s">
        <v>215</v>
      </c>
      <c r="E85" s="94" t="s">
        <v>501</v>
      </c>
    </row>
    <row r="86" spans="1:11" x14ac:dyDescent="0.3">
      <c r="B86" s="94" t="s">
        <v>481</v>
      </c>
      <c r="C86" s="94">
        <v>1</v>
      </c>
      <c r="D86" s="94">
        <v>0.1</v>
      </c>
      <c r="E86" s="94">
        <v>0.5</v>
      </c>
    </row>
    <row r="87" spans="1:11" x14ac:dyDescent="0.3">
      <c r="B87" s="94" t="s">
        <v>215</v>
      </c>
      <c r="C87" s="94">
        <f>D86</f>
        <v>0.1</v>
      </c>
      <c r="D87" s="94">
        <v>1</v>
      </c>
      <c r="E87" s="94">
        <v>0</v>
      </c>
    </row>
    <row r="88" spans="1:11" x14ac:dyDescent="0.3">
      <c r="B88" s="94" t="s">
        <v>501</v>
      </c>
      <c r="C88" s="94">
        <f>E86</f>
        <v>0.5</v>
      </c>
      <c r="D88" s="94">
        <f>E87</f>
        <v>0</v>
      </c>
      <c r="E88" s="94">
        <v>1</v>
      </c>
    </row>
    <row r="89" spans="1:11" ht="15" thickBot="1" x14ac:dyDescent="0.35"/>
    <row r="90" spans="1:11" ht="29.4" thickBot="1" x14ac:dyDescent="0.35">
      <c r="B90" s="126" t="s">
        <v>527</v>
      </c>
      <c r="C90" s="127" t="s">
        <v>512</v>
      </c>
      <c r="E90" s="154" t="s">
        <v>528</v>
      </c>
      <c r="F90" s="155"/>
      <c r="G90" s="155"/>
      <c r="H90" s="128" t="s">
        <v>529</v>
      </c>
    </row>
    <row r="91" spans="1:11" x14ac:dyDescent="0.3">
      <c r="B91" s="98" t="str">
        <f>B13</f>
        <v>Interest Rate Risk</v>
      </c>
      <c r="C91" s="129">
        <f>C16</f>
        <v>194990.22192474012</v>
      </c>
      <c r="D91" s="10"/>
      <c r="E91" s="156" t="s">
        <v>530</v>
      </c>
      <c r="F91" s="157"/>
      <c r="G91" s="157"/>
      <c r="H91" s="130">
        <f>SUM(C16,C39,C62)</f>
        <v>404965.05319372052</v>
      </c>
    </row>
    <row r="92" spans="1:11" x14ac:dyDescent="0.3">
      <c r="B92" s="101" t="str">
        <f>B36</f>
        <v>Mortality Risk</v>
      </c>
      <c r="C92" s="131">
        <f>C39</f>
        <v>148641.74084693543</v>
      </c>
      <c r="D92" s="10"/>
      <c r="E92" s="158" t="s">
        <v>531</v>
      </c>
      <c r="F92" s="159"/>
      <c r="G92" s="159"/>
      <c r="H92" s="132">
        <f>H91*(1-25%)</f>
        <v>303723.78989529039</v>
      </c>
    </row>
    <row r="93" spans="1:11" ht="15" thickBot="1" x14ac:dyDescent="0.35">
      <c r="B93" s="104" t="str">
        <f>B59</f>
        <v>Lapse Risk</v>
      </c>
      <c r="C93" s="133">
        <f>C62</f>
        <v>61333.090422044974</v>
      </c>
      <c r="D93" s="10"/>
      <c r="E93" s="152" t="s">
        <v>532</v>
      </c>
      <c r="F93" s="153"/>
      <c r="G93" s="153"/>
      <c r="H93" s="134" cm="1">
        <f t="array" ref="H93">SQRT(MMULT(MMULT(TRANSPOSE(C91:C93),C86:E88),C91:C93))</f>
        <v>285715.57862446894</v>
      </c>
    </row>
    <row r="96" spans="1:11" ht="164.55" customHeight="1" x14ac:dyDescent="0.3">
      <c r="A96" s="107" t="s">
        <v>502</v>
      </c>
      <c r="B96" s="141" t="s">
        <v>503</v>
      </c>
      <c r="C96" s="142"/>
      <c r="D96" s="142"/>
      <c r="E96" s="142"/>
      <c r="F96" s="142"/>
      <c r="G96" s="142"/>
      <c r="H96" s="142"/>
      <c r="I96" s="142"/>
      <c r="J96" s="142"/>
      <c r="K96" s="142"/>
    </row>
    <row r="98" spans="1:12" x14ac:dyDescent="0.3">
      <c r="C98" t="s">
        <v>533</v>
      </c>
      <c r="D98" t="s">
        <v>534</v>
      </c>
      <c r="E98" t="s">
        <v>535</v>
      </c>
      <c r="F98" t="s">
        <v>536</v>
      </c>
      <c r="G98" t="s">
        <v>537</v>
      </c>
    </row>
    <row r="99" spans="1:12" x14ac:dyDescent="0.3">
      <c r="B99" t="s">
        <v>538</v>
      </c>
      <c r="C99" t="s">
        <v>539</v>
      </c>
      <c r="D99">
        <v>4</v>
      </c>
      <c r="E99">
        <v>0.95</v>
      </c>
      <c r="F99">
        <v>0.95</v>
      </c>
      <c r="G99" s="135">
        <f>POWER((POWER(E99,-D99)+POWER(F99,-D99)),-1/D99)</f>
        <v>0.79885159449102883</v>
      </c>
    </row>
    <row r="100" spans="1:12" x14ac:dyDescent="0.3">
      <c r="B100" t="s">
        <v>540</v>
      </c>
      <c r="C100" t="s">
        <v>539</v>
      </c>
      <c r="D100">
        <v>3</v>
      </c>
      <c r="E100">
        <v>0.95</v>
      </c>
      <c r="F100">
        <v>0.95</v>
      </c>
      <c r="G100" s="135">
        <f>EXP(-POWER((POWER(-LN(E100),D100)+POWER(-LN(F100),D100)),1/D100))</f>
        <v>0.93741845962772608</v>
      </c>
    </row>
    <row r="102" spans="1:12" x14ac:dyDescent="0.3">
      <c r="B102" t="s">
        <v>541</v>
      </c>
    </row>
    <row r="104" spans="1:12" ht="33.450000000000003" customHeight="1" x14ac:dyDescent="0.3">
      <c r="A104" s="107" t="s">
        <v>504</v>
      </c>
      <c r="B104" s="141" t="s">
        <v>505</v>
      </c>
      <c r="C104" s="142"/>
      <c r="D104" s="142"/>
      <c r="E104" s="142"/>
      <c r="F104" s="142"/>
      <c r="G104" s="142"/>
      <c r="H104" s="142"/>
      <c r="I104" s="142"/>
      <c r="J104" s="142"/>
      <c r="K104" s="142"/>
    </row>
    <row r="106" spans="1:12" x14ac:dyDescent="0.3">
      <c r="B106" s="12" t="s">
        <v>506</v>
      </c>
      <c r="C106" s="136">
        <v>1</v>
      </c>
      <c r="F106" s="137" t="s">
        <v>542</v>
      </c>
      <c r="G106" s="138">
        <f>_xlfn.PERCENTILE.INC(C134:C633,0.95)</f>
        <v>2222428.2527725906</v>
      </c>
    </row>
    <row r="107" spans="1:12" x14ac:dyDescent="0.3">
      <c r="B107" s="12" t="s">
        <v>481</v>
      </c>
      <c r="C107" s="139" cm="1">
        <f t="array" ref="C107">INDEX('Q ILA201-100-25 3a'!$C$48:$C$547,$C$106)</f>
        <v>4.9149037780918732E-2</v>
      </c>
      <c r="F107" s="137" t="s">
        <v>543</v>
      </c>
      <c r="G107" s="10">
        <f>'Q ILA201-100-25 3a'!K9</f>
        <v>1949440.6992217565</v>
      </c>
    </row>
    <row r="108" spans="1:12" x14ac:dyDescent="0.3">
      <c r="B108" s="12" t="s">
        <v>507</v>
      </c>
      <c r="C108" s="139" cm="1">
        <f t="array" ref="C108">INDEX('Q ILA201-100-25 3a'!$D$48:$D$547,$C$106)</f>
        <v>1.0640005784546887</v>
      </c>
      <c r="F108" s="137" t="s">
        <v>529</v>
      </c>
      <c r="G108" s="138">
        <f>G106-G107</f>
        <v>272987.55355083407</v>
      </c>
    </row>
    <row r="109" spans="1:12" x14ac:dyDescent="0.3">
      <c r="B109" s="12" t="s">
        <v>508</v>
      </c>
      <c r="C109" s="139" cm="1">
        <f t="array" ref="C109">INDEX('Q ILA201-100-25 3a'!$E$48:$E$547,$C$106)</f>
        <v>1.0253097824840143</v>
      </c>
    </row>
    <row r="110" spans="1:12" x14ac:dyDescent="0.3">
      <c r="B110" s="12" t="s">
        <v>70</v>
      </c>
      <c r="C110" s="10">
        <f>L112</f>
        <v>1898012.3732830766</v>
      </c>
    </row>
    <row r="111" spans="1:12" outlineLevel="1" x14ac:dyDescent="0.3">
      <c r="B111" s="12"/>
    </row>
    <row r="112" spans="1:12" ht="15" outlineLevel="1" thickBot="1" x14ac:dyDescent="0.35">
      <c r="B112" s="66" t="s">
        <v>544</v>
      </c>
      <c r="H112" s="66" t="s">
        <v>545</v>
      </c>
      <c r="K112" s="68" t="s">
        <v>70</v>
      </c>
      <c r="L112" s="69">
        <f>SUMPRODUCT(I114:I129,L114:L129)</f>
        <v>1898012.3732830766</v>
      </c>
    </row>
    <row r="113" spans="2:12" ht="44.4" outlineLevel="1" thickTop="1" thickBot="1" x14ac:dyDescent="0.35">
      <c r="B113" s="70" t="s">
        <v>478</v>
      </c>
      <c r="C113" s="71" t="s">
        <v>479</v>
      </c>
      <c r="D113" s="71" t="s">
        <v>480</v>
      </c>
      <c r="E113" s="71" t="s">
        <v>481</v>
      </c>
      <c r="F113" s="71" t="s">
        <v>482</v>
      </c>
      <c r="G113" s="72" t="s">
        <v>483</v>
      </c>
      <c r="H113" s="70" t="s">
        <v>484</v>
      </c>
      <c r="I113" s="71" t="s">
        <v>485</v>
      </c>
      <c r="J113" s="71" t="s">
        <v>486</v>
      </c>
      <c r="K113" s="71" t="s">
        <v>487</v>
      </c>
      <c r="L113" s="72" t="s">
        <v>488</v>
      </c>
    </row>
    <row r="114" spans="2:12" ht="15" outlineLevel="1" thickTop="1" x14ac:dyDescent="0.3">
      <c r="B114" s="73">
        <v>0</v>
      </c>
      <c r="C114" s="74"/>
      <c r="D114" s="74"/>
      <c r="E114" s="74"/>
      <c r="F114" s="74"/>
      <c r="G114" s="75"/>
      <c r="H114" s="73">
        <v>1000</v>
      </c>
      <c r="I114" s="74">
        <v>1</v>
      </c>
      <c r="J114" s="74"/>
      <c r="K114" s="74"/>
      <c r="L114" s="75">
        <v>0</v>
      </c>
    </row>
    <row r="115" spans="2:12" outlineLevel="1" x14ac:dyDescent="0.3">
      <c r="B115" s="76">
        <f>B114+1</f>
        <v>1</v>
      </c>
      <c r="C115" s="77">
        <f>'Q ILA201-100-25 3a'!B12*$C$108</f>
        <v>0.52136028344279739</v>
      </c>
      <c r="D115" s="140">
        <f>'Q ILA201-100-25 3a'!C12*$C$109</f>
        <v>5.1265489124200717E-2</v>
      </c>
      <c r="E115" s="78">
        <f>C107</f>
        <v>4.9149037780918732E-2</v>
      </c>
      <c r="F115" s="79">
        <v>100000</v>
      </c>
      <c r="G115" s="80">
        <v>1296.655658220878</v>
      </c>
      <c r="H115" s="81">
        <f t="shared" ref="H115:H129" si="34">H114*(1-C115/1000-D115)</f>
        <v>948.21315059235644</v>
      </c>
      <c r="I115" s="79">
        <f t="shared" ref="I115:I129" si="35">I114/(1+E115)</f>
        <v>0.95315342624259081</v>
      </c>
      <c r="J115" s="79">
        <f t="shared" ref="J115:J129" si="36">F115*H114*C115/1000</f>
        <v>52136.028344279737</v>
      </c>
      <c r="K115" s="79">
        <f t="shared" ref="K115:K129" si="37">H114*D115*G115</f>
        <v>66473.686544355747</v>
      </c>
      <c r="L115" s="82">
        <f>SUM(J115:K115)</f>
        <v>118609.71488863548</v>
      </c>
    </row>
    <row r="116" spans="2:12" outlineLevel="1" x14ac:dyDescent="0.3">
      <c r="B116" s="76">
        <f t="shared" ref="B116:B125" si="38">B115+1</f>
        <v>2</v>
      </c>
      <c r="C116" s="77">
        <f>'Q ILA201-100-25 3a'!B13*$C$108</f>
        <v>0.76608041648737579</v>
      </c>
      <c r="D116" s="78">
        <f>'Q ILA201-100-25 3a'!C13*$C$109</f>
        <v>5.1265489124200717E-2</v>
      </c>
      <c r="E116" s="78">
        <f>E115</f>
        <v>4.9149037780918732E-2</v>
      </c>
      <c r="F116" s="79">
        <f>F115</f>
        <v>100000</v>
      </c>
      <c r="G116" s="80">
        <v>1314.2713038963395</v>
      </c>
      <c r="H116" s="81">
        <f t="shared" si="34"/>
        <v>898.87613210791528</v>
      </c>
      <c r="I116" s="79">
        <f t="shared" si="35"/>
        <v>0.90850145395798998</v>
      </c>
      <c r="J116" s="79">
        <f t="shared" si="36"/>
        <v>72640.752532459926</v>
      </c>
      <c r="K116" s="79">
        <f t="shared" si="37"/>
        <v>63887.531048435791</v>
      </c>
      <c r="L116" s="82">
        <f t="shared" ref="L116:L129" si="39">SUM(J116:K116)</f>
        <v>136528.28358089572</v>
      </c>
    </row>
    <row r="117" spans="2:12" outlineLevel="1" x14ac:dyDescent="0.3">
      <c r="B117" s="76">
        <f t="shared" si="38"/>
        <v>3</v>
      </c>
      <c r="C117" s="77">
        <f>'Q ILA201-100-25 3a'!B14*$C$108</f>
        <v>1.0214405553165011</v>
      </c>
      <c r="D117" s="78">
        <f>'Q ILA201-100-25 3a'!C14*$C$109</f>
        <v>5.1265489124200717E-2</v>
      </c>
      <c r="E117" s="78">
        <f t="shared" ref="E117:F129" si="40">E116</f>
        <v>4.9149037780918732E-2</v>
      </c>
      <c r="F117" s="79">
        <f t="shared" si="40"/>
        <v>100000</v>
      </c>
      <c r="G117" s="80">
        <v>1313.6835355694675</v>
      </c>
      <c r="H117" s="81">
        <f t="shared" si="34"/>
        <v>851.87665899779233</v>
      </c>
      <c r="I117" s="79">
        <f t="shared" si="35"/>
        <v>0.86594127358643347</v>
      </c>
      <c r="J117" s="79">
        <f t="shared" si="36"/>
        <v>91814.853554105764</v>
      </c>
      <c r="K117" s="79">
        <f t="shared" si="37"/>
        <v>60536.277390860982</v>
      </c>
      <c r="L117" s="82">
        <f t="shared" si="39"/>
        <v>152351.13094496675</v>
      </c>
    </row>
    <row r="118" spans="2:12" outlineLevel="1" x14ac:dyDescent="0.3">
      <c r="B118" s="76">
        <f t="shared" si="38"/>
        <v>4</v>
      </c>
      <c r="C118" s="77">
        <f>'Q ILA201-100-25 3a'!B15*$C$108</f>
        <v>1.2555206825765326</v>
      </c>
      <c r="D118" s="78">
        <f>'Q ILA201-100-25 3a'!C15*$C$109</f>
        <v>5.1265489124200717E-2</v>
      </c>
      <c r="E118" s="78">
        <f t="shared" si="40"/>
        <v>4.9149037780918732E-2</v>
      </c>
      <c r="F118" s="79">
        <f t="shared" si="40"/>
        <v>100000</v>
      </c>
      <c r="G118" s="80">
        <v>1297.6363046948559</v>
      </c>
      <c r="H118" s="81">
        <f t="shared" si="34"/>
        <v>807.13523663640467</v>
      </c>
      <c r="I118" s="79">
        <f t="shared" si="35"/>
        <v>0.82537489184378177</v>
      </c>
      <c r="J118" s="79">
        <f t="shared" si="36"/>
        <v>106954.87643759244</v>
      </c>
      <c r="K118" s="79">
        <f t="shared" si="37"/>
        <v>56670.208673527195</v>
      </c>
      <c r="L118" s="82">
        <f t="shared" si="39"/>
        <v>163625.08511111964</v>
      </c>
    </row>
    <row r="119" spans="2:12" outlineLevel="1" x14ac:dyDescent="0.3">
      <c r="B119" s="76">
        <f t="shared" si="38"/>
        <v>5</v>
      </c>
      <c r="C119" s="77">
        <f>'Q ILA201-100-25 3a'!B16*$C$108</f>
        <v>1.4470407866983768</v>
      </c>
      <c r="D119" s="78">
        <f>'Q ILA201-100-25 3a'!C16*$C$109</f>
        <v>5.1265489124200717E-2</v>
      </c>
      <c r="E119" s="78">
        <f t="shared" si="40"/>
        <v>4.9149037780918732E-2</v>
      </c>
      <c r="F119" s="79">
        <f t="shared" si="40"/>
        <v>100000</v>
      </c>
      <c r="G119" s="80">
        <v>1270.3613250937153</v>
      </c>
      <c r="H119" s="81">
        <f t="shared" si="34"/>
        <v>764.58909633306757</v>
      </c>
      <c r="I119" s="79">
        <f t="shared" si="35"/>
        <v>0.78670890609550836</v>
      </c>
      <c r="J119" s="79">
        <f t="shared" si="36"/>
        <v>116795.76077943236</v>
      </c>
      <c r="K119" s="79">
        <f t="shared" si="37"/>
        <v>52565.242999079564</v>
      </c>
      <c r="L119" s="82">
        <f t="shared" si="39"/>
        <v>169361.00377851192</v>
      </c>
    </row>
    <row r="120" spans="2:12" outlineLevel="1" x14ac:dyDescent="0.3">
      <c r="B120" s="76">
        <f t="shared" si="38"/>
        <v>6</v>
      </c>
      <c r="C120" s="77">
        <f>'Q ILA201-100-25 3a'!B17*$C$108</f>
        <v>1.6704809081738612</v>
      </c>
      <c r="D120" s="78">
        <f>'Q ILA201-100-25 3a'!C17*$C$109</f>
        <v>5.1265489124200717E-2</v>
      </c>
      <c r="E120" s="78">
        <f t="shared" si="40"/>
        <v>4.9149037780918732E-2</v>
      </c>
      <c r="F120" s="79">
        <f t="shared" si="40"/>
        <v>100000</v>
      </c>
      <c r="G120" s="80">
        <v>1229.9423803372763</v>
      </c>
      <c r="H120" s="81">
        <f t="shared" si="34"/>
        <v>724.11483084249994</v>
      </c>
      <c r="I120" s="79">
        <f t="shared" si="35"/>
        <v>0.74985428930049436</v>
      </c>
      <c r="J120" s="79">
        <f t="shared" si="36"/>
        <v>127723.14880222945</v>
      </c>
      <c r="K120" s="79">
        <f t="shared" si="37"/>
        <v>48210.093303251757</v>
      </c>
      <c r="L120" s="82">
        <f t="shared" si="39"/>
        <v>175933.24210548121</v>
      </c>
    </row>
    <row r="121" spans="2:12" outlineLevel="1" x14ac:dyDescent="0.3">
      <c r="B121" s="76">
        <f t="shared" si="38"/>
        <v>7</v>
      </c>
      <c r="C121" s="77">
        <f>'Q ILA201-100-25 3a'!B18*$C$108</f>
        <v>1.9364810527875334</v>
      </c>
      <c r="D121" s="78">
        <f>'Q ILA201-100-25 3a'!C18*$C$109</f>
        <v>5.1265489124200717E-2</v>
      </c>
      <c r="E121" s="78">
        <f t="shared" si="40"/>
        <v>4.9149037780918732E-2</v>
      </c>
      <c r="F121" s="79">
        <f t="shared" si="40"/>
        <v>100000</v>
      </c>
      <c r="G121" s="80">
        <v>1173.8303224795452</v>
      </c>
      <c r="H121" s="81">
        <f t="shared" si="34"/>
        <v>685.59049520730241</v>
      </c>
      <c r="I121" s="79">
        <f t="shared" si="35"/>
        <v>0.71472618502946905</v>
      </c>
      <c r="J121" s="79">
        <f t="shared" si="36"/>
        <v>140223.46499689508</v>
      </c>
      <c r="K121" s="79">
        <f t="shared" si="37"/>
        <v>43575.047770609155</v>
      </c>
      <c r="L121" s="82">
        <f t="shared" si="39"/>
        <v>183798.51276750423</v>
      </c>
    </row>
    <row r="122" spans="2:12" outlineLevel="1" x14ac:dyDescent="0.3">
      <c r="B122" s="76">
        <f t="shared" si="38"/>
        <v>8</v>
      </c>
      <c r="C122" s="77">
        <f>'Q ILA201-100-25 3a'!B19*$C$108</f>
        <v>2.2237612089702989</v>
      </c>
      <c r="D122" s="78">
        <f>'Q ILA201-100-25 3a'!C19*$C$109</f>
        <v>5.1265489124200717E-2</v>
      </c>
      <c r="E122" s="78">
        <f t="shared" si="40"/>
        <v>4.9149037780918732E-2</v>
      </c>
      <c r="F122" s="79">
        <f t="shared" si="40"/>
        <v>100000</v>
      </c>
      <c r="G122" s="80">
        <v>1101.1560814683985</v>
      </c>
      <c r="H122" s="81">
        <f t="shared" si="34"/>
        <v>648.91877358311638</v>
      </c>
      <c r="I122" s="79">
        <f t="shared" si="35"/>
        <v>0.68124371208613432</v>
      </c>
      <c r="J122" s="79">
        <f t="shared" si="36"/>
        <v>152458.95484807368</v>
      </c>
      <c r="K122" s="79">
        <f t="shared" si="37"/>
        <v>38702.478231335954</v>
      </c>
      <c r="L122" s="82">
        <f t="shared" si="39"/>
        <v>191161.43307940965</v>
      </c>
    </row>
    <row r="123" spans="2:12" outlineLevel="1" x14ac:dyDescent="0.3">
      <c r="B123" s="76">
        <f t="shared" si="38"/>
        <v>9</v>
      </c>
      <c r="C123" s="77">
        <f>'Q ILA201-100-25 3a'!B20*$C$108</f>
        <v>2.5110413651530652</v>
      </c>
      <c r="D123" s="78">
        <f>'Q ILA201-100-25 3a'!C20*$C$109</f>
        <v>5.1265489124200717E-2</v>
      </c>
      <c r="E123" s="78">
        <f t="shared" si="40"/>
        <v>4.9149037780918732E-2</v>
      </c>
      <c r="F123" s="79">
        <f t="shared" si="40"/>
        <v>100000</v>
      </c>
      <c r="G123" s="80">
        <v>1012.4988087583707</v>
      </c>
      <c r="H123" s="81">
        <f t="shared" si="34"/>
        <v>614.02217337040986</v>
      </c>
      <c r="I123" s="79">
        <f t="shared" si="35"/>
        <v>0.64932977828111993</v>
      </c>
      <c r="J123" s="79">
        <f t="shared" si="36"/>
        <v>162946.18830916015</v>
      </c>
      <c r="K123" s="79">
        <f t="shared" si="37"/>
        <v>33682.937929535045</v>
      </c>
      <c r="L123" s="82">
        <f t="shared" si="39"/>
        <v>196629.1262386952</v>
      </c>
    </row>
    <row r="124" spans="2:12" outlineLevel="1" x14ac:dyDescent="0.3">
      <c r="B124" s="76">
        <f t="shared" si="38"/>
        <v>10</v>
      </c>
      <c r="C124" s="77">
        <f>'Q ILA201-100-25 3a'!B21*$C$108</f>
        <v>2.8621615560431124</v>
      </c>
      <c r="D124" s="78">
        <f>'Q ILA201-100-25 3a'!C21*$C$109</f>
        <v>5.1265489124200717E-2</v>
      </c>
      <c r="E124" s="78">
        <f t="shared" si="40"/>
        <v>4.9149037780918732E-2</v>
      </c>
      <c r="F124" s="79">
        <f t="shared" si="40"/>
        <v>100000</v>
      </c>
      <c r="G124" s="80">
        <v>904.35177890317436</v>
      </c>
      <c r="H124" s="81">
        <f t="shared" si="34"/>
        <v>580.78659566029216</v>
      </c>
      <c r="I124" s="79">
        <f t="shared" si="35"/>
        <v>0.61891090292999129</v>
      </c>
      <c r="J124" s="79">
        <f t="shared" si="36"/>
        <v>175743.0659178826</v>
      </c>
      <c r="K124" s="79">
        <f t="shared" si="37"/>
        <v>28467.318282092245</v>
      </c>
      <c r="L124" s="82">
        <f t="shared" si="39"/>
        <v>204210.38419997485</v>
      </c>
    </row>
    <row r="125" spans="2:12" outlineLevel="1" x14ac:dyDescent="0.3">
      <c r="B125" s="76">
        <f t="shared" si="38"/>
        <v>11</v>
      </c>
      <c r="C125" s="77">
        <f>'Q ILA201-100-25 3a'!B22*$C$108</f>
        <v>3.2558417700713473</v>
      </c>
      <c r="D125" s="78">
        <f>'Q ILA201-100-25 3a'!C22*$C$109</f>
        <v>5.1265489124200717E-2</v>
      </c>
      <c r="E125" s="78">
        <f t="shared" si="40"/>
        <v>4.9149037780918732E-2</v>
      </c>
      <c r="F125" s="79">
        <f t="shared" si="40"/>
        <v>100000</v>
      </c>
      <c r="G125" s="80">
        <v>774.74071675980235</v>
      </c>
      <c r="H125" s="81">
        <f t="shared" si="34"/>
        <v>549.12133749933957</v>
      </c>
      <c r="I125" s="79">
        <f t="shared" si="35"/>
        <v>0.58991704766661668</v>
      </c>
      <c r="J125" s="79">
        <f t="shared" si="36"/>
        <v>189094.92576483174</v>
      </c>
      <c r="K125" s="79">
        <f t="shared" si="37"/>
        <v>23067.369420773714</v>
      </c>
      <c r="L125" s="82">
        <f t="shared" si="39"/>
        <v>212162.29518560547</v>
      </c>
    </row>
    <row r="126" spans="2:12" outlineLevel="1" x14ac:dyDescent="0.3">
      <c r="B126" s="76">
        <f>B125+1</f>
        <v>12</v>
      </c>
      <c r="C126" s="77">
        <f>'Q ILA201-100-25 3a'!B23*$C$108</f>
        <v>3.69208200723777</v>
      </c>
      <c r="D126" s="78">
        <f>'Q ILA201-100-25 3a'!C23*$C$109</f>
        <v>5.1265489124200717E-2</v>
      </c>
      <c r="E126" s="78">
        <f t="shared" si="40"/>
        <v>4.9149037780918732E-2</v>
      </c>
      <c r="F126" s="79">
        <f t="shared" si="40"/>
        <v>100000</v>
      </c>
      <c r="G126" s="80">
        <v>621.81631080479781</v>
      </c>
      <c r="H126" s="81">
        <f t="shared" si="34"/>
        <v>518.94296253392895</v>
      </c>
      <c r="I126" s="79">
        <f t="shared" si="35"/>
        <v>0.5622814551823494</v>
      </c>
      <c r="J126" s="79">
        <f t="shared" si="36"/>
        <v>202740.10099716505</v>
      </c>
      <c r="K126" s="79">
        <f t="shared" si="37"/>
        <v>17504.734770532988</v>
      </c>
      <c r="L126" s="82">
        <f t="shared" si="39"/>
        <v>220244.83576769804</v>
      </c>
    </row>
    <row r="127" spans="2:12" outlineLevel="1" x14ac:dyDescent="0.3">
      <c r="B127" s="76">
        <f t="shared" ref="B127:B129" si="41">B126+1</f>
        <v>13</v>
      </c>
      <c r="C127" s="77">
        <f>'Q ILA201-100-25 3a'!B24*$C$108</f>
        <v>4.2028022848960207</v>
      </c>
      <c r="D127" s="78">
        <f>'Q ILA201-100-25 3a'!C24*$C$109</f>
        <v>5.1265489124200717E-2</v>
      </c>
      <c r="E127" s="78">
        <f t="shared" si="40"/>
        <v>4.9149037780918732E-2</v>
      </c>
      <c r="F127" s="79">
        <f t="shared" si="40"/>
        <v>100000</v>
      </c>
      <c r="G127" s="80">
        <v>442.14043702902569</v>
      </c>
      <c r="H127" s="81">
        <f t="shared" si="34"/>
        <v>490.15808306339704</v>
      </c>
      <c r="I127" s="79">
        <f t="shared" si="35"/>
        <v>0.53594049551972611</v>
      </c>
      <c r="J127" s="79">
        <f t="shared" si="36"/>
        <v>218101.46686683068</v>
      </c>
      <c r="K127" s="79">
        <f t="shared" si="37"/>
        <v>11762.644410157101</v>
      </c>
      <c r="L127" s="82">
        <f t="shared" si="39"/>
        <v>229864.11127698779</v>
      </c>
    </row>
    <row r="128" spans="2:12" outlineLevel="1" x14ac:dyDescent="0.3">
      <c r="B128" s="76">
        <f t="shared" si="41"/>
        <v>14</v>
      </c>
      <c r="C128" s="77">
        <f>'Q ILA201-100-25 3a'!B25*$C$108</f>
        <v>4.7241625683388184</v>
      </c>
      <c r="D128" s="78">
        <f>'Q ILA201-100-25 3a'!C25*$C$109</f>
        <v>5.1265489124200717E-2</v>
      </c>
      <c r="E128" s="78">
        <f t="shared" si="40"/>
        <v>4.9149037780918732E-2</v>
      </c>
      <c r="F128" s="79">
        <f t="shared" si="40"/>
        <v>100000</v>
      </c>
      <c r="G128" s="80">
        <v>235.73437267725242</v>
      </c>
      <c r="H128" s="81">
        <f t="shared" si="34"/>
        <v>462.71430271839455</v>
      </c>
      <c r="I128" s="79">
        <f t="shared" si="35"/>
        <v>0.5108335195667788</v>
      </c>
      <c r="J128" s="79">
        <f t="shared" si="36"/>
        <v>231558.64685768099</v>
      </c>
      <c r="K128" s="79">
        <f t="shared" si="37"/>
        <v>5923.5790199715766</v>
      </c>
      <c r="L128" s="82">
        <f t="shared" si="39"/>
        <v>237482.22587765256</v>
      </c>
    </row>
    <row r="129" spans="2:12" ht="15" outlineLevel="1" thickBot="1" x14ac:dyDescent="0.35">
      <c r="B129" s="83">
        <f t="shared" si="41"/>
        <v>15</v>
      </c>
      <c r="C129" s="84">
        <f>'Q ILA201-100-25 3a'!B26*$C$108</f>
        <v>5.3093628864888966</v>
      </c>
      <c r="D129" s="85">
        <f>'Q ILA201-100-25 3a'!C26*$C$109</f>
        <v>5.1265489124200717E-2</v>
      </c>
      <c r="E129" s="85">
        <f t="shared" si="40"/>
        <v>4.9149037780918732E-2</v>
      </c>
      <c r="F129" s="86">
        <f t="shared" si="40"/>
        <v>100000</v>
      </c>
      <c r="G129" s="87">
        <v>0</v>
      </c>
      <c r="H129" s="88">
        <f t="shared" si="34"/>
        <v>436.53630951887197</v>
      </c>
      <c r="I129" s="86">
        <f t="shared" si="35"/>
        <v>0.48690271941463675</v>
      </c>
      <c r="J129" s="86">
        <f t="shared" si="36"/>
        <v>245671.81459006324</v>
      </c>
      <c r="K129" s="86">
        <f t="shared" si="37"/>
        <v>0</v>
      </c>
      <c r="L129" s="89">
        <f t="shared" si="39"/>
        <v>245671.81459006324</v>
      </c>
    </row>
    <row r="130" spans="2:12" ht="15" outlineLevel="1" thickTop="1" x14ac:dyDescent="0.3"/>
    <row r="131" spans="2:12" outlineLevel="1" x14ac:dyDescent="0.3">
      <c r="B131" s="66" t="s">
        <v>546</v>
      </c>
    </row>
    <row r="132" spans="2:12" outlineLevel="1" x14ac:dyDescent="0.3"/>
    <row r="133" spans="2:12" outlineLevel="1" x14ac:dyDescent="0.3">
      <c r="C133" s="10">
        <f>C110</f>
        <v>1898012.3732830766</v>
      </c>
    </row>
    <row r="134" spans="2:12" outlineLevel="1" x14ac:dyDescent="0.3">
      <c r="B134">
        <v>1</v>
      </c>
      <c r="C134">
        <f t="dataTable" ref="C134:C633" dt2D="0" dtr="0" r1="C106"/>
        <v>1898012.3732830766</v>
      </c>
    </row>
    <row r="135" spans="2:12" outlineLevel="1" x14ac:dyDescent="0.3">
      <c r="B135">
        <v>2</v>
      </c>
      <c r="C135">
        <v>2109361.1243645875</v>
      </c>
    </row>
    <row r="136" spans="2:12" outlineLevel="1" x14ac:dyDescent="0.3">
      <c r="B136">
        <v>3</v>
      </c>
      <c r="C136">
        <v>1710330.7429526255</v>
      </c>
    </row>
    <row r="137" spans="2:12" outlineLevel="1" x14ac:dyDescent="0.3">
      <c r="B137">
        <v>4</v>
      </c>
      <c r="C137">
        <v>1823995.6382509244</v>
      </c>
    </row>
    <row r="138" spans="2:12" outlineLevel="1" x14ac:dyDescent="0.3">
      <c r="B138">
        <v>5</v>
      </c>
      <c r="C138">
        <v>1828195.3358317772</v>
      </c>
    </row>
    <row r="139" spans="2:12" outlineLevel="1" x14ac:dyDescent="0.3">
      <c r="B139">
        <v>6</v>
      </c>
      <c r="C139">
        <v>1832314.4144406274</v>
      </c>
    </row>
    <row r="140" spans="2:12" outlineLevel="1" x14ac:dyDescent="0.3">
      <c r="B140">
        <v>7</v>
      </c>
      <c r="C140">
        <v>1698847.4491991943</v>
      </c>
    </row>
    <row r="141" spans="2:12" outlineLevel="1" x14ac:dyDescent="0.3">
      <c r="B141">
        <v>8</v>
      </c>
      <c r="C141">
        <v>1860727.3017361208</v>
      </c>
    </row>
    <row r="142" spans="2:12" outlineLevel="1" x14ac:dyDescent="0.3">
      <c r="B142">
        <v>9</v>
      </c>
      <c r="C142">
        <v>2099879.4678899362</v>
      </c>
    </row>
    <row r="143" spans="2:12" outlineLevel="1" x14ac:dyDescent="0.3">
      <c r="B143">
        <v>10</v>
      </c>
      <c r="C143">
        <v>1841739.8138111746</v>
      </c>
    </row>
    <row r="144" spans="2:12" outlineLevel="1" x14ac:dyDescent="0.3">
      <c r="B144">
        <v>11</v>
      </c>
      <c r="C144">
        <v>1820670.4484362521</v>
      </c>
    </row>
    <row r="145" spans="2:3" outlineLevel="1" x14ac:dyDescent="0.3">
      <c r="B145">
        <v>12</v>
      </c>
      <c r="C145">
        <v>2039089.0730999215</v>
      </c>
    </row>
    <row r="146" spans="2:3" outlineLevel="1" x14ac:dyDescent="0.3">
      <c r="B146">
        <v>13</v>
      </c>
      <c r="C146">
        <v>1896466.7047134091</v>
      </c>
    </row>
    <row r="147" spans="2:3" outlineLevel="1" x14ac:dyDescent="0.3">
      <c r="B147">
        <v>14</v>
      </c>
      <c r="C147">
        <v>1792276.0822270545</v>
      </c>
    </row>
    <row r="148" spans="2:3" outlineLevel="1" x14ac:dyDescent="0.3">
      <c r="B148">
        <v>15</v>
      </c>
      <c r="C148">
        <v>1842466.9382096829</v>
      </c>
    </row>
    <row r="149" spans="2:3" outlineLevel="1" x14ac:dyDescent="0.3">
      <c r="B149">
        <v>16</v>
      </c>
      <c r="C149">
        <v>1766915.637087062</v>
      </c>
    </row>
    <row r="150" spans="2:3" outlineLevel="1" x14ac:dyDescent="0.3">
      <c r="B150">
        <v>17</v>
      </c>
      <c r="C150">
        <v>2040462.7293453421</v>
      </c>
    </row>
    <row r="151" spans="2:3" outlineLevel="1" x14ac:dyDescent="0.3">
      <c r="B151">
        <v>18</v>
      </c>
      <c r="C151">
        <v>1858065.5502301434</v>
      </c>
    </row>
    <row r="152" spans="2:3" outlineLevel="1" x14ac:dyDescent="0.3">
      <c r="B152">
        <v>19</v>
      </c>
      <c r="C152">
        <v>2071638.607945289</v>
      </c>
    </row>
    <row r="153" spans="2:3" outlineLevel="1" x14ac:dyDescent="0.3">
      <c r="B153">
        <v>20</v>
      </c>
      <c r="C153">
        <v>2027357.3303600852</v>
      </c>
    </row>
    <row r="154" spans="2:3" outlineLevel="1" x14ac:dyDescent="0.3">
      <c r="B154">
        <v>21</v>
      </c>
      <c r="C154">
        <v>2278101.5025350144</v>
      </c>
    </row>
    <row r="155" spans="2:3" outlineLevel="1" x14ac:dyDescent="0.3">
      <c r="B155">
        <v>22</v>
      </c>
      <c r="C155">
        <v>2262606.0540991859</v>
      </c>
    </row>
    <row r="156" spans="2:3" outlineLevel="1" x14ac:dyDescent="0.3">
      <c r="B156">
        <v>23</v>
      </c>
      <c r="C156">
        <v>2055602.5611273933</v>
      </c>
    </row>
    <row r="157" spans="2:3" outlineLevel="1" x14ac:dyDescent="0.3">
      <c r="B157">
        <v>24</v>
      </c>
      <c r="C157">
        <v>1707748.5844993528</v>
      </c>
    </row>
    <row r="158" spans="2:3" outlineLevel="1" x14ac:dyDescent="0.3">
      <c r="B158">
        <v>25</v>
      </c>
      <c r="C158">
        <v>1816289.6006896934</v>
      </c>
    </row>
    <row r="159" spans="2:3" outlineLevel="1" x14ac:dyDescent="0.3">
      <c r="B159">
        <v>26</v>
      </c>
      <c r="C159">
        <v>1699322.0830083133</v>
      </c>
    </row>
    <row r="160" spans="2:3" outlineLevel="1" x14ac:dyDescent="0.3">
      <c r="B160">
        <v>27</v>
      </c>
      <c r="C160">
        <v>1934005.0386601719</v>
      </c>
    </row>
    <row r="161" spans="2:3" outlineLevel="1" x14ac:dyDescent="0.3">
      <c r="B161">
        <v>28</v>
      </c>
      <c r="C161">
        <v>1758373.0988835907</v>
      </c>
    </row>
    <row r="162" spans="2:3" outlineLevel="1" x14ac:dyDescent="0.3">
      <c r="B162">
        <v>29</v>
      </c>
      <c r="C162">
        <v>2015107.865701152</v>
      </c>
    </row>
    <row r="163" spans="2:3" outlineLevel="1" x14ac:dyDescent="0.3">
      <c r="B163">
        <v>30</v>
      </c>
      <c r="C163">
        <v>2038242.7350953605</v>
      </c>
    </row>
    <row r="164" spans="2:3" outlineLevel="1" x14ac:dyDescent="0.3">
      <c r="B164">
        <v>31</v>
      </c>
      <c r="C164">
        <v>2102924.0537489792</v>
      </c>
    </row>
    <row r="165" spans="2:3" outlineLevel="1" x14ac:dyDescent="0.3">
      <c r="B165">
        <v>32</v>
      </c>
      <c r="C165">
        <v>2075638.5800479504</v>
      </c>
    </row>
    <row r="166" spans="2:3" outlineLevel="1" x14ac:dyDescent="0.3">
      <c r="B166">
        <v>33</v>
      </c>
      <c r="C166">
        <v>1837534.7434954566</v>
      </c>
    </row>
    <row r="167" spans="2:3" outlineLevel="1" x14ac:dyDescent="0.3">
      <c r="B167">
        <v>34</v>
      </c>
      <c r="C167">
        <v>1896148.3898714189</v>
      </c>
    </row>
    <row r="168" spans="2:3" outlineLevel="1" x14ac:dyDescent="0.3">
      <c r="B168">
        <v>35</v>
      </c>
      <c r="C168">
        <v>2141132.3727627196</v>
      </c>
    </row>
    <row r="169" spans="2:3" outlineLevel="1" x14ac:dyDescent="0.3">
      <c r="B169">
        <v>36</v>
      </c>
      <c r="C169">
        <v>2152211.5266375518</v>
      </c>
    </row>
    <row r="170" spans="2:3" outlineLevel="1" x14ac:dyDescent="0.3">
      <c r="B170">
        <v>37</v>
      </c>
      <c r="C170">
        <v>2033852.566638326</v>
      </c>
    </row>
    <row r="171" spans="2:3" outlineLevel="1" x14ac:dyDescent="0.3">
      <c r="B171">
        <v>38</v>
      </c>
      <c r="C171">
        <v>1950765.5786728205</v>
      </c>
    </row>
    <row r="172" spans="2:3" outlineLevel="1" x14ac:dyDescent="0.3">
      <c r="B172">
        <v>39</v>
      </c>
      <c r="C172">
        <v>1871118.4404507373</v>
      </c>
    </row>
    <row r="173" spans="2:3" outlineLevel="1" x14ac:dyDescent="0.3">
      <c r="B173">
        <v>40</v>
      </c>
      <c r="C173">
        <v>1790205.3840223677</v>
      </c>
    </row>
    <row r="174" spans="2:3" outlineLevel="1" x14ac:dyDescent="0.3">
      <c r="B174">
        <v>41</v>
      </c>
      <c r="C174">
        <v>2032299.5403106953</v>
      </c>
    </row>
    <row r="175" spans="2:3" outlineLevel="1" x14ac:dyDescent="0.3">
      <c r="B175">
        <v>42</v>
      </c>
      <c r="C175">
        <v>1675197.202788004</v>
      </c>
    </row>
    <row r="176" spans="2:3" outlineLevel="1" x14ac:dyDescent="0.3">
      <c r="B176">
        <v>43</v>
      </c>
      <c r="C176">
        <v>2180857.4342639889</v>
      </c>
    </row>
    <row r="177" spans="2:3" outlineLevel="1" x14ac:dyDescent="0.3">
      <c r="B177">
        <v>44</v>
      </c>
      <c r="C177">
        <v>1909747.0002188857</v>
      </c>
    </row>
    <row r="178" spans="2:3" outlineLevel="1" x14ac:dyDescent="0.3">
      <c r="B178">
        <v>45</v>
      </c>
      <c r="C178">
        <v>2339936.6478975792</v>
      </c>
    </row>
    <row r="179" spans="2:3" outlineLevel="1" x14ac:dyDescent="0.3">
      <c r="B179">
        <v>46</v>
      </c>
      <c r="C179">
        <v>2011539.7697344827</v>
      </c>
    </row>
    <row r="180" spans="2:3" outlineLevel="1" x14ac:dyDescent="0.3">
      <c r="B180">
        <v>47</v>
      </c>
      <c r="C180">
        <v>1643072.9265133201</v>
      </c>
    </row>
    <row r="181" spans="2:3" outlineLevel="1" x14ac:dyDescent="0.3">
      <c r="B181">
        <v>48</v>
      </c>
      <c r="C181">
        <v>2060642.3609774322</v>
      </c>
    </row>
    <row r="182" spans="2:3" outlineLevel="1" x14ac:dyDescent="0.3">
      <c r="B182">
        <v>49</v>
      </c>
      <c r="C182">
        <v>2229796.4246293311</v>
      </c>
    </row>
    <row r="183" spans="2:3" outlineLevel="1" x14ac:dyDescent="0.3">
      <c r="B183">
        <v>50</v>
      </c>
      <c r="C183">
        <v>1918209.9041892102</v>
      </c>
    </row>
    <row r="184" spans="2:3" outlineLevel="1" x14ac:dyDescent="0.3">
      <c r="B184">
        <v>51</v>
      </c>
      <c r="C184">
        <v>2141775.7693220717</v>
      </c>
    </row>
    <row r="185" spans="2:3" outlineLevel="1" x14ac:dyDescent="0.3">
      <c r="B185">
        <v>52</v>
      </c>
      <c r="C185">
        <v>1942050.4338709677</v>
      </c>
    </row>
    <row r="186" spans="2:3" outlineLevel="1" x14ac:dyDescent="0.3">
      <c r="B186">
        <v>53</v>
      </c>
      <c r="C186">
        <v>2065885.9227119074</v>
      </c>
    </row>
    <row r="187" spans="2:3" outlineLevel="1" x14ac:dyDescent="0.3">
      <c r="B187">
        <v>54</v>
      </c>
      <c r="C187">
        <v>1881386.390012203</v>
      </c>
    </row>
    <row r="188" spans="2:3" outlineLevel="1" x14ac:dyDescent="0.3">
      <c r="B188">
        <v>55</v>
      </c>
      <c r="C188">
        <v>1826321.1243139901</v>
      </c>
    </row>
    <row r="189" spans="2:3" outlineLevel="1" x14ac:dyDescent="0.3">
      <c r="B189">
        <v>56</v>
      </c>
      <c r="C189">
        <v>1901637.9786917139</v>
      </c>
    </row>
    <row r="190" spans="2:3" outlineLevel="1" x14ac:dyDescent="0.3">
      <c r="B190">
        <v>57</v>
      </c>
      <c r="C190">
        <v>1910103.900499319</v>
      </c>
    </row>
    <row r="191" spans="2:3" outlineLevel="1" x14ac:dyDescent="0.3">
      <c r="B191">
        <v>58</v>
      </c>
      <c r="C191">
        <v>1807556.6331716029</v>
      </c>
    </row>
    <row r="192" spans="2:3" outlineLevel="1" x14ac:dyDescent="0.3">
      <c r="B192">
        <v>59</v>
      </c>
      <c r="C192">
        <v>1811149.3700933927</v>
      </c>
    </row>
    <row r="193" spans="2:3" outlineLevel="1" x14ac:dyDescent="0.3">
      <c r="B193">
        <v>60</v>
      </c>
      <c r="C193">
        <v>2091522.7036587142</v>
      </c>
    </row>
    <row r="194" spans="2:3" outlineLevel="1" x14ac:dyDescent="0.3">
      <c r="B194">
        <v>61</v>
      </c>
      <c r="C194">
        <v>1884119.7681597658</v>
      </c>
    </row>
    <row r="195" spans="2:3" outlineLevel="1" x14ac:dyDescent="0.3">
      <c r="B195">
        <v>62</v>
      </c>
      <c r="C195">
        <v>2085912.5540301015</v>
      </c>
    </row>
    <row r="196" spans="2:3" outlineLevel="1" x14ac:dyDescent="0.3">
      <c r="B196">
        <v>63</v>
      </c>
      <c r="C196">
        <v>2200180.3649326926</v>
      </c>
    </row>
    <row r="197" spans="2:3" outlineLevel="1" x14ac:dyDescent="0.3">
      <c r="B197">
        <v>64</v>
      </c>
      <c r="C197">
        <v>2126017.1512855003</v>
      </c>
    </row>
    <row r="198" spans="2:3" outlineLevel="1" x14ac:dyDescent="0.3">
      <c r="B198">
        <v>65</v>
      </c>
      <c r="C198">
        <v>2302648.3294103062</v>
      </c>
    </row>
    <row r="199" spans="2:3" outlineLevel="1" x14ac:dyDescent="0.3">
      <c r="B199">
        <v>66</v>
      </c>
      <c r="C199">
        <v>2013488.8291443838</v>
      </c>
    </row>
    <row r="200" spans="2:3" outlineLevel="1" x14ac:dyDescent="0.3">
      <c r="B200">
        <v>67</v>
      </c>
      <c r="C200">
        <v>1873225.038857176</v>
      </c>
    </row>
    <row r="201" spans="2:3" outlineLevel="1" x14ac:dyDescent="0.3">
      <c r="B201">
        <v>68</v>
      </c>
      <c r="C201">
        <v>1766036.6590073069</v>
      </c>
    </row>
    <row r="202" spans="2:3" outlineLevel="1" x14ac:dyDescent="0.3">
      <c r="B202">
        <v>69</v>
      </c>
      <c r="C202">
        <v>1976884.5200494775</v>
      </c>
    </row>
    <row r="203" spans="2:3" outlineLevel="1" x14ac:dyDescent="0.3">
      <c r="B203">
        <v>70</v>
      </c>
      <c r="C203">
        <v>1920434.6189153264</v>
      </c>
    </row>
    <row r="204" spans="2:3" outlineLevel="1" x14ac:dyDescent="0.3">
      <c r="B204">
        <v>71</v>
      </c>
      <c r="C204">
        <v>1963643.9626021555</v>
      </c>
    </row>
    <row r="205" spans="2:3" outlineLevel="1" x14ac:dyDescent="0.3">
      <c r="B205">
        <v>72</v>
      </c>
      <c r="C205">
        <v>1880944.4399859405</v>
      </c>
    </row>
    <row r="206" spans="2:3" outlineLevel="1" x14ac:dyDescent="0.3">
      <c r="B206">
        <v>73</v>
      </c>
      <c r="C206">
        <v>2079639.8987986848</v>
      </c>
    </row>
    <row r="207" spans="2:3" outlineLevel="1" x14ac:dyDescent="0.3">
      <c r="B207">
        <v>74</v>
      </c>
      <c r="C207">
        <v>1778066.8620385849</v>
      </c>
    </row>
    <row r="208" spans="2:3" outlineLevel="1" x14ac:dyDescent="0.3">
      <c r="B208">
        <v>75</v>
      </c>
      <c r="C208">
        <v>1687989.5453389687</v>
      </c>
    </row>
    <row r="209" spans="2:3" outlineLevel="1" x14ac:dyDescent="0.3">
      <c r="B209">
        <v>76</v>
      </c>
      <c r="C209">
        <v>1906636.9549214654</v>
      </c>
    </row>
    <row r="210" spans="2:3" outlineLevel="1" x14ac:dyDescent="0.3">
      <c r="B210">
        <v>77</v>
      </c>
      <c r="C210">
        <v>1809823.8393015508</v>
      </c>
    </row>
    <row r="211" spans="2:3" outlineLevel="1" x14ac:dyDescent="0.3">
      <c r="B211">
        <v>78</v>
      </c>
      <c r="C211">
        <v>1922243.1048422237</v>
      </c>
    </row>
    <row r="212" spans="2:3" outlineLevel="1" x14ac:dyDescent="0.3">
      <c r="B212">
        <v>79</v>
      </c>
      <c r="C212">
        <v>2022610.0127715189</v>
      </c>
    </row>
    <row r="213" spans="2:3" outlineLevel="1" x14ac:dyDescent="0.3">
      <c r="B213">
        <v>80</v>
      </c>
      <c r="C213">
        <v>2037316.947099874</v>
      </c>
    </row>
    <row r="214" spans="2:3" outlineLevel="1" x14ac:dyDescent="0.3">
      <c r="B214">
        <v>81</v>
      </c>
      <c r="C214">
        <v>1878276.7189768942</v>
      </c>
    </row>
    <row r="215" spans="2:3" outlineLevel="1" x14ac:dyDescent="0.3">
      <c r="B215">
        <v>82</v>
      </c>
      <c r="C215">
        <v>1949003.9612641621</v>
      </c>
    </row>
    <row r="216" spans="2:3" outlineLevel="1" x14ac:dyDescent="0.3">
      <c r="B216">
        <v>83</v>
      </c>
      <c r="C216">
        <v>2187858.7377286186</v>
      </c>
    </row>
    <row r="217" spans="2:3" outlineLevel="1" x14ac:dyDescent="0.3">
      <c r="B217">
        <v>84</v>
      </c>
      <c r="C217">
        <v>1951355.3523846522</v>
      </c>
    </row>
    <row r="218" spans="2:3" outlineLevel="1" x14ac:dyDescent="0.3">
      <c r="B218">
        <v>85</v>
      </c>
      <c r="C218">
        <v>1874602.0363798805</v>
      </c>
    </row>
    <row r="219" spans="2:3" outlineLevel="1" x14ac:dyDescent="0.3">
      <c r="B219">
        <v>86</v>
      </c>
      <c r="C219">
        <v>1965631.6247361482</v>
      </c>
    </row>
    <row r="220" spans="2:3" outlineLevel="1" x14ac:dyDescent="0.3">
      <c r="B220">
        <v>87</v>
      </c>
      <c r="C220">
        <v>1861980.448945584</v>
      </c>
    </row>
    <row r="221" spans="2:3" outlineLevel="1" x14ac:dyDescent="0.3">
      <c r="B221">
        <v>88</v>
      </c>
      <c r="C221">
        <v>1947170.2874563218</v>
      </c>
    </row>
    <row r="222" spans="2:3" outlineLevel="1" x14ac:dyDescent="0.3">
      <c r="B222">
        <v>89</v>
      </c>
      <c r="C222">
        <v>2184995.2106443332</v>
      </c>
    </row>
    <row r="223" spans="2:3" outlineLevel="1" x14ac:dyDescent="0.3">
      <c r="B223">
        <v>90</v>
      </c>
      <c r="C223">
        <v>1922594.4916445445</v>
      </c>
    </row>
    <row r="224" spans="2:3" outlineLevel="1" x14ac:dyDescent="0.3">
      <c r="B224">
        <v>91</v>
      </c>
      <c r="C224">
        <v>1988434.1187334177</v>
      </c>
    </row>
    <row r="225" spans="2:3" outlineLevel="1" x14ac:dyDescent="0.3">
      <c r="B225">
        <v>92</v>
      </c>
      <c r="C225">
        <v>2069736.8757373146</v>
      </c>
    </row>
    <row r="226" spans="2:3" outlineLevel="1" x14ac:dyDescent="0.3">
      <c r="B226">
        <v>93</v>
      </c>
      <c r="C226">
        <v>2012387.3371926199</v>
      </c>
    </row>
    <row r="227" spans="2:3" outlineLevel="1" x14ac:dyDescent="0.3">
      <c r="B227">
        <v>94</v>
      </c>
      <c r="C227">
        <v>1820856.4106987326</v>
      </c>
    </row>
    <row r="228" spans="2:3" outlineLevel="1" x14ac:dyDescent="0.3">
      <c r="B228">
        <v>95</v>
      </c>
      <c r="C228">
        <v>2328121.3302547117</v>
      </c>
    </row>
    <row r="229" spans="2:3" outlineLevel="1" x14ac:dyDescent="0.3">
      <c r="B229">
        <v>96</v>
      </c>
      <c r="C229">
        <v>1790994.025176822</v>
      </c>
    </row>
    <row r="230" spans="2:3" outlineLevel="1" x14ac:dyDescent="0.3">
      <c r="B230">
        <v>97</v>
      </c>
      <c r="C230">
        <v>1877219.6107194338</v>
      </c>
    </row>
    <row r="231" spans="2:3" outlineLevel="1" x14ac:dyDescent="0.3">
      <c r="B231">
        <v>98</v>
      </c>
      <c r="C231">
        <v>2014721.921059039</v>
      </c>
    </row>
    <row r="232" spans="2:3" outlineLevel="1" x14ac:dyDescent="0.3">
      <c r="B232">
        <v>99</v>
      </c>
      <c r="C232">
        <v>2036541.6234513626</v>
      </c>
    </row>
    <row r="233" spans="2:3" outlineLevel="1" x14ac:dyDescent="0.3">
      <c r="B233">
        <v>100</v>
      </c>
      <c r="C233">
        <v>1813268.1253563415</v>
      </c>
    </row>
    <row r="234" spans="2:3" outlineLevel="1" x14ac:dyDescent="0.3">
      <c r="B234">
        <v>101</v>
      </c>
      <c r="C234">
        <v>2158341.4142203336</v>
      </c>
    </row>
    <row r="235" spans="2:3" outlineLevel="1" x14ac:dyDescent="0.3">
      <c r="B235">
        <v>102</v>
      </c>
      <c r="C235">
        <v>1896229.1725219931</v>
      </c>
    </row>
    <row r="236" spans="2:3" outlineLevel="1" x14ac:dyDescent="0.3">
      <c r="B236">
        <v>103</v>
      </c>
      <c r="C236">
        <v>1982922.6492694132</v>
      </c>
    </row>
    <row r="237" spans="2:3" outlineLevel="1" x14ac:dyDescent="0.3">
      <c r="B237">
        <v>104</v>
      </c>
      <c r="C237">
        <v>1695461.5718534011</v>
      </c>
    </row>
    <row r="238" spans="2:3" outlineLevel="1" x14ac:dyDescent="0.3">
      <c r="B238">
        <v>105</v>
      </c>
      <c r="C238">
        <v>1802866.8459594152</v>
      </c>
    </row>
    <row r="239" spans="2:3" outlineLevel="1" x14ac:dyDescent="0.3">
      <c r="B239">
        <v>106</v>
      </c>
      <c r="C239">
        <v>1887132.22119782</v>
      </c>
    </row>
    <row r="240" spans="2:3" outlineLevel="1" x14ac:dyDescent="0.3">
      <c r="B240">
        <v>107</v>
      </c>
      <c r="C240">
        <v>1954128.630467989</v>
      </c>
    </row>
    <row r="241" spans="2:3" outlineLevel="1" x14ac:dyDescent="0.3">
      <c r="B241">
        <v>108</v>
      </c>
      <c r="C241">
        <v>1668262.5248182621</v>
      </c>
    </row>
    <row r="242" spans="2:3" outlineLevel="1" x14ac:dyDescent="0.3">
      <c r="B242">
        <v>109</v>
      </c>
      <c r="C242">
        <v>2022443.4569849405</v>
      </c>
    </row>
    <row r="243" spans="2:3" outlineLevel="1" x14ac:dyDescent="0.3">
      <c r="B243">
        <v>110</v>
      </c>
      <c r="C243">
        <v>1939276.4496552949</v>
      </c>
    </row>
    <row r="244" spans="2:3" outlineLevel="1" x14ac:dyDescent="0.3">
      <c r="B244">
        <v>111</v>
      </c>
      <c r="C244">
        <v>1847554.4795135348</v>
      </c>
    </row>
    <row r="245" spans="2:3" outlineLevel="1" x14ac:dyDescent="0.3">
      <c r="B245">
        <v>112</v>
      </c>
      <c r="C245">
        <v>1675510.3647267139</v>
      </c>
    </row>
    <row r="246" spans="2:3" outlineLevel="1" x14ac:dyDescent="0.3">
      <c r="B246">
        <v>113</v>
      </c>
      <c r="C246">
        <v>2124605.4117022511</v>
      </c>
    </row>
    <row r="247" spans="2:3" outlineLevel="1" x14ac:dyDescent="0.3">
      <c r="B247">
        <v>114</v>
      </c>
      <c r="C247">
        <v>2066255.5131281458</v>
      </c>
    </row>
    <row r="248" spans="2:3" outlineLevel="1" x14ac:dyDescent="0.3">
      <c r="B248">
        <v>115</v>
      </c>
      <c r="C248">
        <v>1825383.4168315325</v>
      </c>
    </row>
    <row r="249" spans="2:3" outlineLevel="1" x14ac:dyDescent="0.3">
      <c r="B249">
        <v>116</v>
      </c>
      <c r="C249">
        <v>1920200.482706052</v>
      </c>
    </row>
    <row r="250" spans="2:3" outlineLevel="1" x14ac:dyDescent="0.3">
      <c r="B250">
        <v>117</v>
      </c>
      <c r="C250">
        <v>2233899.7599037248</v>
      </c>
    </row>
    <row r="251" spans="2:3" outlineLevel="1" x14ac:dyDescent="0.3">
      <c r="B251">
        <v>118</v>
      </c>
      <c r="C251">
        <v>2302463.8015416968</v>
      </c>
    </row>
    <row r="252" spans="2:3" outlineLevel="1" x14ac:dyDescent="0.3">
      <c r="B252">
        <v>119</v>
      </c>
      <c r="C252">
        <v>1985644.1916797918</v>
      </c>
    </row>
    <row r="253" spans="2:3" outlineLevel="1" x14ac:dyDescent="0.3">
      <c r="B253">
        <v>120</v>
      </c>
      <c r="C253">
        <v>2038912.755859046</v>
      </c>
    </row>
    <row r="254" spans="2:3" outlineLevel="1" x14ac:dyDescent="0.3">
      <c r="B254">
        <v>121</v>
      </c>
      <c r="C254">
        <v>1966969.5838833684</v>
      </c>
    </row>
    <row r="255" spans="2:3" outlineLevel="1" x14ac:dyDescent="0.3">
      <c r="B255">
        <v>122</v>
      </c>
      <c r="C255">
        <v>2109183.3477084772</v>
      </c>
    </row>
    <row r="256" spans="2:3" outlineLevel="1" x14ac:dyDescent="0.3">
      <c r="B256">
        <v>123</v>
      </c>
      <c r="C256">
        <v>1964635.4192399622</v>
      </c>
    </row>
    <row r="257" spans="2:3" outlineLevel="1" x14ac:dyDescent="0.3">
      <c r="B257">
        <v>124</v>
      </c>
      <c r="C257">
        <v>1853319.9770272188</v>
      </c>
    </row>
    <row r="258" spans="2:3" outlineLevel="1" x14ac:dyDescent="0.3">
      <c r="B258">
        <v>125</v>
      </c>
      <c r="C258">
        <v>1986466.7477737379</v>
      </c>
    </row>
    <row r="259" spans="2:3" outlineLevel="1" x14ac:dyDescent="0.3">
      <c r="B259">
        <v>126</v>
      </c>
      <c r="C259">
        <v>2223380.92388171</v>
      </c>
    </row>
    <row r="260" spans="2:3" outlineLevel="1" x14ac:dyDescent="0.3">
      <c r="B260">
        <v>127</v>
      </c>
      <c r="C260">
        <v>1823412.3278794226</v>
      </c>
    </row>
    <row r="261" spans="2:3" outlineLevel="1" x14ac:dyDescent="0.3">
      <c r="B261">
        <v>128</v>
      </c>
      <c r="C261">
        <v>1918263.6165102562</v>
      </c>
    </row>
    <row r="262" spans="2:3" outlineLevel="1" x14ac:dyDescent="0.3">
      <c r="B262">
        <v>129</v>
      </c>
      <c r="C262">
        <v>1829376.7717061643</v>
      </c>
    </row>
    <row r="263" spans="2:3" outlineLevel="1" x14ac:dyDescent="0.3">
      <c r="B263">
        <v>130</v>
      </c>
      <c r="C263">
        <v>1915787.596028483</v>
      </c>
    </row>
    <row r="264" spans="2:3" outlineLevel="1" x14ac:dyDescent="0.3">
      <c r="B264">
        <v>131</v>
      </c>
      <c r="C264">
        <v>2173354.7149232114</v>
      </c>
    </row>
    <row r="265" spans="2:3" outlineLevel="1" x14ac:dyDescent="0.3">
      <c r="B265">
        <v>132</v>
      </c>
      <c r="C265">
        <v>2123043.5351522365</v>
      </c>
    </row>
    <row r="266" spans="2:3" outlineLevel="1" x14ac:dyDescent="0.3">
      <c r="B266">
        <v>133</v>
      </c>
      <c r="C266">
        <v>1992430.3276034805</v>
      </c>
    </row>
    <row r="267" spans="2:3" outlineLevel="1" x14ac:dyDescent="0.3">
      <c r="B267">
        <v>134</v>
      </c>
      <c r="C267">
        <v>1791297.5247046549</v>
      </c>
    </row>
    <row r="268" spans="2:3" outlineLevel="1" x14ac:dyDescent="0.3">
      <c r="B268">
        <v>135</v>
      </c>
      <c r="C268">
        <v>2342693.8315744284</v>
      </c>
    </row>
    <row r="269" spans="2:3" outlineLevel="1" x14ac:dyDescent="0.3">
      <c r="B269">
        <v>136</v>
      </c>
      <c r="C269">
        <v>1857514.187860572</v>
      </c>
    </row>
    <row r="270" spans="2:3" outlineLevel="1" x14ac:dyDescent="0.3">
      <c r="B270">
        <v>137</v>
      </c>
      <c r="C270">
        <v>2016384.9898102549</v>
      </c>
    </row>
    <row r="271" spans="2:3" outlineLevel="1" x14ac:dyDescent="0.3">
      <c r="B271">
        <v>138</v>
      </c>
      <c r="C271">
        <v>1829897.8425751256</v>
      </c>
    </row>
    <row r="272" spans="2:3" outlineLevel="1" x14ac:dyDescent="0.3">
      <c r="B272">
        <v>139</v>
      </c>
      <c r="C272">
        <v>2033512.9366145132</v>
      </c>
    </row>
    <row r="273" spans="2:3" outlineLevel="1" x14ac:dyDescent="0.3">
      <c r="B273">
        <v>140</v>
      </c>
      <c r="C273">
        <v>2150621.3204940874</v>
      </c>
    </row>
    <row r="274" spans="2:3" outlineLevel="1" x14ac:dyDescent="0.3">
      <c r="B274">
        <v>141</v>
      </c>
      <c r="C274">
        <v>2300596.3839689321</v>
      </c>
    </row>
    <row r="275" spans="2:3" outlineLevel="1" x14ac:dyDescent="0.3">
      <c r="B275">
        <v>142</v>
      </c>
      <c r="C275">
        <v>2033268.5555880035</v>
      </c>
    </row>
    <row r="276" spans="2:3" outlineLevel="1" x14ac:dyDescent="0.3">
      <c r="B276">
        <v>143</v>
      </c>
      <c r="C276">
        <v>2130124.9246888664</v>
      </c>
    </row>
    <row r="277" spans="2:3" outlineLevel="1" x14ac:dyDescent="0.3">
      <c r="B277">
        <v>144</v>
      </c>
      <c r="C277">
        <v>1617190.3979563969</v>
      </c>
    </row>
    <row r="278" spans="2:3" outlineLevel="1" x14ac:dyDescent="0.3">
      <c r="B278">
        <v>145</v>
      </c>
      <c r="C278">
        <v>2057565.1009590377</v>
      </c>
    </row>
    <row r="279" spans="2:3" outlineLevel="1" x14ac:dyDescent="0.3">
      <c r="B279">
        <v>146</v>
      </c>
      <c r="C279">
        <v>2016674.0997682179</v>
      </c>
    </row>
    <row r="280" spans="2:3" outlineLevel="1" x14ac:dyDescent="0.3">
      <c r="B280">
        <v>147</v>
      </c>
      <c r="C280">
        <v>1981775.7633754737</v>
      </c>
    </row>
    <row r="281" spans="2:3" outlineLevel="1" x14ac:dyDescent="0.3">
      <c r="B281">
        <v>148</v>
      </c>
      <c r="C281">
        <v>2024783.7730387494</v>
      </c>
    </row>
    <row r="282" spans="2:3" outlineLevel="1" x14ac:dyDescent="0.3">
      <c r="B282">
        <v>149</v>
      </c>
      <c r="C282">
        <v>1879185.436791752</v>
      </c>
    </row>
    <row r="283" spans="2:3" outlineLevel="1" x14ac:dyDescent="0.3">
      <c r="B283">
        <v>150</v>
      </c>
      <c r="C283">
        <v>2091027.1548657375</v>
      </c>
    </row>
    <row r="284" spans="2:3" outlineLevel="1" x14ac:dyDescent="0.3">
      <c r="B284">
        <v>151</v>
      </c>
      <c r="C284">
        <v>2008528.4686665158</v>
      </c>
    </row>
    <row r="285" spans="2:3" outlineLevel="1" x14ac:dyDescent="0.3">
      <c r="B285">
        <v>152</v>
      </c>
      <c r="C285">
        <v>2026822.9851649564</v>
      </c>
    </row>
    <row r="286" spans="2:3" outlineLevel="1" x14ac:dyDescent="0.3">
      <c r="B286">
        <v>153</v>
      </c>
      <c r="C286">
        <v>2069687.9619371898</v>
      </c>
    </row>
    <row r="287" spans="2:3" outlineLevel="1" x14ac:dyDescent="0.3">
      <c r="B287">
        <v>154</v>
      </c>
      <c r="C287">
        <v>2121617.0229825084</v>
      </c>
    </row>
    <row r="288" spans="2:3" outlineLevel="1" x14ac:dyDescent="0.3">
      <c r="B288">
        <v>155</v>
      </c>
      <c r="C288">
        <v>1910141.9241217761</v>
      </c>
    </row>
    <row r="289" spans="2:3" outlineLevel="1" x14ac:dyDescent="0.3">
      <c r="B289">
        <v>156</v>
      </c>
      <c r="C289">
        <v>2054433.8085027258</v>
      </c>
    </row>
    <row r="290" spans="2:3" outlineLevel="1" x14ac:dyDescent="0.3">
      <c r="B290">
        <v>157</v>
      </c>
      <c r="C290">
        <v>1790005.3555755913</v>
      </c>
    </row>
    <row r="291" spans="2:3" outlineLevel="1" x14ac:dyDescent="0.3">
      <c r="B291">
        <v>158</v>
      </c>
      <c r="C291">
        <v>1900847.1636927845</v>
      </c>
    </row>
    <row r="292" spans="2:3" outlineLevel="1" x14ac:dyDescent="0.3">
      <c r="B292">
        <v>159</v>
      </c>
      <c r="C292">
        <v>1816701.7725971695</v>
      </c>
    </row>
    <row r="293" spans="2:3" outlineLevel="1" x14ac:dyDescent="0.3">
      <c r="B293">
        <v>160</v>
      </c>
      <c r="C293">
        <v>1610449.4049329921</v>
      </c>
    </row>
    <row r="294" spans="2:3" outlineLevel="1" x14ac:dyDescent="0.3">
      <c r="B294">
        <v>161</v>
      </c>
      <c r="C294">
        <v>2079126.0602969057</v>
      </c>
    </row>
    <row r="295" spans="2:3" outlineLevel="1" x14ac:dyDescent="0.3">
      <c r="B295">
        <v>162</v>
      </c>
      <c r="C295">
        <v>1813891.8501551531</v>
      </c>
    </row>
    <row r="296" spans="2:3" outlineLevel="1" x14ac:dyDescent="0.3">
      <c r="B296">
        <v>163</v>
      </c>
      <c r="C296">
        <v>1859393.276223894</v>
      </c>
    </row>
    <row r="297" spans="2:3" outlineLevel="1" x14ac:dyDescent="0.3">
      <c r="B297">
        <v>164</v>
      </c>
      <c r="C297">
        <v>1873822.4352085479</v>
      </c>
    </row>
    <row r="298" spans="2:3" outlineLevel="1" x14ac:dyDescent="0.3">
      <c r="B298">
        <v>165</v>
      </c>
      <c r="C298">
        <v>1637847.7288717797</v>
      </c>
    </row>
    <row r="299" spans="2:3" outlineLevel="1" x14ac:dyDescent="0.3">
      <c r="B299">
        <v>166</v>
      </c>
      <c r="C299">
        <v>2111439.8032839461</v>
      </c>
    </row>
    <row r="300" spans="2:3" outlineLevel="1" x14ac:dyDescent="0.3">
      <c r="B300">
        <v>167</v>
      </c>
      <c r="C300">
        <v>1843436.9482776923</v>
      </c>
    </row>
    <row r="301" spans="2:3" outlineLevel="1" x14ac:dyDescent="0.3">
      <c r="B301">
        <v>168</v>
      </c>
      <c r="C301">
        <v>1738036.2037450369</v>
      </c>
    </row>
    <row r="302" spans="2:3" outlineLevel="1" x14ac:dyDescent="0.3">
      <c r="B302">
        <v>169</v>
      </c>
      <c r="C302">
        <v>2062889.9280051545</v>
      </c>
    </row>
    <row r="303" spans="2:3" outlineLevel="1" x14ac:dyDescent="0.3">
      <c r="B303">
        <v>170</v>
      </c>
      <c r="C303">
        <v>2230302.7447790541</v>
      </c>
    </row>
    <row r="304" spans="2:3" outlineLevel="1" x14ac:dyDescent="0.3">
      <c r="B304">
        <v>171</v>
      </c>
      <c r="C304">
        <v>1808543.4608308619</v>
      </c>
    </row>
    <row r="305" spans="2:3" outlineLevel="1" x14ac:dyDescent="0.3">
      <c r="B305">
        <v>172</v>
      </c>
      <c r="C305">
        <v>2131241.0064208461</v>
      </c>
    </row>
    <row r="306" spans="2:3" outlineLevel="1" x14ac:dyDescent="0.3">
      <c r="B306">
        <v>173</v>
      </c>
      <c r="C306">
        <v>1916900.5853616945</v>
      </c>
    </row>
    <row r="307" spans="2:3" outlineLevel="1" x14ac:dyDescent="0.3">
      <c r="B307">
        <v>174</v>
      </c>
      <c r="C307">
        <v>2050932.8658101123</v>
      </c>
    </row>
    <row r="308" spans="2:3" outlineLevel="1" x14ac:dyDescent="0.3">
      <c r="B308">
        <v>175</v>
      </c>
      <c r="C308">
        <v>2077229.6745458087</v>
      </c>
    </row>
    <row r="309" spans="2:3" outlineLevel="1" x14ac:dyDescent="0.3">
      <c r="B309">
        <v>176</v>
      </c>
      <c r="C309">
        <v>1618484.382627137</v>
      </c>
    </row>
    <row r="310" spans="2:3" outlineLevel="1" x14ac:dyDescent="0.3">
      <c r="B310">
        <v>177</v>
      </c>
      <c r="C310">
        <v>2006302.5454402473</v>
      </c>
    </row>
    <row r="311" spans="2:3" outlineLevel="1" x14ac:dyDescent="0.3">
      <c r="B311">
        <v>178</v>
      </c>
      <c r="C311">
        <v>1699388.5145717391</v>
      </c>
    </row>
    <row r="312" spans="2:3" outlineLevel="1" x14ac:dyDescent="0.3">
      <c r="B312">
        <v>179</v>
      </c>
      <c r="C312">
        <v>1818175.0658973034</v>
      </c>
    </row>
    <row r="313" spans="2:3" outlineLevel="1" x14ac:dyDescent="0.3">
      <c r="B313">
        <v>180</v>
      </c>
      <c r="C313">
        <v>2257399.7309910771</v>
      </c>
    </row>
    <row r="314" spans="2:3" outlineLevel="1" x14ac:dyDescent="0.3">
      <c r="B314">
        <v>181</v>
      </c>
      <c r="C314">
        <v>2351205.5661785905</v>
      </c>
    </row>
    <row r="315" spans="2:3" outlineLevel="1" x14ac:dyDescent="0.3">
      <c r="B315">
        <v>182</v>
      </c>
      <c r="C315">
        <v>2132354.4961625747</v>
      </c>
    </row>
    <row r="316" spans="2:3" outlineLevel="1" x14ac:dyDescent="0.3">
      <c r="B316">
        <v>183</v>
      </c>
      <c r="C316">
        <v>2000863.0707875679</v>
      </c>
    </row>
    <row r="317" spans="2:3" outlineLevel="1" x14ac:dyDescent="0.3">
      <c r="B317">
        <v>184</v>
      </c>
      <c r="C317">
        <v>1869204.5542396905</v>
      </c>
    </row>
    <row r="318" spans="2:3" outlineLevel="1" x14ac:dyDescent="0.3">
      <c r="B318">
        <v>185</v>
      </c>
      <c r="C318">
        <v>1840750.1293677881</v>
      </c>
    </row>
    <row r="319" spans="2:3" outlineLevel="1" x14ac:dyDescent="0.3">
      <c r="B319">
        <v>186</v>
      </c>
      <c r="C319">
        <v>1832640.6239055903</v>
      </c>
    </row>
    <row r="320" spans="2:3" outlineLevel="1" x14ac:dyDescent="0.3">
      <c r="B320">
        <v>187</v>
      </c>
      <c r="C320">
        <v>2085560.0695878086</v>
      </c>
    </row>
    <row r="321" spans="2:3" outlineLevel="1" x14ac:dyDescent="0.3">
      <c r="B321">
        <v>188</v>
      </c>
      <c r="C321">
        <v>1925826.1183392601</v>
      </c>
    </row>
    <row r="322" spans="2:3" outlineLevel="1" x14ac:dyDescent="0.3">
      <c r="B322">
        <v>189</v>
      </c>
      <c r="C322">
        <v>1744862.7934048411</v>
      </c>
    </row>
    <row r="323" spans="2:3" outlineLevel="1" x14ac:dyDescent="0.3">
      <c r="B323">
        <v>190</v>
      </c>
      <c r="C323">
        <v>2356051.7256913027</v>
      </c>
    </row>
    <row r="324" spans="2:3" outlineLevel="1" x14ac:dyDescent="0.3">
      <c r="B324">
        <v>191</v>
      </c>
      <c r="C324">
        <v>1703091.9133426487</v>
      </c>
    </row>
    <row r="325" spans="2:3" outlineLevel="1" x14ac:dyDescent="0.3">
      <c r="B325">
        <v>192</v>
      </c>
      <c r="C325">
        <v>2049861.4030445316</v>
      </c>
    </row>
    <row r="326" spans="2:3" outlineLevel="1" x14ac:dyDescent="0.3">
      <c r="B326">
        <v>193</v>
      </c>
      <c r="C326">
        <v>1762593.9628942686</v>
      </c>
    </row>
    <row r="327" spans="2:3" outlineLevel="1" x14ac:dyDescent="0.3">
      <c r="B327">
        <v>194</v>
      </c>
      <c r="C327">
        <v>1881755.3235701472</v>
      </c>
    </row>
    <row r="328" spans="2:3" outlineLevel="1" x14ac:dyDescent="0.3">
      <c r="B328">
        <v>195</v>
      </c>
      <c r="C328">
        <v>1882161.756657298</v>
      </c>
    </row>
    <row r="329" spans="2:3" outlineLevel="1" x14ac:dyDescent="0.3">
      <c r="B329">
        <v>196</v>
      </c>
      <c r="C329">
        <v>1954907.9379770234</v>
      </c>
    </row>
    <row r="330" spans="2:3" outlineLevel="1" x14ac:dyDescent="0.3">
      <c r="B330">
        <v>197</v>
      </c>
      <c r="C330">
        <v>1917391.9890865304</v>
      </c>
    </row>
    <row r="331" spans="2:3" outlineLevel="1" x14ac:dyDescent="0.3">
      <c r="B331">
        <v>198</v>
      </c>
      <c r="C331">
        <v>2224501.8153359727</v>
      </c>
    </row>
    <row r="332" spans="2:3" outlineLevel="1" x14ac:dyDescent="0.3">
      <c r="B332">
        <v>199</v>
      </c>
      <c r="C332">
        <v>1814850.3680040347</v>
      </c>
    </row>
    <row r="333" spans="2:3" outlineLevel="1" x14ac:dyDescent="0.3">
      <c r="B333">
        <v>200</v>
      </c>
      <c r="C333">
        <v>1854223.4504230281</v>
      </c>
    </row>
    <row r="334" spans="2:3" outlineLevel="1" x14ac:dyDescent="0.3">
      <c r="B334">
        <v>201</v>
      </c>
      <c r="C334">
        <v>1833930.5851556794</v>
      </c>
    </row>
    <row r="335" spans="2:3" outlineLevel="1" x14ac:dyDescent="0.3">
      <c r="B335">
        <v>202</v>
      </c>
      <c r="C335">
        <v>1813034.5721725237</v>
      </c>
    </row>
    <row r="336" spans="2:3" outlineLevel="1" x14ac:dyDescent="0.3">
      <c r="B336">
        <v>203</v>
      </c>
      <c r="C336">
        <v>2147183.0814299146</v>
      </c>
    </row>
    <row r="337" spans="2:3" outlineLevel="1" x14ac:dyDescent="0.3">
      <c r="B337">
        <v>204</v>
      </c>
      <c r="C337">
        <v>1992809.8375217181</v>
      </c>
    </row>
    <row r="338" spans="2:3" outlineLevel="1" x14ac:dyDescent="0.3">
      <c r="B338">
        <v>205</v>
      </c>
      <c r="C338">
        <v>1969761.3864272253</v>
      </c>
    </row>
    <row r="339" spans="2:3" outlineLevel="1" x14ac:dyDescent="0.3">
      <c r="B339">
        <v>206</v>
      </c>
      <c r="C339">
        <v>2000714.8180248928</v>
      </c>
    </row>
    <row r="340" spans="2:3" outlineLevel="1" x14ac:dyDescent="0.3">
      <c r="B340">
        <v>207</v>
      </c>
      <c r="C340">
        <v>2052151.3309889946</v>
      </c>
    </row>
    <row r="341" spans="2:3" outlineLevel="1" x14ac:dyDescent="0.3">
      <c r="B341">
        <v>208</v>
      </c>
      <c r="C341">
        <v>2222378.1121879001</v>
      </c>
    </row>
    <row r="342" spans="2:3" outlineLevel="1" x14ac:dyDescent="0.3">
      <c r="B342">
        <v>209</v>
      </c>
      <c r="C342">
        <v>1720623.3939751866</v>
      </c>
    </row>
    <row r="343" spans="2:3" outlineLevel="1" x14ac:dyDescent="0.3">
      <c r="B343">
        <v>210</v>
      </c>
      <c r="C343">
        <v>1951685.3457577995</v>
      </c>
    </row>
    <row r="344" spans="2:3" outlineLevel="1" x14ac:dyDescent="0.3">
      <c r="B344">
        <v>211</v>
      </c>
      <c r="C344">
        <v>1999782.4747964756</v>
      </c>
    </row>
    <row r="345" spans="2:3" outlineLevel="1" x14ac:dyDescent="0.3">
      <c r="B345">
        <v>212</v>
      </c>
      <c r="C345">
        <v>1963590.2848629076</v>
      </c>
    </row>
    <row r="346" spans="2:3" outlineLevel="1" x14ac:dyDescent="0.3">
      <c r="B346">
        <v>213</v>
      </c>
      <c r="C346">
        <v>1892429.0079898902</v>
      </c>
    </row>
    <row r="347" spans="2:3" outlineLevel="1" x14ac:dyDescent="0.3">
      <c r="B347">
        <v>214</v>
      </c>
      <c r="C347">
        <v>2247229.5445048143</v>
      </c>
    </row>
    <row r="348" spans="2:3" outlineLevel="1" x14ac:dyDescent="0.3">
      <c r="B348">
        <v>215</v>
      </c>
      <c r="C348">
        <v>1936390.0648060935</v>
      </c>
    </row>
    <row r="349" spans="2:3" outlineLevel="1" x14ac:dyDescent="0.3">
      <c r="B349">
        <v>216</v>
      </c>
      <c r="C349">
        <v>2059199.7937383337</v>
      </c>
    </row>
    <row r="350" spans="2:3" outlineLevel="1" x14ac:dyDescent="0.3">
      <c r="B350">
        <v>217</v>
      </c>
      <c r="C350">
        <v>1792598.9428605107</v>
      </c>
    </row>
    <row r="351" spans="2:3" outlineLevel="1" x14ac:dyDescent="0.3">
      <c r="B351">
        <v>218</v>
      </c>
      <c r="C351">
        <v>2033820.4676676039</v>
      </c>
    </row>
    <row r="352" spans="2:3" outlineLevel="1" x14ac:dyDescent="0.3">
      <c r="B352">
        <v>219</v>
      </c>
      <c r="C352">
        <v>1719769.3244366152</v>
      </c>
    </row>
    <row r="353" spans="2:3" outlineLevel="1" x14ac:dyDescent="0.3">
      <c r="B353">
        <v>220</v>
      </c>
      <c r="C353">
        <v>1776820.2532515982</v>
      </c>
    </row>
    <row r="354" spans="2:3" outlineLevel="1" x14ac:dyDescent="0.3">
      <c r="B354">
        <v>221</v>
      </c>
      <c r="C354">
        <v>2049778.1475323581</v>
      </c>
    </row>
    <row r="355" spans="2:3" outlineLevel="1" x14ac:dyDescent="0.3">
      <c r="B355">
        <v>222</v>
      </c>
      <c r="C355">
        <v>1914619.3855977303</v>
      </c>
    </row>
    <row r="356" spans="2:3" outlineLevel="1" x14ac:dyDescent="0.3">
      <c r="B356">
        <v>223</v>
      </c>
      <c r="C356">
        <v>2038202.7880066196</v>
      </c>
    </row>
    <row r="357" spans="2:3" outlineLevel="1" x14ac:dyDescent="0.3">
      <c r="B357">
        <v>224</v>
      </c>
      <c r="C357">
        <v>1690182.0412892369</v>
      </c>
    </row>
    <row r="358" spans="2:3" outlineLevel="1" x14ac:dyDescent="0.3">
      <c r="B358">
        <v>225</v>
      </c>
      <c r="C358">
        <v>2175153.1107296315</v>
      </c>
    </row>
    <row r="359" spans="2:3" outlineLevel="1" x14ac:dyDescent="0.3">
      <c r="B359">
        <v>226</v>
      </c>
      <c r="C359">
        <v>2048502.175925364</v>
      </c>
    </row>
    <row r="360" spans="2:3" outlineLevel="1" x14ac:dyDescent="0.3">
      <c r="B360">
        <v>227</v>
      </c>
      <c r="C360">
        <v>2024811.8000454202</v>
      </c>
    </row>
    <row r="361" spans="2:3" outlineLevel="1" x14ac:dyDescent="0.3">
      <c r="B361">
        <v>228</v>
      </c>
      <c r="C361">
        <v>2125999.906480107</v>
      </c>
    </row>
    <row r="362" spans="2:3" outlineLevel="1" x14ac:dyDescent="0.3">
      <c r="B362">
        <v>229</v>
      </c>
      <c r="C362">
        <v>1849563.6575586796</v>
      </c>
    </row>
    <row r="363" spans="2:3" outlineLevel="1" x14ac:dyDescent="0.3">
      <c r="B363">
        <v>230</v>
      </c>
      <c r="C363">
        <v>1730416.1284208465</v>
      </c>
    </row>
    <row r="364" spans="2:3" outlineLevel="1" x14ac:dyDescent="0.3">
      <c r="B364">
        <v>231</v>
      </c>
      <c r="C364">
        <v>2004373.6761882338</v>
      </c>
    </row>
    <row r="365" spans="2:3" outlineLevel="1" x14ac:dyDescent="0.3">
      <c r="B365">
        <v>232</v>
      </c>
      <c r="C365">
        <v>1843930.4624191758</v>
      </c>
    </row>
    <row r="366" spans="2:3" outlineLevel="1" x14ac:dyDescent="0.3">
      <c r="B366">
        <v>233</v>
      </c>
      <c r="C366">
        <v>1990411.9944436601</v>
      </c>
    </row>
    <row r="367" spans="2:3" outlineLevel="1" x14ac:dyDescent="0.3">
      <c r="B367">
        <v>234</v>
      </c>
      <c r="C367">
        <v>1870855.8240010154</v>
      </c>
    </row>
    <row r="368" spans="2:3" outlineLevel="1" x14ac:dyDescent="0.3">
      <c r="B368">
        <v>235</v>
      </c>
      <c r="C368">
        <v>2016905.6906230804</v>
      </c>
    </row>
    <row r="369" spans="2:3" outlineLevel="1" x14ac:dyDescent="0.3">
      <c r="B369">
        <v>236</v>
      </c>
      <c r="C369">
        <v>2021974.7453935477</v>
      </c>
    </row>
    <row r="370" spans="2:3" outlineLevel="1" x14ac:dyDescent="0.3">
      <c r="B370">
        <v>237</v>
      </c>
      <c r="C370">
        <v>1840644.4413270364</v>
      </c>
    </row>
    <row r="371" spans="2:3" outlineLevel="1" x14ac:dyDescent="0.3">
      <c r="B371">
        <v>238</v>
      </c>
      <c r="C371">
        <v>1827043.03503129</v>
      </c>
    </row>
    <row r="372" spans="2:3" outlineLevel="1" x14ac:dyDescent="0.3">
      <c r="B372">
        <v>239</v>
      </c>
      <c r="C372">
        <v>1846739.0269581969</v>
      </c>
    </row>
    <row r="373" spans="2:3" outlineLevel="1" x14ac:dyDescent="0.3">
      <c r="B373">
        <v>240</v>
      </c>
      <c r="C373">
        <v>2195811.5410944833</v>
      </c>
    </row>
    <row r="374" spans="2:3" outlineLevel="1" x14ac:dyDescent="0.3">
      <c r="B374">
        <v>241</v>
      </c>
      <c r="C374">
        <v>2036174.5031172191</v>
      </c>
    </row>
    <row r="375" spans="2:3" outlineLevel="1" x14ac:dyDescent="0.3">
      <c r="B375">
        <v>242</v>
      </c>
      <c r="C375">
        <v>1848231.1724581502</v>
      </c>
    </row>
    <row r="376" spans="2:3" outlineLevel="1" x14ac:dyDescent="0.3">
      <c r="B376">
        <v>243</v>
      </c>
      <c r="C376">
        <v>2083036.7545459368</v>
      </c>
    </row>
    <row r="377" spans="2:3" outlineLevel="1" x14ac:dyDescent="0.3">
      <c r="B377">
        <v>244</v>
      </c>
      <c r="C377">
        <v>1993135.38735734</v>
      </c>
    </row>
    <row r="378" spans="2:3" outlineLevel="1" x14ac:dyDescent="0.3">
      <c r="B378">
        <v>245</v>
      </c>
      <c r="C378">
        <v>1752400.6367739993</v>
      </c>
    </row>
    <row r="379" spans="2:3" outlineLevel="1" x14ac:dyDescent="0.3">
      <c r="B379">
        <v>246</v>
      </c>
      <c r="C379">
        <v>1825648.9423301294</v>
      </c>
    </row>
    <row r="380" spans="2:3" outlineLevel="1" x14ac:dyDescent="0.3">
      <c r="B380">
        <v>247</v>
      </c>
      <c r="C380">
        <v>1771217.3083382342</v>
      </c>
    </row>
    <row r="381" spans="2:3" outlineLevel="1" x14ac:dyDescent="0.3">
      <c r="B381">
        <v>248</v>
      </c>
      <c r="C381">
        <v>1786337.5138968767</v>
      </c>
    </row>
    <row r="382" spans="2:3" outlineLevel="1" x14ac:dyDescent="0.3">
      <c r="B382">
        <v>249</v>
      </c>
      <c r="C382">
        <v>2314481.3137369282</v>
      </c>
    </row>
    <row r="383" spans="2:3" outlineLevel="1" x14ac:dyDescent="0.3">
      <c r="B383">
        <v>250</v>
      </c>
      <c r="C383">
        <v>2132718.9832773283</v>
      </c>
    </row>
    <row r="384" spans="2:3" outlineLevel="1" x14ac:dyDescent="0.3">
      <c r="B384">
        <v>251</v>
      </c>
      <c r="C384">
        <v>1710538.8730203956</v>
      </c>
    </row>
    <row r="385" spans="2:3" outlineLevel="1" x14ac:dyDescent="0.3">
      <c r="B385">
        <v>252</v>
      </c>
      <c r="C385">
        <v>2265783.3479637876</v>
      </c>
    </row>
    <row r="386" spans="2:3" outlineLevel="1" x14ac:dyDescent="0.3">
      <c r="B386">
        <v>253</v>
      </c>
      <c r="C386">
        <v>1809255.6546255385</v>
      </c>
    </row>
    <row r="387" spans="2:3" outlineLevel="1" x14ac:dyDescent="0.3">
      <c r="B387">
        <v>254</v>
      </c>
      <c r="C387">
        <v>2001482.5254973592</v>
      </c>
    </row>
    <row r="388" spans="2:3" outlineLevel="1" x14ac:dyDescent="0.3">
      <c r="B388">
        <v>255</v>
      </c>
      <c r="C388">
        <v>1774521.9037470687</v>
      </c>
    </row>
    <row r="389" spans="2:3" outlineLevel="1" x14ac:dyDescent="0.3">
      <c r="B389">
        <v>256</v>
      </c>
      <c r="C389">
        <v>1918399.9674146634</v>
      </c>
    </row>
    <row r="390" spans="2:3" outlineLevel="1" x14ac:dyDescent="0.3">
      <c r="B390">
        <v>257</v>
      </c>
      <c r="C390">
        <v>2160914.3465154832</v>
      </c>
    </row>
    <row r="391" spans="2:3" outlineLevel="1" x14ac:dyDescent="0.3">
      <c r="B391">
        <v>258</v>
      </c>
      <c r="C391">
        <v>1812344.7431879423</v>
      </c>
    </row>
    <row r="392" spans="2:3" outlineLevel="1" x14ac:dyDescent="0.3">
      <c r="B392">
        <v>259</v>
      </c>
      <c r="C392">
        <v>1846990.7890694884</v>
      </c>
    </row>
    <row r="393" spans="2:3" outlineLevel="1" x14ac:dyDescent="0.3">
      <c r="B393">
        <v>260</v>
      </c>
      <c r="C393">
        <v>1863698.8226083959</v>
      </c>
    </row>
    <row r="394" spans="2:3" outlineLevel="1" x14ac:dyDescent="0.3">
      <c r="B394">
        <v>261</v>
      </c>
      <c r="C394">
        <v>1995951.4612719414</v>
      </c>
    </row>
    <row r="395" spans="2:3" outlineLevel="1" x14ac:dyDescent="0.3">
      <c r="B395">
        <v>262</v>
      </c>
      <c r="C395">
        <v>2041751.7092558579</v>
      </c>
    </row>
    <row r="396" spans="2:3" outlineLevel="1" x14ac:dyDescent="0.3">
      <c r="B396">
        <v>263</v>
      </c>
      <c r="C396">
        <v>1998724.5720942644</v>
      </c>
    </row>
    <row r="397" spans="2:3" outlineLevel="1" x14ac:dyDescent="0.3">
      <c r="B397">
        <v>264</v>
      </c>
      <c r="C397">
        <v>2104417.2456645248</v>
      </c>
    </row>
    <row r="398" spans="2:3" outlineLevel="1" x14ac:dyDescent="0.3">
      <c r="B398">
        <v>265</v>
      </c>
      <c r="C398">
        <v>2124606.437602371</v>
      </c>
    </row>
    <row r="399" spans="2:3" outlineLevel="1" x14ac:dyDescent="0.3">
      <c r="B399">
        <v>266</v>
      </c>
      <c r="C399">
        <v>1934925.3847322371</v>
      </c>
    </row>
    <row r="400" spans="2:3" outlineLevel="1" x14ac:dyDescent="0.3">
      <c r="B400">
        <v>267</v>
      </c>
      <c r="C400">
        <v>1927876.1169941118</v>
      </c>
    </row>
    <row r="401" spans="2:3" outlineLevel="1" x14ac:dyDescent="0.3">
      <c r="B401">
        <v>268</v>
      </c>
      <c r="C401">
        <v>2119177.0132710449</v>
      </c>
    </row>
    <row r="402" spans="2:3" outlineLevel="1" x14ac:dyDescent="0.3">
      <c r="B402">
        <v>269</v>
      </c>
      <c r="C402">
        <v>1721680.3267768244</v>
      </c>
    </row>
    <row r="403" spans="2:3" outlineLevel="1" x14ac:dyDescent="0.3">
      <c r="B403">
        <v>270</v>
      </c>
      <c r="C403">
        <v>1764391.6433246187</v>
      </c>
    </row>
    <row r="404" spans="2:3" outlineLevel="1" x14ac:dyDescent="0.3">
      <c r="B404">
        <v>271</v>
      </c>
      <c r="C404">
        <v>2054879.4365414744</v>
      </c>
    </row>
    <row r="405" spans="2:3" outlineLevel="1" x14ac:dyDescent="0.3">
      <c r="B405">
        <v>272</v>
      </c>
      <c r="C405">
        <v>1754383.0718372893</v>
      </c>
    </row>
    <row r="406" spans="2:3" outlineLevel="1" x14ac:dyDescent="0.3">
      <c r="B406">
        <v>273</v>
      </c>
      <c r="C406">
        <v>1710120.8106263021</v>
      </c>
    </row>
    <row r="407" spans="2:3" outlineLevel="1" x14ac:dyDescent="0.3">
      <c r="B407">
        <v>274</v>
      </c>
      <c r="C407">
        <v>1992431.2923175723</v>
      </c>
    </row>
    <row r="408" spans="2:3" outlineLevel="1" x14ac:dyDescent="0.3">
      <c r="B408">
        <v>275</v>
      </c>
      <c r="C408">
        <v>1981213.769561813</v>
      </c>
    </row>
    <row r="409" spans="2:3" outlineLevel="1" x14ac:dyDescent="0.3">
      <c r="B409">
        <v>276</v>
      </c>
      <c r="C409">
        <v>1714678.9433731898</v>
      </c>
    </row>
    <row r="410" spans="2:3" outlineLevel="1" x14ac:dyDescent="0.3">
      <c r="B410">
        <v>277</v>
      </c>
      <c r="C410">
        <v>1831204.4321636742</v>
      </c>
    </row>
    <row r="411" spans="2:3" outlineLevel="1" x14ac:dyDescent="0.3">
      <c r="B411">
        <v>278</v>
      </c>
      <c r="C411">
        <v>2132818.3465818902</v>
      </c>
    </row>
    <row r="412" spans="2:3" outlineLevel="1" x14ac:dyDescent="0.3">
      <c r="B412">
        <v>279</v>
      </c>
      <c r="C412">
        <v>1999408.2065524587</v>
      </c>
    </row>
    <row r="413" spans="2:3" outlineLevel="1" x14ac:dyDescent="0.3">
      <c r="B413">
        <v>280</v>
      </c>
      <c r="C413">
        <v>2222195.0234133671</v>
      </c>
    </row>
    <row r="414" spans="2:3" outlineLevel="1" x14ac:dyDescent="0.3">
      <c r="B414">
        <v>281</v>
      </c>
      <c r="C414">
        <v>2146411.3566756751</v>
      </c>
    </row>
    <row r="415" spans="2:3" outlineLevel="1" x14ac:dyDescent="0.3">
      <c r="B415">
        <v>282</v>
      </c>
      <c r="C415">
        <v>2211819.0737965899</v>
      </c>
    </row>
    <row r="416" spans="2:3" outlineLevel="1" x14ac:dyDescent="0.3">
      <c r="B416">
        <v>283</v>
      </c>
      <c r="C416">
        <v>2167483.9913444524</v>
      </c>
    </row>
    <row r="417" spans="2:3" outlineLevel="1" x14ac:dyDescent="0.3">
      <c r="B417">
        <v>284</v>
      </c>
      <c r="C417">
        <v>1897345.8534886276</v>
      </c>
    </row>
    <row r="418" spans="2:3" outlineLevel="1" x14ac:dyDescent="0.3">
      <c r="B418">
        <v>285</v>
      </c>
      <c r="C418">
        <v>1615765.4051887472</v>
      </c>
    </row>
    <row r="419" spans="2:3" outlineLevel="1" x14ac:dyDescent="0.3">
      <c r="B419">
        <v>286</v>
      </c>
      <c r="C419">
        <v>1937200.2004011991</v>
      </c>
    </row>
    <row r="420" spans="2:3" outlineLevel="1" x14ac:dyDescent="0.3">
      <c r="B420">
        <v>287</v>
      </c>
      <c r="C420">
        <v>1820551.7881423105</v>
      </c>
    </row>
    <row r="421" spans="2:3" outlineLevel="1" x14ac:dyDescent="0.3">
      <c r="B421">
        <v>288</v>
      </c>
      <c r="C421">
        <v>2331541.5745952236</v>
      </c>
    </row>
    <row r="422" spans="2:3" outlineLevel="1" x14ac:dyDescent="0.3">
      <c r="B422">
        <v>289</v>
      </c>
      <c r="C422">
        <v>1880289.8885506676</v>
      </c>
    </row>
    <row r="423" spans="2:3" outlineLevel="1" x14ac:dyDescent="0.3">
      <c r="B423">
        <v>290</v>
      </c>
      <c r="C423">
        <v>2078557.5221191568</v>
      </c>
    </row>
    <row r="424" spans="2:3" outlineLevel="1" x14ac:dyDescent="0.3">
      <c r="B424">
        <v>291</v>
      </c>
      <c r="C424">
        <v>2107932.025911971</v>
      </c>
    </row>
    <row r="425" spans="2:3" outlineLevel="1" x14ac:dyDescent="0.3">
      <c r="B425">
        <v>292</v>
      </c>
      <c r="C425">
        <v>1840140.1965944581</v>
      </c>
    </row>
    <row r="426" spans="2:3" outlineLevel="1" x14ac:dyDescent="0.3">
      <c r="B426">
        <v>293</v>
      </c>
      <c r="C426">
        <v>1660668.0359387386</v>
      </c>
    </row>
    <row r="427" spans="2:3" outlineLevel="1" x14ac:dyDescent="0.3">
      <c r="B427">
        <v>294</v>
      </c>
      <c r="C427">
        <v>1951587.5381179701</v>
      </c>
    </row>
    <row r="428" spans="2:3" outlineLevel="1" x14ac:dyDescent="0.3">
      <c r="B428">
        <v>295</v>
      </c>
      <c r="C428">
        <v>1915373.2732685481</v>
      </c>
    </row>
    <row r="429" spans="2:3" outlineLevel="1" x14ac:dyDescent="0.3">
      <c r="B429">
        <v>296</v>
      </c>
      <c r="C429">
        <v>1896900.7697145103</v>
      </c>
    </row>
    <row r="430" spans="2:3" outlineLevel="1" x14ac:dyDescent="0.3">
      <c r="B430">
        <v>297</v>
      </c>
      <c r="C430">
        <v>2151421.0112207495</v>
      </c>
    </row>
    <row r="431" spans="2:3" outlineLevel="1" x14ac:dyDescent="0.3">
      <c r="B431">
        <v>298</v>
      </c>
      <c r="C431">
        <v>1801730.5132068696</v>
      </c>
    </row>
    <row r="432" spans="2:3" outlineLevel="1" x14ac:dyDescent="0.3">
      <c r="B432">
        <v>299</v>
      </c>
      <c r="C432">
        <v>2184940.7863072529</v>
      </c>
    </row>
    <row r="433" spans="2:3" outlineLevel="1" x14ac:dyDescent="0.3">
      <c r="B433">
        <v>300</v>
      </c>
      <c r="C433">
        <v>2248756.0172493435</v>
      </c>
    </row>
    <row r="434" spans="2:3" outlineLevel="1" x14ac:dyDescent="0.3">
      <c r="B434">
        <v>301</v>
      </c>
      <c r="C434">
        <v>1808353.5660041205</v>
      </c>
    </row>
    <row r="435" spans="2:3" outlineLevel="1" x14ac:dyDescent="0.3">
      <c r="B435">
        <v>302</v>
      </c>
      <c r="C435">
        <v>2136304.4232159778</v>
      </c>
    </row>
    <row r="436" spans="2:3" outlineLevel="1" x14ac:dyDescent="0.3">
      <c r="B436">
        <v>303</v>
      </c>
      <c r="C436">
        <v>2101580.4890522975</v>
      </c>
    </row>
    <row r="437" spans="2:3" outlineLevel="1" x14ac:dyDescent="0.3">
      <c r="B437">
        <v>304</v>
      </c>
      <c r="C437">
        <v>1940995.7593172756</v>
      </c>
    </row>
    <row r="438" spans="2:3" outlineLevel="1" x14ac:dyDescent="0.3">
      <c r="B438">
        <v>305</v>
      </c>
      <c r="C438">
        <v>1990025.5435089841</v>
      </c>
    </row>
    <row r="439" spans="2:3" outlineLevel="1" x14ac:dyDescent="0.3">
      <c r="B439">
        <v>306</v>
      </c>
      <c r="C439">
        <v>1669339.1671721048</v>
      </c>
    </row>
    <row r="440" spans="2:3" outlineLevel="1" x14ac:dyDescent="0.3">
      <c r="B440">
        <v>307</v>
      </c>
      <c r="C440">
        <v>1785342.254142229</v>
      </c>
    </row>
    <row r="441" spans="2:3" outlineLevel="1" x14ac:dyDescent="0.3">
      <c r="B441">
        <v>308</v>
      </c>
      <c r="C441">
        <v>1854695.1242545026</v>
      </c>
    </row>
    <row r="442" spans="2:3" outlineLevel="1" x14ac:dyDescent="0.3">
      <c r="B442">
        <v>309</v>
      </c>
      <c r="C442">
        <v>2103031.3468848965</v>
      </c>
    </row>
    <row r="443" spans="2:3" outlineLevel="1" x14ac:dyDescent="0.3">
      <c r="B443">
        <v>310</v>
      </c>
      <c r="C443">
        <v>2029072.5980542519</v>
      </c>
    </row>
    <row r="444" spans="2:3" outlineLevel="1" x14ac:dyDescent="0.3">
      <c r="B444">
        <v>311</v>
      </c>
      <c r="C444">
        <v>1883870.5976105593</v>
      </c>
    </row>
    <row r="445" spans="2:3" outlineLevel="1" x14ac:dyDescent="0.3">
      <c r="B445">
        <v>312</v>
      </c>
      <c r="C445">
        <v>1801786.0574962569</v>
      </c>
    </row>
    <row r="446" spans="2:3" outlineLevel="1" x14ac:dyDescent="0.3">
      <c r="B446">
        <v>313</v>
      </c>
      <c r="C446">
        <v>2022445.0953444201</v>
      </c>
    </row>
    <row r="447" spans="2:3" outlineLevel="1" x14ac:dyDescent="0.3">
      <c r="B447">
        <v>314</v>
      </c>
      <c r="C447">
        <v>1986381.2715390949</v>
      </c>
    </row>
    <row r="448" spans="2:3" outlineLevel="1" x14ac:dyDescent="0.3">
      <c r="B448">
        <v>315</v>
      </c>
      <c r="C448">
        <v>1897310.1315702051</v>
      </c>
    </row>
    <row r="449" spans="2:3" outlineLevel="1" x14ac:dyDescent="0.3">
      <c r="B449">
        <v>316</v>
      </c>
      <c r="C449">
        <v>1975605.432917868</v>
      </c>
    </row>
    <row r="450" spans="2:3" outlineLevel="1" x14ac:dyDescent="0.3">
      <c r="B450">
        <v>317</v>
      </c>
      <c r="C450">
        <v>1871440.9022881149</v>
      </c>
    </row>
    <row r="451" spans="2:3" outlineLevel="1" x14ac:dyDescent="0.3">
      <c r="B451">
        <v>318</v>
      </c>
      <c r="C451">
        <v>1663205.0730330769</v>
      </c>
    </row>
    <row r="452" spans="2:3" outlineLevel="1" x14ac:dyDescent="0.3">
      <c r="B452">
        <v>319</v>
      </c>
      <c r="C452">
        <v>1881223.2048832867</v>
      </c>
    </row>
    <row r="453" spans="2:3" outlineLevel="1" x14ac:dyDescent="0.3">
      <c r="B453">
        <v>320</v>
      </c>
      <c r="C453">
        <v>2139648.0454616258</v>
      </c>
    </row>
    <row r="454" spans="2:3" outlineLevel="1" x14ac:dyDescent="0.3">
      <c r="B454">
        <v>321</v>
      </c>
      <c r="C454">
        <v>1757390.0518134462</v>
      </c>
    </row>
    <row r="455" spans="2:3" outlineLevel="1" x14ac:dyDescent="0.3">
      <c r="B455">
        <v>322</v>
      </c>
      <c r="C455">
        <v>1829401.9924738253</v>
      </c>
    </row>
    <row r="456" spans="2:3" outlineLevel="1" x14ac:dyDescent="0.3">
      <c r="B456">
        <v>323</v>
      </c>
      <c r="C456">
        <v>1975186.4630428532</v>
      </c>
    </row>
    <row r="457" spans="2:3" outlineLevel="1" x14ac:dyDescent="0.3">
      <c r="B457">
        <v>324</v>
      </c>
      <c r="C457">
        <v>2143981.9587374274</v>
      </c>
    </row>
    <row r="458" spans="2:3" outlineLevel="1" x14ac:dyDescent="0.3">
      <c r="B458">
        <v>325</v>
      </c>
      <c r="C458">
        <v>1754334.0696902168</v>
      </c>
    </row>
    <row r="459" spans="2:3" outlineLevel="1" x14ac:dyDescent="0.3">
      <c r="B459">
        <v>326</v>
      </c>
      <c r="C459">
        <v>2084006.6568600186</v>
      </c>
    </row>
    <row r="460" spans="2:3" outlineLevel="1" x14ac:dyDescent="0.3">
      <c r="B460">
        <v>327</v>
      </c>
      <c r="C460">
        <v>2151814.9348892472</v>
      </c>
    </row>
    <row r="461" spans="2:3" outlineLevel="1" x14ac:dyDescent="0.3">
      <c r="B461">
        <v>328</v>
      </c>
      <c r="C461">
        <v>2213121.9173818254</v>
      </c>
    </row>
    <row r="462" spans="2:3" outlineLevel="1" x14ac:dyDescent="0.3">
      <c r="B462">
        <v>329</v>
      </c>
      <c r="C462">
        <v>1882459.9049707865</v>
      </c>
    </row>
    <row r="463" spans="2:3" outlineLevel="1" x14ac:dyDescent="0.3">
      <c r="B463">
        <v>330</v>
      </c>
      <c r="C463">
        <v>1938383.8379009271</v>
      </c>
    </row>
    <row r="464" spans="2:3" outlineLevel="1" x14ac:dyDescent="0.3">
      <c r="B464">
        <v>331</v>
      </c>
      <c r="C464">
        <v>2320484.1599777425</v>
      </c>
    </row>
    <row r="465" spans="2:3" outlineLevel="1" x14ac:dyDescent="0.3">
      <c r="B465">
        <v>332</v>
      </c>
      <c r="C465">
        <v>1777689.8577070567</v>
      </c>
    </row>
    <row r="466" spans="2:3" outlineLevel="1" x14ac:dyDescent="0.3">
      <c r="B466">
        <v>333</v>
      </c>
      <c r="C466">
        <v>2040252.7722632268</v>
      </c>
    </row>
    <row r="467" spans="2:3" outlineLevel="1" x14ac:dyDescent="0.3">
      <c r="B467">
        <v>334</v>
      </c>
      <c r="C467">
        <v>1984430.0411689675</v>
      </c>
    </row>
    <row r="468" spans="2:3" outlineLevel="1" x14ac:dyDescent="0.3">
      <c r="B468">
        <v>335</v>
      </c>
      <c r="C468">
        <v>2038214.3096405675</v>
      </c>
    </row>
    <row r="469" spans="2:3" outlineLevel="1" x14ac:dyDescent="0.3">
      <c r="B469">
        <v>336</v>
      </c>
      <c r="C469">
        <v>1822837.1786854281</v>
      </c>
    </row>
    <row r="470" spans="2:3" outlineLevel="1" x14ac:dyDescent="0.3">
      <c r="B470">
        <v>337</v>
      </c>
      <c r="C470">
        <v>2059470.8811312339</v>
      </c>
    </row>
    <row r="471" spans="2:3" outlineLevel="1" x14ac:dyDescent="0.3">
      <c r="B471">
        <v>338</v>
      </c>
      <c r="C471">
        <v>1766426.1530342302</v>
      </c>
    </row>
    <row r="472" spans="2:3" outlineLevel="1" x14ac:dyDescent="0.3">
      <c r="B472">
        <v>339</v>
      </c>
      <c r="C472">
        <v>2054562.0993671275</v>
      </c>
    </row>
    <row r="473" spans="2:3" outlineLevel="1" x14ac:dyDescent="0.3">
      <c r="B473">
        <v>340</v>
      </c>
      <c r="C473">
        <v>1910084.9850916627</v>
      </c>
    </row>
    <row r="474" spans="2:3" outlineLevel="1" x14ac:dyDescent="0.3">
      <c r="B474">
        <v>341</v>
      </c>
      <c r="C474">
        <v>1870064.809494915</v>
      </c>
    </row>
    <row r="475" spans="2:3" outlineLevel="1" x14ac:dyDescent="0.3">
      <c r="B475">
        <v>342</v>
      </c>
      <c r="C475">
        <v>2195590.1838912386</v>
      </c>
    </row>
    <row r="476" spans="2:3" outlineLevel="1" x14ac:dyDescent="0.3">
      <c r="B476">
        <v>343</v>
      </c>
      <c r="C476">
        <v>2016970.8373087312</v>
      </c>
    </row>
    <row r="477" spans="2:3" outlineLevel="1" x14ac:dyDescent="0.3">
      <c r="B477">
        <v>344</v>
      </c>
      <c r="C477">
        <v>1823279.0651811115</v>
      </c>
    </row>
    <row r="478" spans="2:3" outlineLevel="1" x14ac:dyDescent="0.3">
      <c r="B478">
        <v>345</v>
      </c>
      <c r="C478">
        <v>1882878.2073345017</v>
      </c>
    </row>
    <row r="479" spans="2:3" outlineLevel="1" x14ac:dyDescent="0.3">
      <c r="B479">
        <v>346</v>
      </c>
      <c r="C479">
        <v>1784908.8120941981</v>
      </c>
    </row>
    <row r="480" spans="2:3" outlineLevel="1" x14ac:dyDescent="0.3">
      <c r="B480">
        <v>347</v>
      </c>
      <c r="C480">
        <v>1911560.7771526403</v>
      </c>
    </row>
    <row r="481" spans="2:3" outlineLevel="1" x14ac:dyDescent="0.3">
      <c r="B481">
        <v>348</v>
      </c>
      <c r="C481">
        <v>1799032.7828258532</v>
      </c>
    </row>
    <row r="482" spans="2:3" outlineLevel="1" x14ac:dyDescent="0.3">
      <c r="B482">
        <v>349</v>
      </c>
      <c r="C482">
        <v>2152438.9650249286</v>
      </c>
    </row>
    <row r="483" spans="2:3" outlineLevel="1" x14ac:dyDescent="0.3">
      <c r="B483">
        <v>350</v>
      </c>
      <c r="C483">
        <v>2009022.8277978513</v>
      </c>
    </row>
    <row r="484" spans="2:3" outlineLevel="1" x14ac:dyDescent="0.3">
      <c r="B484">
        <v>351</v>
      </c>
      <c r="C484">
        <v>1794208.724030368</v>
      </c>
    </row>
    <row r="485" spans="2:3" outlineLevel="1" x14ac:dyDescent="0.3">
      <c r="B485">
        <v>352</v>
      </c>
      <c r="C485">
        <v>1808471.9888530783</v>
      </c>
    </row>
    <row r="486" spans="2:3" outlineLevel="1" x14ac:dyDescent="0.3">
      <c r="B486">
        <v>353</v>
      </c>
      <c r="C486">
        <v>1743267.413385899</v>
      </c>
    </row>
    <row r="487" spans="2:3" outlineLevel="1" x14ac:dyDescent="0.3">
      <c r="B487">
        <v>354</v>
      </c>
      <c r="C487">
        <v>1759981.1445737639</v>
      </c>
    </row>
    <row r="488" spans="2:3" outlineLevel="1" x14ac:dyDescent="0.3">
      <c r="B488">
        <v>355</v>
      </c>
      <c r="C488">
        <v>2105814.4706398486</v>
      </c>
    </row>
    <row r="489" spans="2:3" outlineLevel="1" x14ac:dyDescent="0.3">
      <c r="B489">
        <v>356</v>
      </c>
      <c r="C489">
        <v>1985352.4569035089</v>
      </c>
    </row>
    <row r="490" spans="2:3" outlineLevel="1" x14ac:dyDescent="0.3">
      <c r="B490">
        <v>357</v>
      </c>
      <c r="C490">
        <v>2000796.8084808511</v>
      </c>
    </row>
    <row r="491" spans="2:3" outlineLevel="1" x14ac:dyDescent="0.3">
      <c r="B491">
        <v>358</v>
      </c>
      <c r="C491">
        <v>1987948.0740582533</v>
      </c>
    </row>
    <row r="492" spans="2:3" outlineLevel="1" x14ac:dyDescent="0.3">
      <c r="B492">
        <v>359</v>
      </c>
      <c r="C492">
        <v>1984315.1463309787</v>
      </c>
    </row>
    <row r="493" spans="2:3" outlineLevel="1" x14ac:dyDescent="0.3">
      <c r="B493">
        <v>360</v>
      </c>
      <c r="C493">
        <v>1714414.2483171478</v>
      </c>
    </row>
    <row r="494" spans="2:3" outlineLevel="1" x14ac:dyDescent="0.3">
      <c r="B494">
        <v>361</v>
      </c>
      <c r="C494">
        <v>1953173.3895554366</v>
      </c>
    </row>
    <row r="495" spans="2:3" outlineLevel="1" x14ac:dyDescent="0.3">
      <c r="B495">
        <v>362</v>
      </c>
      <c r="C495">
        <v>1816977.8624511056</v>
      </c>
    </row>
    <row r="496" spans="2:3" outlineLevel="1" x14ac:dyDescent="0.3">
      <c r="B496">
        <v>363</v>
      </c>
      <c r="C496">
        <v>1847313.4575879369</v>
      </c>
    </row>
    <row r="497" spans="2:3" outlineLevel="1" x14ac:dyDescent="0.3">
      <c r="B497">
        <v>364</v>
      </c>
      <c r="C497">
        <v>1908283.0032923007</v>
      </c>
    </row>
    <row r="498" spans="2:3" outlineLevel="1" x14ac:dyDescent="0.3">
      <c r="B498">
        <v>365</v>
      </c>
      <c r="C498">
        <v>1941945.9095202296</v>
      </c>
    </row>
    <row r="499" spans="2:3" outlineLevel="1" x14ac:dyDescent="0.3">
      <c r="B499">
        <v>366</v>
      </c>
      <c r="C499">
        <v>2024612.7029412736</v>
      </c>
    </row>
    <row r="500" spans="2:3" outlineLevel="1" x14ac:dyDescent="0.3">
      <c r="B500">
        <v>367</v>
      </c>
      <c r="C500">
        <v>2105477.7350094556</v>
      </c>
    </row>
    <row r="501" spans="2:3" outlineLevel="1" x14ac:dyDescent="0.3">
      <c r="B501">
        <v>368</v>
      </c>
      <c r="C501">
        <v>1958391.5251490399</v>
      </c>
    </row>
    <row r="502" spans="2:3" outlineLevel="1" x14ac:dyDescent="0.3">
      <c r="B502">
        <v>369</v>
      </c>
      <c r="C502">
        <v>1982295.0951843406</v>
      </c>
    </row>
    <row r="503" spans="2:3" outlineLevel="1" x14ac:dyDescent="0.3">
      <c r="B503">
        <v>370</v>
      </c>
      <c r="C503">
        <v>1960958.4803668761</v>
      </c>
    </row>
    <row r="504" spans="2:3" outlineLevel="1" x14ac:dyDescent="0.3">
      <c r="B504">
        <v>371</v>
      </c>
      <c r="C504">
        <v>1982837.6858901232</v>
      </c>
    </row>
    <row r="505" spans="2:3" outlineLevel="1" x14ac:dyDescent="0.3">
      <c r="B505">
        <v>372</v>
      </c>
      <c r="C505">
        <v>2068413.3044522721</v>
      </c>
    </row>
    <row r="506" spans="2:3" outlineLevel="1" x14ac:dyDescent="0.3">
      <c r="B506">
        <v>373</v>
      </c>
      <c r="C506">
        <v>1993987.6176163654</v>
      </c>
    </row>
    <row r="507" spans="2:3" outlineLevel="1" x14ac:dyDescent="0.3">
      <c r="B507">
        <v>374</v>
      </c>
      <c r="C507">
        <v>1984080.694711565</v>
      </c>
    </row>
    <row r="508" spans="2:3" outlineLevel="1" x14ac:dyDescent="0.3">
      <c r="B508">
        <v>375</v>
      </c>
      <c r="C508">
        <v>2136656.644698475</v>
      </c>
    </row>
    <row r="509" spans="2:3" outlineLevel="1" x14ac:dyDescent="0.3">
      <c r="B509">
        <v>376</v>
      </c>
      <c r="C509">
        <v>2190100.3040083735</v>
      </c>
    </row>
    <row r="510" spans="2:3" outlineLevel="1" x14ac:dyDescent="0.3">
      <c r="B510">
        <v>377</v>
      </c>
      <c r="C510">
        <v>2222293.5190063957</v>
      </c>
    </row>
    <row r="511" spans="2:3" outlineLevel="1" x14ac:dyDescent="0.3">
      <c r="B511">
        <v>378</v>
      </c>
      <c r="C511">
        <v>2314119.6897274754</v>
      </c>
    </row>
    <row r="512" spans="2:3" outlineLevel="1" x14ac:dyDescent="0.3">
      <c r="B512">
        <v>379</v>
      </c>
      <c r="C512">
        <v>1957808.4900493755</v>
      </c>
    </row>
    <row r="513" spans="2:3" outlineLevel="1" x14ac:dyDescent="0.3">
      <c r="B513">
        <v>380</v>
      </c>
      <c r="C513">
        <v>2036226.6845768427</v>
      </c>
    </row>
    <row r="514" spans="2:3" outlineLevel="1" x14ac:dyDescent="0.3">
      <c r="B514">
        <v>381</v>
      </c>
      <c r="C514">
        <v>1900767.9781468627</v>
      </c>
    </row>
    <row r="515" spans="2:3" outlineLevel="1" x14ac:dyDescent="0.3">
      <c r="B515">
        <v>382</v>
      </c>
      <c r="C515">
        <v>1853924.7315489314</v>
      </c>
    </row>
    <row r="516" spans="2:3" outlineLevel="1" x14ac:dyDescent="0.3">
      <c r="B516">
        <v>383</v>
      </c>
      <c r="C516">
        <v>1663191.6356282579</v>
      </c>
    </row>
    <row r="517" spans="2:3" outlineLevel="1" x14ac:dyDescent="0.3">
      <c r="B517">
        <v>384</v>
      </c>
      <c r="C517">
        <v>2118957.5977380341</v>
      </c>
    </row>
    <row r="518" spans="2:3" outlineLevel="1" x14ac:dyDescent="0.3">
      <c r="B518">
        <v>385</v>
      </c>
      <c r="C518">
        <v>1863366.8003544316</v>
      </c>
    </row>
    <row r="519" spans="2:3" outlineLevel="1" x14ac:dyDescent="0.3">
      <c r="B519">
        <v>386</v>
      </c>
      <c r="C519">
        <v>1992947.6155891633</v>
      </c>
    </row>
    <row r="520" spans="2:3" outlineLevel="1" x14ac:dyDescent="0.3">
      <c r="B520">
        <v>387</v>
      </c>
      <c r="C520">
        <v>1857939.1660227326</v>
      </c>
    </row>
    <row r="521" spans="2:3" outlineLevel="1" x14ac:dyDescent="0.3">
      <c r="B521">
        <v>388</v>
      </c>
      <c r="C521">
        <v>1974958.892506734</v>
      </c>
    </row>
    <row r="522" spans="2:3" outlineLevel="1" x14ac:dyDescent="0.3">
      <c r="B522">
        <v>389</v>
      </c>
      <c r="C522">
        <v>1930093.8865033323</v>
      </c>
    </row>
    <row r="523" spans="2:3" outlineLevel="1" x14ac:dyDescent="0.3">
      <c r="B523">
        <v>390</v>
      </c>
      <c r="C523">
        <v>1717481.9400169533</v>
      </c>
    </row>
    <row r="524" spans="2:3" outlineLevel="1" x14ac:dyDescent="0.3">
      <c r="B524">
        <v>391</v>
      </c>
      <c r="C524">
        <v>1891774.1405761801</v>
      </c>
    </row>
    <row r="525" spans="2:3" outlineLevel="1" x14ac:dyDescent="0.3">
      <c r="B525">
        <v>392</v>
      </c>
      <c r="C525">
        <v>2100518.416351283</v>
      </c>
    </row>
    <row r="526" spans="2:3" outlineLevel="1" x14ac:dyDescent="0.3">
      <c r="B526">
        <v>393</v>
      </c>
      <c r="C526">
        <v>2221818.7162671913</v>
      </c>
    </row>
    <row r="527" spans="2:3" outlineLevel="1" x14ac:dyDescent="0.3">
      <c r="B527">
        <v>394</v>
      </c>
      <c r="C527">
        <v>1967062.480359769</v>
      </c>
    </row>
    <row r="528" spans="2:3" outlineLevel="1" x14ac:dyDescent="0.3">
      <c r="B528">
        <v>395</v>
      </c>
      <c r="C528">
        <v>2137338.0181381674</v>
      </c>
    </row>
    <row r="529" spans="2:3" outlineLevel="1" x14ac:dyDescent="0.3">
      <c r="B529">
        <v>396</v>
      </c>
      <c r="C529">
        <v>1718796.6026837293</v>
      </c>
    </row>
    <row r="530" spans="2:3" outlineLevel="1" x14ac:dyDescent="0.3">
      <c r="B530">
        <v>397</v>
      </c>
      <c r="C530">
        <v>2115552.1932733683</v>
      </c>
    </row>
    <row r="531" spans="2:3" outlineLevel="1" x14ac:dyDescent="0.3">
      <c r="B531">
        <v>398</v>
      </c>
      <c r="C531">
        <v>1855704.3595520456</v>
      </c>
    </row>
    <row r="532" spans="2:3" outlineLevel="1" x14ac:dyDescent="0.3">
      <c r="B532">
        <v>399</v>
      </c>
      <c r="C532">
        <v>1985396.8656640819</v>
      </c>
    </row>
    <row r="533" spans="2:3" outlineLevel="1" x14ac:dyDescent="0.3">
      <c r="B533">
        <v>400</v>
      </c>
      <c r="C533">
        <v>1790784.5182588792</v>
      </c>
    </row>
    <row r="534" spans="2:3" outlineLevel="1" x14ac:dyDescent="0.3">
      <c r="B534">
        <v>401</v>
      </c>
      <c r="C534">
        <v>1827272.9060939786</v>
      </c>
    </row>
    <row r="535" spans="2:3" outlineLevel="1" x14ac:dyDescent="0.3">
      <c r="B535">
        <v>402</v>
      </c>
      <c r="C535">
        <v>1943777.6889853333</v>
      </c>
    </row>
    <row r="536" spans="2:3" outlineLevel="1" x14ac:dyDescent="0.3">
      <c r="B536">
        <v>403</v>
      </c>
      <c r="C536">
        <v>1889742.5995986629</v>
      </c>
    </row>
    <row r="537" spans="2:3" outlineLevel="1" x14ac:dyDescent="0.3">
      <c r="B537">
        <v>404</v>
      </c>
      <c r="C537">
        <v>2117257.5787388613</v>
      </c>
    </row>
    <row r="538" spans="2:3" outlineLevel="1" x14ac:dyDescent="0.3">
      <c r="B538">
        <v>405</v>
      </c>
      <c r="C538">
        <v>2305613.4214138635</v>
      </c>
    </row>
    <row r="539" spans="2:3" outlineLevel="1" x14ac:dyDescent="0.3">
      <c r="B539">
        <v>406</v>
      </c>
      <c r="C539">
        <v>2108795.5580702676</v>
      </c>
    </row>
    <row r="540" spans="2:3" outlineLevel="1" x14ac:dyDescent="0.3">
      <c r="B540">
        <v>407</v>
      </c>
      <c r="C540">
        <v>1974294.2122665783</v>
      </c>
    </row>
    <row r="541" spans="2:3" outlineLevel="1" x14ac:dyDescent="0.3">
      <c r="B541">
        <v>408</v>
      </c>
      <c r="C541">
        <v>2049825.1712947122</v>
      </c>
    </row>
    <row r="542" spans="2:3" outlineLevel="1" x14ac:dyDescent="0.3">
      <c r="B542">
        <v>409</v>
      </c>
      <c r="C542">
        <v>1896971.6905527101</v>
      </c>
    </row>
    <row r="543" spans="2:3" outlineLevel="1" x14ac:dyDescent="0.3">
      <c r="B543">
        <v>410</v>
      </c>
      <c r="C543">
        <v>1791659.0114306475</v>
      </c>
    </row>
    <row r="544" spans="2:3" outlineLevel="1" x14ac:dyDescent="0.3">
      <c r="B544">
        <v>411</v>
      </c>
      <c r="C544">
        <v>1900854.0587819917</v>
      </c>
    </row>
    <row r="545" spans="2:3" outlineLevel="1" x14ac:dyDescent="0.3">
      <c r="B545">
        <v>412</v>
      </c>
      <c r="C545">
        <v>2137641.9633822925</v>
      </c>
    </row>
    <row r="546" spans="2:3" outlineLevel="1" x14ac:dyDescent="0.3">
      <c r="B546">
        <v>413</v>
      </c>
      <c r="C546">
        <v>1915224.6190249654</v>
      </c>
    </row>
    <row r="547" spans="2:3" outlineLevel="1" x14ac:dyDescent="0.3">
      <c r="B547">
        <v>414</v>
      </c>
      <c r="C547">
        <v>2177529.6970983981</v>
      </c>
    </row>
    <row r="548" spans="2:3" outlineLevel="1" x14ac:dyDescent="0.3">
      <c r="B548">
        <v>415</v>
      </c>
      <c r="C548">
        <v>2014728.2794076956</v>
      </c>
    </row>
    <row r="549" spans="2:3" outlineLevel="1" x14ac:dyDescent="0.3">
      <c r="B549">
        <v>416</v>
      </c>
      <c r="C549">
        <v>2221734.9382882672</v>
      </c>
    </row>
    <row r="550" spans="2:3" outlineLevel="1" x14ac:dyDescent="0.3">
      <c r="B550">
        <v>417</v>
      </c>
      <c r="C550">
        <v>1900617.4717245435</v>
      </c>
    </row>
    <row r="551" spans="2:3" outlineLevel="1" x14ac:dyDescent="0.3">
      <c r="B551">
        <v>418</v>
      </c>
      <c r="C551">
        <v>1927180.019202407</v>
      </c>
    </row>
    <row r="552" spans="2:3" outlineLevel="1" x14ac:dyDescent="0.3">
      <c r="B552">
        <v>419</v>
      </c>
      <c r="C552">
        <v>2190857.4527824461</v>
      </c>
    </row>
    <row r="553" spans="2:3" outlineLevel="1" x14ac:dyDescent="0.3">
      <c r="B553">
        <v>420</v>
      </c>
      <c r="C553">
        <v>1798074.0705416878</v>
      </c>
    </row>
    <row r="554" spans="2:3" outlineLevel="1" x14ac:dyDescent="0.3">
      <c r="B554">
        <v>421</v>
      </c>
      <c r="C554">
        <v>1977924.4738629169</v>
      </c>
    </row>
    <row r="555" spans="2:3" outlineLevel="1" x14ac:dyDescent="0.3">
      <c r="B555">
        <v>422</v>
      </c>
      <c r="C555">
        <v>1888873.5160491103</v>
      </c>
    </row>
    <row r="556" spans="2:3" outlineLevel="1" x14ac:dyDescent="0.3">
      <c r="B556">
        <v>423</v>
      </c>
      <c r="C556">
        <v>2151969.7973446702</v>
      </c>
    </row>
    <row r="557" spans="2:3" outlineLevel="1" x14ac:dyDescent="0.3">
      <c r="B557">
        <v>424</v>
      </c>
      <c r="C557">
        <v>2117527.6616086117</v>
      </c>
    </row>
    <row r="558" spans="2:3" outlineLevel="1" x14ac:dyDescent="0.3">
      <c r="B558">
        <v>425</v>
      </c>
      <c r="C558">
        <v>1842019.319459456</v>
      </c>
    </row>
    <row r="559" spans="2:3" outlineLevel="1" x14ac:dyDescent="0.3">
      <c r="B559">
        <v>426</v>
      </c>
      <c r="C559">
        <v>1946183.9806942646</v>
      </c>
    </row>
    <row r="560" spans="2:3" outlineLevel="1" x14ac:dyDescent="0.3">
      <c r="B560">
        <v>427</v>
      </c>
      <c r="C560">
        <v>1778638.1311249333</v>
      </c>
    </row>
    <row r="561" spans="2:3" outlineLevel="1" x14ac:dyDescent="0.3">
      <c r="B561">
        <v>428</v>
      </c>
      <c r="C561">
        <v>1813925.8214532649</v>
      </c>
    </row>
    <row r="562" spans="2:3" outlineLevel="1" x14ac:dyDescent="0.3">
      <c r="B562">
        <v>429</v>
      </c>
      <c r="C562">
        <v>1964538.6447828745</v>
      </c>
    </row>
    <row r="563" spans="2:3" outlineLevel="1" x14ac:dyDescent="0.3">
      <c r="B563">
        <v>430</v>
      </c>
      <c r="C563">
        <v>1901343.7219681768</v>
      </c>
    </row>
    <row r="564" spans="2:3" outlineLevel="1" x14ac:dyDescent="0.3">
      <c r="B564">
        <v>431</v>
      </c>
      <c r="C564">
        <v>1910583.9759757405</v>
      </c>
    </row>
    <row r="565" spans="2:3" outlineLevel="1" x14ac:dyDescent="0.3">
      <c r="B565">
        <v>432</v>
      </c>
      <c r="C565">
        <v>1951131.3003788858</v>
      </c>
    </row>
    <row r="566" spans="2:3" outlineLevel="1" x14ac:dyDescent="0.3">
      <c r="B566">
        <v>433</v>
      </c>
      <c r="C566">
        <v>1946634.5364129853</v>
      </c>
    </row>
    <row r="567" spans="2:3" outlineLevel="1" x14ac:dyDescent="0.3">
      <c r="B567">
        <v>434</v>
      </c>
      <c r="C567">
        <v>1958063.5243728328</v>
      </c>
    </row>
    <row r="568" spans="2:3" outlineLevel="1" x14ac:dyDescent="0.3">
      <c r="B568">
        <v>435</v>
      </c>
      <c r="C568">
        <v>2098602.1186555037</v>
      </c>
    </row>
    <row r="569" spans="2:3" outlineLevel="1" x14ac:dyDescent="0.3">
      <c r="B569">
        <v>436</v>
      </c>
      <c r="C569">
        <v>1854185.0057643168</v>
      </c>
    </row>
    <row r="570" spans="2:3" outlineLevel="1" x14ac:dyDescent="0.3">
      <c r="B570">
        <v>437</v>
      </c>
      <c r="C570">
        <v>2170233.9591255169</v>
      </c>
    </row>
    <row r="571" spans="2:3" outlineLevel="1" x14ac:dyDescent="0.3">
      <c r="B571">
        <v>438</v>
      </c>
      <c r="C571">
        <v>2160417.1923137843</v>
      </c>
    </row>
    <row r="572" spans="2:3" outlineLevel="1" x14ac:dyDescent="0.3">
      <c r="B572">
        <v>439</v>
      </c>
      <c r="C572">
        <v>1953773.5372789251</v>
      </c>
    </row>
    <row r="573" spans="2:3" outlineLevel="1" x14ac:dyDescent="0.3">
      <c r="B573">
        <v>440</v>
      </c>
      <c r="C573">
        <v>2085328.7195173763</v>
      </c>
    </row>
    <row r="574" spans="2:3" outlineLevel="1" x14ac:dyDescent="0.3">
      <c r="B574">
        <v>441</v>
      </c>
      <c r="C574">
        <v>1863635.0105336397</v>
      </c>
    </row>
    <row r="575" spans="2:3" outlineLevel="1" x14ac:dyDescent="0.3">
      <c r="B575">
        <v>442</v>
      </c>
      <c r="C575">
        <v>1894903.0357793279</v>
      </c>
    </row>
    <row r="576" spans="2:3" outlineLevel="1" x14ac:dyDescent="0.3">
      <c r="B576">
        <v>443</v>
      </c>
      <c r="C576">
        <v>1934867.1244569346</v>
      </c>
    </row>
    <row r="577" spans="2:3" outlineLevel="1" x14ac:dyDescent="0.3">
      <c r="B577">
        <v>444</v>
      </c>
      <c r="C577">
        <v>1841970.734432305</v>
      </c>
    </row>
    <row r="578" spans="2:3" outlineLevel="1" x14ac:dyDescent="0.3">
      <c r="B578">
        <v>445</v>
      </c>
      <c r="C578">
        <v>1881770.7009017677</v>
      </c>
    </row>
    <row r="579" spans="2:3" outlineLevel="1" x14ac:dyDescent="0.3">
      <c r="B579">
        <v>446</v>
      </c>
      <c r="C579">
        <v>2035319.4672657261</v>
      </c>
    </row>
    <row r="580" spans="2:3" outlineLevel="1" x14ac:dyDescent="0.3">
      <c r="B580">
        <v>447</v>
      </c>
      <c r="C580">
        <v>1999310.5295709998</v>
      </c>
    </row>
    <row r="581" spans="2:3" outlineLevel="1" x14ac:dyDescent="0.3">
      <c r="B581">
        <v>448</v>
      </c>
      <c r="C581">
        <v>2138615.5697749965</v>
      </c>
    </row>
    <row r="582" spans="2:3" outlineLevel="1" x14ac:dyDescent="0.3">
      <c r="B582">
        <v>449</v>
      </c>
      <c r="C582">
        <v>2036383.0605655191</v>
      </c>
    </row>
    <row r="583" spans="2:3" outlineLevel="1" x14ac:dyDescent="0.3">
      <c r="B583">
        <v>450</v>
      </c>
      <c r="C583">
        <v>1863492.1352978833</v>
      </c>
    </row>
    <row r="584" spans="2:3" outlineLevel="1" x14ac:dyDescent="0.3">
      <c r="B584">
        <v>451</v>
      </c>
      <c r="C584">
        <v>1945285.8708120596</v>
      </c>
    </row>
    <row r="585" spans="2:3" outlineLevel="1" x14ac:dyDescent="0.3">
      <c r="B585">
        <v>452</v>
      </c>
      <c r="C585">
        <v>1663853.8197929661</v>
      </c>
    </row>
    <row r="586" spans="2:3" outlineLevel="1" x14ac:dyDescent="0.3">
      <c r="B586">
        <v>453</v>
      </c>
      <c r="C586">
        <v>2070156.2939762319</v>
      </c>
    </row>
    <row r="587" spans="2:3" outlineLevel="1" x14ac:dyDescent="0.3">
      <c r="B587">
        <v>454</v>
      </c>
      <c r="C587">
        <v>1902567.1372873795</v>
      </c>
    </row>
    <row r="588" spans="2:3" outlineLevel="1" x14ac:dyDescent="0.3">
      <c r="B588">
        <v>455</v>
      </c>
      <c r="C588">
        <v>1898544.6118363943</v>
      </c>
    </row>
    <row r="589" spans="2:3" outlineLevel="1" x14ac:dyDescent="0.3">
      <c r="B589">
        <v>456</v>
      </c>
      <c r="C589">
        <v>1827864.6691554985</v>
      </c>
    </row>
    <row r="590" spans="2:3" outlineLevel="1" x14ac:dyDescent="0.3">
      <c r="B590">
        <v>457</v>
      </c>
      <c r="C590">
        <v>1938306.2992460059</v>
      </c>
    </row>
    <row r="591" spans="2:3" outlineLevel="1" x14ac:dyDescent="0.3">
      <c r="B591">
        <v>458</v>
      </c>
      <c r="C591">
        <v>1976785.6736631158</v>
      </c>
    </row>
    <row r="592" spans="2:3" outlineLevel="1" x14ac:dyDescent="0.3">
      <c r="B592">
        <v>459</v>
      </c>
      <c r="C592">
        <v>1860848.3753057115</v>
      </c>
    </row>
    <row r="593" spans="2:3" outlineLevel="1" x14ac:dyDescent="0.3">
      <c r="B593">
        <v>460</v>
      </c>
      <c r="C593">
        <v>1898196.3508068572</v>
      </c>
    </row>
    <row r="594" spans="2:3" outlineLevel="1" x14ac:dyDescent="0.3">
      <c r="B594">
        <v>461</v>
      </c>
      <c r="C594">
        <v>1975539.7484537859</v>
      </c>
    </row>
    <row r="595" spans="2:3" outlineLevel="1" x14ac:dyDescent="0.3">
      <c r="B595">
        <v>462</v>
      </c>
      <c r="C595">
        <v>1615607.3811873544</v>
      </c>
    </row>
    <row r="596" spans="2:3" outlineLevel="1" x14ac:dyDescent="0.3">
      <c r="B596">
        <v>463</v>
      </c>
      <c r="C596">
        <v>1732652.5580894051</v>
      </c>
    </row>
    <row r="597" spans="2:3" outlineLevel="1" x14ac:dyDescent="0.3">
      <c r="B597">
        <v>464</v>
      </c>
      <c r="C597">
        <v>2111711.698545272</v>
      </c>
    </row>
    <row r="598" spans="2:3" outlineLevel="1" x14ac:dyDescent="0.3">
      <c r="B598">
        <v>465</v>
      </c>
      <c r="C598">
        <v>2153951.9480391191</v>
      </c>
    </row>
    <row r="599" spans="2:3" outlineLevel="1" x14ac:dyDescent="0.3">
      <c r="B599">
        <v>466</v>
      </c>
      <c r="C599">
        <v>2297986.796262953</v>
      </c>
    </row>
    <row r="600" spans="2:3" outlineLevel="1" x14ac:dyDescent="0.3">
      <c r="B600">
        <v>467</v>
      </c>
      <c r="C600">
        <v>1891948.9927272527</v>
      </c>
    </row>
    <row r="601" spans="2:3" outlineLevel="1" x14ac:dyDescent="0.3">
      <c r="B601">
        <v>468</v>
      </c>
      <c r="C601">
        <v>1831675.1892470422</v>
      </c>
    </row>
    <row r="602" spans="2:3" outlineLevel="1" x14ac:dyDescent="0.3">
      <c r="B602">
        <v>469</v>
      </c>
      <c r="C602">
        <v>2082757.6687333281</v>
      </c>
    </row>
    <row r="603" spans="2:3" outlineLevel="1" x14ac:dyDescent="0.3">
      <c r="B603">
        <v>470</v>
      </c>
      <c r="C603">
        <v>2021189.1814838755</v>
      </c>
    </row>
    <row r="604" spans="2:3" outlineLevel="1" x14ac:dyDescent="0.3">
      <c r="B604">
        <v>471</v>
      </c>
      <c r="C604">
        <v>1955295.8603266394</v>
      </c>
    </row>
    <row r="605" spans="2:3" outlineLevel="1" x14ac:dyDescent="0.3">
      <c r="B605">
        <v>472</v>
      </c>
      <c r="C605">
        <v>2053359.6237549724</v>
      </c>
    </row>
    <row r="606" spans="2:3" outlineLevel="1" x14ac:dyDescent="0.3">
      <c r="B606">
        <v>473</v>
      </c>
      <c r="C606">
        <v>1943283.3881458754</v>
      </c>
    </row>
    <row r="607" spans="2:3" outlineLevel="1" x14ac:dyDescent="0.3">
      <c r="B607">
        <v>474</v>
      </c>
      <c r="C607">
        <v>2128535.8147282153</v>
      </c>
    </row>
    <row r="608" spans="2:3" outlineLevel="1" x14ac:dyDescent="0.3">
      <c r="B608">
        <v>475</v>
      </c>
      <c r="C608">
        <v>1918682.7669695041</v>
      </c>
    </row>
    <row r="609" spans="2:3" outlineLevel="1" x14ac:dyDescent="0.3">
      <c r="B609">
        <v>476</v>
      </c>
      <c r="C609">
        <v>1842272.8939019428</v>
      </c>
    </row>
    <row r="610" spans="2:3" outlineLevel="1" x14ac:dyDescent="0.3">
      <c r="B610">
        <v>477</v>
      </c>
      <c r="C610">
        <v>2030672.7208590594</v>
      </c>
    </row>
    <row r="611" spans="2:3" outlineLevel="1" x14ac:dyDescent="0.3">
      <c r="B611">
        <v>478</v>
      </c>
      <c r="C611">
        <v>1933446.8270129834</v>
      </c>
    </row>
    <row r="612" spans="2:3" outlineLevel="1" x14ac:dyDescent="0.3">
      <c r="B612">
        <v>479</v>
      </c>
      <c r="C612">
        <v>1763815.4843680693</v>
      </c>
    </row>
    <row r="613" spans="2:3" outlineLevel="1" x14ac:dyDescent="0.3">
      <c r="B613">
        <v>480</v>
      </c>
      <c r="C613">
        <v>1714569.4293444483</v>
      </c>
    </row>
    <row r="614" spans="2:3" outlineLevel="1" x14ac:dyDescent="0.3">
      <c r="B614">
        <v>481</v>
      </c>
      <c r="C614">
        <v>1686886.3277708271</v>
      </c>
    </row>
    <row r="615" spans="2:3" outlineLevel="1" x14ac:dyDescent="0.3">
      <c r="B615">
        <v>482</v>
      </c>
      <c r="C615">
        <v>1995545.0878638772</v>
      </c>
    </row>
    <row r="616" spans="2:3" outlineLevel="1" x14ac:dyDescent="0.3">
      <c r="B616">
        <v>483</v>
      </c>
      <c r="C616">
        <v>1800506.0356419287</v>
      </c>
    </row>
    <row r="617" spans="2:3" outlineLevel="1" x14ac:dyDescent="0.3">
      <c r="B617">
        <v>484</v>
      </c>
      <c r="C617">
        <v>1803656.0955667649</v>
      </c>
    </row>
    <row r="618" spans="2:3" outlineLevel="1" x14ac:dyDescent="0.3">
      <c r="B618">
        <v>485</v>
      </c>
      <c r="C618">
        <v>1879138.2228155017</v>
      </c>
    </row>
    <row r="619" spans="2:3" outlineLevel="1" x14ac:dyDescent="0.3">
      <c r="B619">
        <v>486</v>
      </c>
      <c r="C619">
        <v>1778430.8081724078</v>
      </c>
    </row>
    <row r="620" spans="2:3" outlineLevel="1" x14ac:dyDescent="0.3">
      <c r="B620">
        <v>487</v>
      </c>
      <c r="C620">
        <v>2143099.054520465</v>
      </c>
    </row>
    <row r="621" spans="2:3" outlineLevel="1" x14ac:dyDescent="0.3">
      <c r="B621">
        <v>488</v>
      </c>
      <c r="C621">
        <v>1957281.4526633213</v>
      </c>
    </row>
    <row r="622" spans="2:3" outlineLevel="1" x14ac:dyDescent="0.3">
      <c r="B622">
        <v>489</v>
      </c>
      <c r="C622">
        <v>1897045.3309332053</v>
      </c>
    </row>
    <row r="623" spans="2:3" outlineLevel="1" x14ac:dyDescent="0.3">
      <c r="B623">
        <v>490</v>
      </c>
      <c r="C623">
        <v>1917516.0643402967</v>
      </c>
    </row>
    <row r="624" spans="2:3" outlineLevel="1" x14ac:dyDescent="0.3">
      <c r="B624">
        <v>491</v>
      </c>
      <c r="C624">
        <v>1915279.5004630957</v>
      </c>
    </row>
    <row r="625" spans="2:3" outlineLevel="1" x14ac:dyDescent="0.3">
      <c r="B625">
        <v>492</v>
      </c>
      <c r="C625">
        <v>2113689.8634595955</v>
      </c>
    </row>
    <row r="626" spans="2:3" outlineLevel="1" x14ac:dyDescent="0.3">
      <c r="B626">
        <v>493</v>
      </c>
      <c r="C626">
        <v>2134154.7469769693</v>
      </c>
    </row>
    <row r="627" spans="2:3" outlineLevel="1" x14ac:dyDescent="0.3">
      <c r="B627">
        <v>494</v>
      </c>
      <c r="C627">
        <v>1707424.3862410791</v>
      </c>
    </row>
    <row r="628" spans="2:3" outlineLevel="1" x14ac:dyDescent="0.3">
      <c r="B628">
        <v>495</v>
      </c>
      <c r="C628">
        <v>2145551.348348611</v>
      </c>
    </row>
    <row r="629" spans="2:3" outlineLevel="1" x14ac:dyDescent="0.3">
      <c r="B629">
        <v>496</v>
      </c>
      <c r="C629">
        <v>2086924.7358982237</v>
      </c>
    </row>
    <row r="630" spans="2:3" outlineLevel="1" x14ac:dyDescent="0.3">
      <c r="B630">
        <v>497</v>
      </c>
      <c r="C630">
        <v>1851512.5990408808</v>
      </c>
    </row>
    <row r="631" spans="2:3" outlineLevel="1" x14ac:dyDescent="0.3">
      <c r="B631">
        <v>498</v>
      </c>
      <c r="C631">
        <v>2171153.7096132087</v>
      </c>
    </row>
    <row r="632" spans="2:3" outlineLevel="1" x14ac:dyDescent="0.3">
      <c r="B632">
        <v>499</v>
      </c>
      <c r="C632">
        <v>1903887.1998246731</v>
      </c>
    </row>
    <row r="633" spans="2:3" outlineLevel="1" x14ac:dyDescent="0.3">
      <c r="B633">
        <v>500</v>
      </c>
      <c r="C633">
        <v>1946216.9348512022</v>
      </c>
    </row>
  </sheetData>
  <mergeCells count="15">
    <mergeCell ref="E93:G93"/>
    <mergeCell ref="B96:K96"/>
    <mergeCell ref="B104:K104"/>
    <mergeCell ref="C39:E39"/>
    <mergeCell ref="C62:E62"/>
    <mergeCell ref="B83:K83"/>
    <mergeCell ref="E90:G90"/>
    <mergeCell ref="E91:G91"/>
    <mergeCell ref="E92:G92"/>
    <mergeCell ref="C16:E16"/>
    <mergeCell ref="B6:K6"/>
    <mergeCell ref="B8:C8"/>
    <mergeCell ref="B9:C9"/>
    <mergeCell ref="B10:C10"/>
    <mergeCell ref="B11:C1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ACE33-A674-41F7-8BFA-E270F182318C}">
  <sheetPr>
    <tabColor theme="5" tint="0.39997558519241921"/>
    <pageSetUpPr fitToPage="1"/>
  </sheetPr>
  <dimension ref="A1:E53"/>
  <sheetViews>
    <sheetView zoomScale="115" zoomScaleNormal="115" workbookViewId="0"/>
  </sheetViews>
  <sheetFormatPr defaultRowHeight="14.4" x14ac:dyDescent="0.3"/>
  <cols>
    <col min="1" max="1" width="4.44140625" style="1" customWidth="1"/>
    <col min="2" max="2" width="9.5546875" customWidth="1"/>
    <col min="3" max="3" width="9.21875" customWidth="1"/>
    <col min="4" max="4" width="12.88671875" customWidth="1"/>
    <col min="5" max="5" width="14.44140625" customWidth="1"/>
    <col min="6" max="6" width="9.88671875" customWidth="1"/>
    <col min="7" max="7" width="19.109375" customWidth="1"/>
    <col min="12" max="12" width="10.21875" customWidth="1"/>
    <col min="13" max="13" width="14.77734375" customWidth="1"/>
  </cols>
  <sheetData>
    <row r="1" spans="1:3" x14ac:dyDescent="0.3">
      <c r="A1" s="67" t="s">
        <v>561</v>
      </c>
    </row>
    <row r="3" spans="1:3" x14ac:dyDescent="0.3">
      <c r="A3" s="7" t="s">
        <v>23</v>
      </c>
      <c r="B3" s="1"/>
    </row>
    <row r="4" spans="1:3" x14ac:dyDescent="0.3">
      <c r="A4" t="s">
        <v>22</v>
      </c>
      <c r="B4" s="1"/>
    </row>
    <row r="6" spans="1:3" x14ac:dyDescent="0.3">
      <c r="A6" s="6" t="s">
        <v>21</v>
      </c>
    </row>
    <row r="7" spans="1:3" x14ac:dyDescent="0.3">
      <c r="B7" t="s">
        <v>20</v>
      </c>
    </row>
    <row r="8" spans="1:3" x14ac:dyDescent="0.3">
      <c r="B8" t="s">
        <v>19</v>
      </c>
    </row>
    <row r="9" spans="1:3" x14ac:dyDescent="0.3">
      <c r="B9" t="s">
        <v>18</v>
      </c>
    </row>
    <row r="11" spans="1:3" x14ac:dyDescent="0.3">
      <c r="A11" s="1">
        <v>1</v>
      </c>
      <c r="B11" t="s">
        <v>17</v>
      </c>
    </row>
    <row r="12" spans="1:3" x14ac:dyDescent="0.3">
      <c r="B12" t="s">
        <v>16</v>
      </c>
    </row>
    <row r="14" spans="1:3" x14ac:dyDescent="0.3">
      <c r="B14" t="s">
        <v>15</v>
      </c>
    </row>
    <row r="15" spans="1:3" x14ac:dyDescent="0.3">
      <c r="C15" t="s">
        <v>14</v>
      </c>
    </row>
    <row r="16" spans="1:3" x14ac:dyDescent="0.3">
      <c r="C16" t="s">
        <v>13</v>
      </c>
    </row>
    <row r="17" spans="1:4" x14ac:dyDescent="0.3">
      <c r="B17" s="1"/>
      <c r="C17" s="5"/>
      <c r="D17" s="5"/>
    </row>
    <row r="18" spans="1:4" x14ac:dyDescent="0.3">
      <c r="A18" s="1">
        <v>2</v>
      </c>
      <c r="B18" s="6" t="s">
        <v>12</v>
      </c>
      <c r="C18" s="5"/>
      <c r="D18" s="5"/>
    </row>
    <row r="19" spans="1:4" x14ac:dyDescent="0.3">
      <c r="B19" s="1"/>
      <c r="C19" s="5"/>
      <c r="D19" s="5"/>
    </row>
    <row r="20" spans="1:4" x14ac:dyDescent="0.3">
      <c r="B20" s="1"/>
      <c r="C20" s="1" t="s">
        <v>11</v>
      </c>
      <c r="D20" s="1" t="s">
        <v>10</v>
      </c>
    </row>
    <row r="21" spans="1:4" x14ac:dyDescent="0.3">
      <c r="B21" s="1" t="s">
        <v>3</v>
      </c>
      <c r="C21" s="1" t="s">
        <v>9</v>
      </c>
      <c r="D21" s="1" t="s">
        <v>1</v>
      </c>
    </row>
    <row r="22" spans="1:4" x14ac:dyDescent="0.3">
      <c r="B22" s="1">
        <v>0</v>
      </c>
      <c r="C22" s="1"/>
      <c r="D22" s="1"/>
    </row>
    <row r="23" spans="1:4" x14ac:dyDescent="0.3">
      <c r="B23" s="1">
        <v>1</v>
      </c>
      <c r="C23" s="4">
        <v>1000</v>
      </c>
      <c r="D23" s="2">
        <v>0.2</v>
      </c>
    </row>
    <row r="24" spans="1:4" x14ac:dyDescent="0.3">
      <c r="B24" s="1">
        <v>2</v>
      </c>
      <c r="C24" s="4">
        <v>200</v>
      </c>
      <c r="D24" s="2">
        <v>0.1</v>
      </c>
    </row>
    <row r="25" spans="1:4" x14ac:dyDescent="0.3">
      <c r="B25" s="1">
        <v>3</v>
      </c>
      <c r="C25" s="4">
        <v>180</v>
      </c>
      <c r="D25" s="2">
        <v>0.1</v>
      </c>
    </row>
    <row r="26" spans="1:4" x14ac:dyDescent="0.3">
      <c r="B26" s="1">
        <v>4</v>
      </c>
      <c r="C26" s="4">
        <v>150</v>
      </c>
      <c r="D26" s="2">
        <v>0.1</v>
      </c>
    </row>
    <row r="27" spans="1:4" x14ac:dyDescent="0.3">
      <c r="B27" s="1">
        <v>5</v>
      </c>
      <c r="C27" s="4">
        <v>0.08</v>
      </c>
      <c r="D27" s="2">
        <v>0.08</v>
      </c>
    </row>
    <row r="28" spans="1:4" x14ac:dyDescent="0.3">
      <c r="B28" s="1">
        <v>6</v>
      </c>
      <c r="C28" s="4">
        <v>0.08</v>
      </c>
      <c r="D28" s="2">
        <v>7.0000000000000007E-2</v>
      </c>
    </row>
    <row r="29" spans="1:4" x14ac:dyDescent="0.3">
      <c r="B29" s="1">
        <v>7</v>
      </c>
      <c r="C29" s="4">
        <v>0.08</v>
      </c>
      <c r="D29" s="2">
        <v>0.06</v>
      </c>
    </row>
    <row r="30" spans="1:4" x14ac:dyDescent="0.3">
      <c r="B30" s="1">
        <v>8</v>
      </c>
      <c r="C30" s="4">
        <v>0.08</v>
      </c>
      <c r="D30" s="2">
        <v>0.05</v>
      </c>
    </row>
    <row r="31" spans="1:4" x14ac:dyDescent="0.3">
      <c r="B31" s="1">
        <v>9</v>
      </c>
      <c r="C31" s="4">
        <v>0.08</v>
      </c>
      <c r="D31" s="2">
        <v>0.04</v>
      </c>
    </row>
    <row r="32" spans="1:4" x14ac:dyDescent="0.3">
      <c r="B32" s="1">
        <v>10</v>
      </c>
      <c r="C32" s="4">
        <v>0.08</v>
      </c>
      <c r="D32" s="2">
        <v>1</v>
      </c>
    </row>
    <row r="34" spans="1:5" x14ac:dyDescent="0.3">
      <c r="B34" t="s">
        <v>8</v>
      </c>
    </row>
    <row r="36" spans="1:5" x14ac:dyDescent="0.3">
      <c r="A36" s="1">
        <v>3</v>
      </c>
      <c r="B36" t="s">
        <v>7</v>
      </c>
    </row>
    <row r="37" spans="1:5" x14ac:dyDescent="0.3">
      <c r="B37" t="s">
        <v>6</v>
      </c>
    </row>
    <row r="39" spans="1:5" x14ac:dyDescent="0.3">
      <c r="C39" s="1"/>
      <c r="D39" s="1" t="s">
        <v>5</v>
      </c>
      <c r="E39" s="1" t="s">
        <v>4</v>
      </c>
    </row>
    <row r="40" spans="1:5" x14ac:dyDescent="0.3">
      <c r="C40" s="1" t="s">
        <v>3</v>
      </c>
      <c r="D40" s="1" t="s">
        <v>2</v>
      </c>
      <c r="E40" s="1" t="s">
        <v>1</v>
      </c>
    </row>
    <row r="41" spans="1:5" x14ac:dyDescent="0.3">
      <c r="C41" s="1">
        <v>0</v>
      </c>
      <c r="D41" s="3">
        <v>15000</v>
      </c>
      <c r="E41" s="2">
        <v>0.1</v>
      </c>
    </row>
    <row r="42" spans="1:5" x14ac:dyDescent="0.3">
      <c r="C42" s="1">
        <v>1</v>
      </c>
      <c r="D42" s="3">
        <v>15700</v>
      </c>
      <c r="E42" s="2">
        <v>0.1</v>
      </c>
    </row>
    <row r="43" spans="1:5" x14ac:dyDescent="0.3">
      <c r="C43" s="1">
        <v>2</v>
      </c>
      <c r="D43" s="3">
        <v>16400</v>
      </c>
      <c r="E43" s="2">
        <v>0.1</v>
      </c>
    </row>
    <row r="44" spans="1:5" x14ac:dyDescent="0.3">
      <c r="C44" s="1">
        <v>3</v>
      </c>
      <c r="D44" s="3">
        <v>17100</v>
      </c>
      <c r="E44" s="2">
        <v>0.05</v>
      </c>
    </row>
    <row r="45" spans="1:5" x14ac:dyDescent="0.3">
      <c r="C45" s="1">
        <v>4</v>
      </c>
      <c r="D45" s="3">
        <v>18000</v>
      </c>
      <c r="E45" s="2">
        <v>0.05</v>
      </c>
    </row>
    <row r="46" spans="1:5" x14ac:dyDescent="0.3">
      <c r="C46" s="1">
        <v>5</v>
      </c>
      <c r="D46" s="3">
        <v>19200</v>
      </c>
      <c r="E46" s="2">
        <v>0.05</v>
      </c>
    </row>
    <row r="47" spans="1:5" x14ac:dyDescent="0.3">
      <c r="C47" s="1">
        <v>6</v>
      </c>
      <c r="D47" s="3">
        <v>20600</v>
      </c>
      <c r="E47" s="2">
        <v>0.05</v>
      </c>
    </row>
    <row r="48" spans="1:5" x14ac:dyDescent="0.3">
      <c r="C48" s="1">
        <v>7</v>
      </c>
      <c r="D48" s="3">
        <v>21200</v>
      </c>
      <c r="E48" s="2">
        <v>0.05</v>
      </c>
    </row>
    <row r="49" spans="2:5" x14ac:dyDescent="0.3">
      <c r="C49" s="1">
        <v>8</v>
      </c>
      <c r="D49" s="3">
        <v>22900</v>
      </c>
      <c r="E49" s="2">
        <v>0.05</v>
      </c>
    </row>
    <row r="50" spans="2:5" x14ac:dyDescent="0.3">
      <c r="C50" s="1">
        <v>9</v>
      </c>
      <c r="D50" s="3">
        <v>24000</v>
      </c>
      <c r="E50" s="2">
        <v>0.05</v>
      </c>
    </row>
    <row r="51" spans="2:5" x14ac:dyDescent="0.3">
      <c r="C51" s="1">
        <v>10</v>
      </c>
      <c r="D51" s="3">
        <v>26000</v>
      </c>
      <c r="E51" s="2">
        <v>1</v>
      </c>
    </row>
    <row r="53" spans="2:5" x14ac:dyDescent="0.3">
      <c r="B53" t="s">
        <v>0</v>
      </c>
    </row>
  </sheetData>
  <pageMargins left="0.7" right="0.7" top="0.75" bottom="0.75" header="0.3" footer="0.3"/>
  <pageSetup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6F12A-E378-4809-ACD1-E7D6FC8E544F}">
  <sheetPr>
    <tabColor theme="9" tint="0.59999389629810485"/>
    <pageSetUpPr fitToPage="1"/>
  </sheetPr>
  <dimension ref="A1:O119"/>
  <sheetViews>
    <sheetView zoomScale="115" zoomScaleNormal="115" workbookViewId="0"/>
  </sheetViews>
  <sheetFormatPr defaultRowHeight="14.4" x14ac:dyDescent="0.3"/>
  <cols>
    <col min="1" max="1" width="8.88671875" style="1"/>
    <col min="2" max="2" width="16.5546875" customWidth="1"/>
    <col min="3" max="3" width="13.44140625" customWidth="1"/>
    <col min="4" max="4" width="10.109375" bestFit="1" customWidth="1"/>
    <col min="5" max="5" width="11" customWidth="1"/>
    <col min="6" max="6" width="11.88671875" customWidth="1"/>
    <col min="7" max="7" width="14.6640625" customWidth="1"/>
    <col min="8" max="8" width="11.6640625" customWidth="1"/>
    <col min="9" max="9" width="16.33203125" bestFit="1" customWidth="1"/>
    <col min="11" max="11" width="9.109375" bestFit="1" customWidth="1"/>
    <col min="12" max="12" width="12" customWidth="1"/>
    <col min="13" max="13" width="12.77734375" customWidth="1"/>
    <col min="14" max="14" width="12.5546875" customWidth="1"/>
    <col min="15" max="15" width="11.21875" customWidth="1"/>
    <col min="16" max="16" width="11.44140625" customWidth="1"/>
  </cols>
  <sheetData>
    <row r="1" spans="1:6" x14ac:dyDescent="0.3">
      <c r="A1" s="67" t="s">
        <v>561</v>
      </c>
    </row>
    <row r="3" spans="1:6" x14ac:dyDescent="0.3">
      <c r="A3" s="7" t="s">
        <v>23</v>
      </c>
    </row>
    <row r="4" spans="1:6" x14ac:dyDescent="0.3">
      <c r="A4" t="s">
        <v>22</v>
      </c>
    </row>
    <row r="6" spans="1:6" x14ac:dyDescent="0.3">
      <c r="A6" s="1" t="s">
        <v>143</v>
      </c>
      <c r="B6" t="s">
        <v>142</v>
      </c>
    </row>
    <row r="7" spans="1:6" x14ac:dyDescent="0.3">
      <c r="B7" t="s">
        <v>141</v>
      </c>
    </row>
    <row r="8" spans="1:6" x14ac:dyDescent="0.3">
      <c r="B8" t="s">
        <v>140</v>
      </c>
    </row>
    <row r="9" spans="1:6" x14ac:dyDescent="0.3">
      <c r="B9" t="s">
        <v>139</v>
      </c>
    </row>
    <row r="10" spans="1:6" x14ac:dyDescent="0.3">
      <c r="B10" t="s">
        <v>129</v>
      </c>
    </row>
    <row r="11" spans="1:6" x14ac:dyDescent="0.3">
      <c r="B11" s="12"/>
    </row>
    <row r="12" spans="1:6" x14ac:dyDescent="0.3">
      <c r="B12" s="12"/>
      <c r="C12" s="1" t="s">
        <v>91</v>
      </c>
      <c r="D12" s="1" t="s">
        <v>90</v>
      </c>
      <c r="E12" s="1" t="s">
        <v>89</v>
      </c>
      <c r="F12" s="1" t="s">
        <v>88</v>
      </c>
    </row>
    <row r="13" spans="1:6" x14ac:dyDescent="0.3">
      <c r="B13" s="1"/>
      <c r="C13" s="1" t="s">
        <v>77</v>
      </c>
      <c r="D13" s="1"/>
      <c r="E13" s="1" t="s">
        <v>111</v>
      </c>
      <c r="F13" s="1" t="s">
        <v>110</v>
      </c>
    </row>
    <row r="14" spans="1:6" x14ac:dyDescent="0.3">
      <c r="B14" s="1" t="s">
        <v>126</v>
      </c>
      <c r="C14" s="1" t="s">
        <v>9</v>
      </c>
      <c r="D14" s="1" t="s">
        <v>138</v>
      </c>
      <c r="E14" s="1" t="s">
        <v>59</v>
      </c>
      <c r="F14" s="1" t="s">
        <v>108</v>
      </c>
    </row>
    <row r="15" spans="1:6" x14ac:dyDescent="0.3">
      <c r="B15" s="3">
        <v>1</v>
      </c>
      <c r="C15" s="3">
        <v>160</v>
      </c>
      <c r="D15" s="3">
        <v>1500</v>
      </c>
      <c r="E15" s="3">
        <f>ROUND($C$15/$B$18,0)</f>
        <v>40</v>
      </c>
      <c r="F15" s="3">
        <f>C15-E15</f>
        <v>120</v>
      </c>
    </row>
    <row r="16" spans="1:6" x14ac:dyDescent="0.3">
      <c r="B16" s="3">
        <v>2</v>
      </c>
      <c r="C16" s="3">
        <v>0</v>
      </c>
      <c r="D16" s="3">
        <v>1500</v>
      </c>
      <c r="E16" s="3">
        <f>ROUND($C$15/$B$18,0)</f>
        <v>40</v>
      </c>
      <c r="F16" s="3">
        <f>F15-E16</f>
        <v>80</v>
      </c>
    </row>
    <row r="17" spans="1:7" x14ac:dyDescent="0.3">
      <c r="B17" s="3">
        <v>3</v>
      </c>
      <c r="C17" s="3">
        <v>0</v>
      </c>
      <c r="D17" s="3">
        <v>1500</v>
      </c>
      <c r="E17" s="3">
        <f>ROUND($C$15/$B$18,0)</f>
        <v>40</v>
      </c>
      <c r="F17" s="3">
        <f>F16-E17</f>
        <v>40</v>
      </c>
    </row>
    <row r="18" spans="1:7" x14ac:dyDescent="0.3">
      <c r="B18" s="3">
        <v>4</v>
      </c>
      <c r="C18" s="3">
        <v>0</v>
      </c>
      <c r="D18" s="3">
        <v>1500</v>
      </c>
      <c r="E18" s="3">
        <f>ROUND($C$15/$B$18,0)</f>
        <v>40</v>
      </c>
      <c r="F18" s="3">
        <f>F17-E18</f>
        <v>0</v>
      </c>
    </row>
    <row r="19" spans="1:7" x14ac:dyDescent="0.3">
      <c r="B19" s="1" t="s">
        <v>123</v>
      </c>
      <c r="C19" s="1">
        <v>80</v>
      </c>
      <c r="D19" s="3">
        <f>SUM(D15:D18)</f>
        <v>6000</v>
      </c>
      <c r="E19" s="1"/>
      <c r="F19" s="1"/>
      <c r="G19" s="1"/>
    </row>
    <row r="21" spans="1:7" x14ac:dyDescent="0.3">
      <c r="B21" t="s">
        <v>58</v>
      </c>
      <c r="C21" t="s">
        <v>52</v>
      </c>
    </row>
    <row r="22" spans="1:7" x14ac:dyDescent="0.3">
      <c r="B22" t="s">
        <v>57</v>
      </c>
      <c r="C22" t="s">
        <v>52</v>
      </c>
    </row>
    <row r="23" spans="1:7" x14ac:dyDescent="0.3">
      <c r="B23" t="s">
        <v>55</v>
      </c>
      <c r="C23" t="s">
        <v>137</v>
      </c>
    </row>
    <row r="24" spans="1:7" x14ac:dyDescent="0.3">
      <c r="B24" t="s">
        <v>121</v>
      </c>
      <c r="C24" t="s">
        <v>136</v>
      </c>
    </row>
    <row r="25" spans="1:7" x14ac:dyDescent="0.3">
      <c r="B25" t="s">
        <v>135</v>
      </c>
      <c r="C25" t="s">
        <v>134</v>
      </c>
    </row>
    <row r="28" spans="1:7" x14ac:dyDescent="0.3">
      <c r="A28" s="1" t="s">
        <v>133</v>
      </c>
      <c r="B28" t="s">
        <v>132</v>
      </c>
    </row>
    <row r="29" spans="1:7" x14ac:dyDescent="0.3">
      <c r="B29" t="s">
        <v>131</v>
      </c>
    </row>
    <row r="30" spans="1:7" x14ac:dyDescent="0.3">
      <c r="B30" t="s">
        <v>130</v>
      </c>
    </row>
    <row r="31" spans="1:7" x14ac:dyDescent="0.3">
      <c r="B31" t="s">
        <v>129</v>
      </c>
    </row>
    <row r="33" spans="2:7" x14ac:dyDescent="0.3">
      <c r="B33" s="12"/>
      <c r="C33" s="1" t="s">
        <v>91</v>
      </c>
      <c r="D33" s="1" t="s">
        <v>90</v>
      </c>
      <c r="E33" s="1" t="s">
        <v>89</v>
      </c>
      <c r="F33" s="1" t="s">
        <v>88</v>
      </c>
      <c r="G33" s="1" t="s">
        <v>87</v>
      </c>
    </row>
    <row r="34" spans="2:7" x14ac:dyDescent="0.3">
      <c r="B34" s="12"/>
      <c r="D34" s="1" t="s">
        <v>128</v>
      </c>
      <c r="E34" s="1" t="s">
        <v>128</v>
      </c>
    </row>
    <row r="35" spans="2:7" x14ac:dyDescent="0.3">
      <c r="B35" s="1"/>
      <c r="C35" s="1" t="s">
        <v>77</v>
      </c>
      <c r="D35" s="1" t="s">
        <v>127</v>
      </c>
      <c r="E35" s="1" t="s">
        <v>127</v>
      </c>
      <c r="F35" s="1" t="s">
        <v>111</v>
      </c>
      <c r="G35" s="1" t="s">
        <v>110</v>
      </c>
    </row>
    <row r="36" spans="2:7" x14ac:dyDescent="0.3">
      <c r="B36" s="1" t="s">
        <v>126</v>
      </c>
      <c r="C36" s="1" t="s">
        <v>9</v>
      </c>
      <c r="D36" s="1" t="s">
        <v>125</v>
      </c>
      <c r="E36" s="1" t="s">
        <v>124</v>
      </c>
      <c r="F36" s="1" t="s">
        <v>59</v>
      </c>
      <c r="G36" s="1" t="s">
        <v>108</v>
      </c>
    </row>
    <row r="37" spans="2:7" x14ac:dyDescent="0.3">
      <c r="B37" s="3">
        <v>1</v>
      </c>
      <c r="C37" s="3">
        <v>160</v>
      </c>
      <c r="D37" s="3">
        <v>1000</v>
      </c>
      <c r="E37" s="3">
        <v>1000</v>
      </c>
      <c r="F37" s="3">
        <f>C37/B40</f>
        <v>40</v>
      </c>
      <c r="G37" s="3">
        <f>C37-F37</f>
        <v>120</v>
      </c>
    </row>
    <row r="38" spans="2:7" x14ac:dyDescent="0.3">
      <c r="B38" s="3">
        <v>2</v>
      </c>
      <c r="C38" s="3">
        <v>0</v>
      </c>
      <c r="D38" s="3">
        <v>1000</v>
      </c>
      <c r="E38" s="3">
        <v>1250</v>
      </c>
      <c r="F38" s="3">
        <f>G37-G38</f>
        <v>35.78947368421052</v>
      </c>
      <c r="G38" s="3">
        <f>C37*(E39+E40)/E41</f>
        <v>84.21052631578948</v>
      </c>
    </row>
    <row r="39" spans="2:7" x14ac:dyDescent="0.3">
      <c r="B39" s="3">
        <v>3</v>
      </c>
      <c r="C39" s="3">
        <v>0</v>
      </c>
      <c r="D39" s="3">
        <v>1000</v>
      </c>
      <c r="E39" s="3">
        <v>1250</v>
      </c>
      <c r="F39" s="3">
        <f>G38-G39</f>
        <v>42.10526315789474</v>
      </c>
      <c r="G39" s="3">
        <f>C37*E40/E41</f>
        <v>42.10526315789474</v>
      </c>
    </row>
    <row r="40" spans="2:7" x14ac:dyDescent="0.3">
      <c r="B40" s="3">
        <v>4</v>
      </c>
      <c r="C40" s="3">
        <v>0</v>
      </c>
      <c r="D40" s="3">
        <v>1000</v>
      </c>
      <c r="E40" s="3">
        <v>1250</v>
      </c>
      <c r="F40" s="3">
        <f>G39</f>
        <v>42.10526315789474</v>
      </c>
      <c r="G40" s="3">
        <f>G39-F40</f>
        <v>0</v>
      </c>
    </row>
    <row r="41" spans="2:7" x14ac:dyDescent="0.3">
      <c r="B41" s="1" t="s">
        <v>123</v>
      </c>
      <c r="C41" s="1">
        <v>80</v>
      </c>
      <c r="D41" s="3">
        <f>SUM(D37:D40)</f>
        <v>4000</v>
      </c>
      <c r="E41" s="3">
        <f>SUM(E37:E40)</f>
        <v>4750</v>
      </c>
      <c r="F41" s="3"/>
      <c r="G41" s="1"/>
    </row>
    <row r="43" spans="2:7" x14ac:dyDescent="0.3">
      <c r="B43" t="s">
        <v>58</v>
      </c>
      <c r="C43" t="s">
        <v>52</v>
      </c>
    </row>
    <row r="44" spans="2:7" x14ac:dyDescent="0.3">
      <c r="B44" t="s">
        <v>57</v>
      </c>
      <c r="C44" t="s">
        <v>52</v>
      </c>
    </row>
    <row r="45" spans="2:7" x14ac:dyDescent="0.3">
      <c r="B45" t="s">
        <v>55</v>
      </c>
      <c r="C45" t="s">
        <v>122</v>
      </c>
    </row>
    <row r="46" spans="2:7" x14ac:dyDescent="0.3">
      <c r="B46" t="s">
        <v>121</v>
      </c>
      <c r="C46" t="s">
        <v>120</v>
      </c>
    </row>
    <row r="47" spans="2:7" x14ac:dyDescent="0.3">
      <c r="B47" t="s">
        <v>119</v>
      </c>
      <c r="C47" t="s">
        <v>118</v>
      </c>
    </row>
    <row r="48" spans="2:7" x14ac:dyDescent="0.3">
      <c r="B48" t="s">
        <v>117</v>
      </c>
      <c r="C48" t="s">
        <v>116</v>
      </c>
    </row>
    <row r="49" spans="1:8" x14ac:dyDescent="0.3">
      <c r="B49" t="s">
        <v>115</v>
      </c>
      <c r="C49" t="s">
        <v>114</v>
      </c>
    </row>
    <row r="51" spans="1:8" x14ac:dyDescent="0.3">
      <c r="A51" s="1">
        <v>2</v>
      </c>
      <c r="B51" t="s">
        <v>113</v>
      </c>
    </row>
    <row r="52" spans="1:8" x14ac:dyDescent="0.3">
      <c r="B52" s="12"/>
    </row>
    <row r="53" spans="1:8" x14ac:dyDescent="0.3">
      <c r="B53" s="1"/>
      <c r="C53" s="1" t="s">
        <v>77</v>
      </c>
      <c r="D53" s="1" t="s">
        <v>4</v>
      </c>
      <c r="E53" s="1" t="s">
        <v>72</v>
      </c>
      <c r="F53" s="1" t="s">
        <v>112</v>
      </c>
      <c r="G53" s="1" t="s">
        <v>111</v>
      </c>
      <c r="H53" s="1" t="s">
        <v>110</v>
      </c>
    </row>
    <row r="54" spans="1:8" x14ac:dyDescent="0.3">
      <c r="B54" s="1" t="s">
        <v>64</v>
      </c>
      <c r="C54" s="1" t="s">
        <v>9</v>
      </c>
      <c r="D54" s="1" t="s">
        <v>62</v>
      </c>
      <c r="E54" s="1" t="s">
        <v>62</v>
      </c>
      <c r="F54" s="1" t="s">
        <v>109</v>
      </c>
      <c r="G54" s="1" t="s">
        <v>59</v>
      </c>
      <c r="H54" s="1" t="s">
        <v>108</v>
      </c>
    </row>
    <row r="55" spans="1:8" x14ac:dyDescent="0.3">
      <c r="B55" s="3">
        <v>1</v>
      </c>
      <c r="C55" s="3">
        <v>1000</v>
      </c>
      <c r="D55" s="2">
        <v>0.2</v>
      </c>
      <c r="E55" s="2">
        <f t="shared" ref="E55:E63" si="0">1-D55</f>
        <v>0.8</v>
      </c>
      <c r="F55" s="11">
        <f t="shared" ref="F55:F62" si="1">F56*E55+1</f>
        <v>6.1291417608575998</v>
      </c>
      <c r="G55" s="9">
        <f>C55/F55</f>
        <v>163.15497976997</v>
      </c>
      <c r="H55" s="9">
        <f>C55-G55</f>
        <v>836.84502023003006</v>
      </c>
    </row>
    <row r="56" spans="1:8" x14ac:dyDescent="0.3">
      <c r="B56" s="3">
        <v>2</v>
      </c>
      <c r="C56" s="3">
        <v>200</v>
      </c>
      <c r="D56" s="2">
        <v>0.1</v>
      </c>
      <c r="E56" s="2">
        <f t="shared" si="0"/>
        <v>0.9</v>
      </c>
      <c r="F56" s="11">
        <f t="shared" si="1"/>
        <v>6.4114272010719997</v>
      </c>
      <c r="G56" s="9">
        <f t="shared" ref="G56:G64" si="2">H55/F56</f>
        <v>130.52398381597601</v>
      </c>
      <c r="H56" s="9">
        <f t="shared" ref="H56:H63" si="3">H55-G56+C56</f>
        <v>906.32103641405411</v>
      </c>
    </row>
    <row r="57" spans="1:8" x14ac:dyDescent="0.3">
      <c r="B57" s="3">
        <v>3</v>
      </c>
      <c r="C57" s="3">
        <v>180</v>
      </c>
      <c r="D57" s="2">
        <v>0.1</v>
      </c>
      <c r="E57" s="2">
        <f t="shared" si="0"/>
        <v>0.9</v>
      </c>
      <c r="F57" s="11">
        <f t="shared" si="1"/>
        <v>6.01269689008</v>
      </c>
      <c r="G57" s="9">
        <f t="shared" si="2"/>
        <v>150.73452944374108</v>
      </c>
      <c r="H57" s="9">
        <f t="shared" si="3"/>
        <v>935.58650697031305</v>
      </c>
    </row>
    <row r="58" spans="1:8" x14ac:dyDescent="0.3">
      <c r="B58" s="3">
        <v>4</v>
      </c>
      <c r="C58" s="3">
        <v>150</v>
      </c>
      <c r="D58" s="2">
        <v>0.1</v>
      </c>
      <c r="E58" s="2">
        <f t="shared" si="0"/>
        <v>0.9</v>
      </c>
      <c r="F58" s="11">
        <f t="shared" si="1"/>
        <v>5.5696632112</v>
      </c>
      <c r="G58" s="9">
        <f t="shared" si="2"/>
        <v>167.97900905192043</v>
      </c>
      <c r="H58" s="9">
        <f t="shared" si="3"/>
        <v>917.6074979183926</v>
      </c>
    </row>
    <row r="59" spans="1:8" x14ac:dyDescent="0.3">
      <c r="B59" s="3">
        <v>5</v>
      </c>
      <c r="C59" s="3">
        <v>0.08</v>
      </c>
      <c r="D59" s="2">
        <v>0.08</v>
      </c>
      <c r="E59" s="2">
        <f t="shared" si="0"/>
        <v>0.92</v>
      </c>
      <c r="F59" s="11">
        <f t="shared" si="1"/>
        <v>5.0774035679999994</v>
      </c>
      <c r="G59" s="9">
        <f t="shared" si="2"/>
        <v>180.72376671051978</v>
      </c>
      <c r="H59" s="9">
        <f t="shared" si="3"/>
        <v>736.96373120787291</v>
      </c>
    </row>
    <row r="60" spans="1:8" x14ac:dyDescent="0.3">
      <c r="B60" s="3">
        <v>6</v>
      </c>
      <c r="C60" s="3">
        <v>0.08</v>
      </c>
      <c r="D60" s="2">
        <v>7.0000000000000007E-2</v>
      </c>
      <c r="E60" s="2">
        <f t="shared" si="0"/>
        <v>0.92999999999999994</v>
      </c>
      <c r="F60" s="11">
        <f t="shared" si="1"/>
        <v>4.4319603999999995</v>
      </c>
      <c r="G60" s="9">
        <f t="shared" si="2"/>
        <v>166.28391607647779</v>
      </c>
      <c r="H60" s="9">
        <f t="shared" si="3"/>
        <v>570.75981513139516</v>
      </c>
    </row>
    <row r="61" spans="1:8" x14ac:dyDescent="0.3">
      <c r="B61" s="3">
        <v>7</v>
      </c>
      <c r="C61" s="3">
        <v>0.08</v>
      </c>
      <c r="D61" s="2">
        <v>0.06</v>
      </c>
      <c r="E61" s="2">
        <f t="shared" si="0"/>
        <v>0.94</v>
      </c>
      <c r="F61" s="11">
        <f t="shared" si="1"/>
        <v>3.69028</v>
      </c>
      <c r="G61" s="9">
        <f t="shared" si="2"/>
        <v>154.66572052294003</v>
      </c>
      <c r="H61" s="9">
        <f t="shared" si="3"/>
        <v>416.17409460845511</v>
      </c>
    </row>
    <row r="62" spans="1:8" x14ac:dyDescent="0.3">
      <c r="B62" s="3">
        <v>8</v>
      </c>
      <c r="C62" s="3">
        <v>0.08</v>
      </c>
      <c r="D62" s="2">
        <v>0.05</v>
      </c>
      <c r="E62" s="2">
        <f t="shared" si="0"/>
        <v>0.95</v>
      </c>
      <c r="F62" s="11">
        <f t="shared" si="1"/>
        <v>2.8620000000000001</v>
      </c>
      <c r="G62" s="9">
        <f t="shared" si="2"/>
        <v>145.4137297723463</v>
      </c>
      <c r="H62" s="9">
        <f t="shared" si="3"/>
        <v>270.84036483610879</v>
      </c>
    </row>
    <row r="63" spans="1:8" x14ac:dyDescent="0.3">
      <c r="B63" s="3">
        <v>9</v>
      </c>
      <c r="C63" s="3">
        <v>0.08</v>
      </c>
      <c r="D63" s="2">
        <v>0.04</v>
      </c>
      <c r="E63" s="2">
        <f t="shared" si="0"/>
        <v>0.96</v>
      </c>
      <c r="F63" s="11">
        <f>F64+E63*F64</f>
        <v>1.96</v>
      </c>
      <c r="G63" s="9">
        <f t="shared" si="2"/>
        <v>138.18385961025959</v>
      </c>
      <c r="H63" s="9">
        <f t="shared" si="3"/>
        <v>132.73650522584921</v>
      </c>
    </row>
    <row r="64" spans="1:8" x14ac:dyDescent="0.3">
      <c r="B64" s="3">
        <v>10</v>
      </c>
      <c r="C64" s="3">
        <v>0.08</v>
      </c>
      <c r="D64" s="2">
        <v>1</v>
      </c>
      <c r="E64" s="2">
        <v>0.95</v>
      </c>
      <c r="F64" s="11">
        <v>1</v>
      </c>
      <c r="G64" s="9">
        <f t="shared" si="2"/>
        <v>132.73650522584921</v>
      </c>
      <c r="H64" s="9">
        <v>0</v>
      </c>
    </row>
    <row r="65" spans="1:8" x14ac:dyDescent="0.3">
      <c r="B65" s="3"/>
      <c r="C65" s="4"/>
      <c r="D65" s="2"/>
      <c r="E65" s="5"/>
      <c r="F65" s="10"/>
      <c r="G65" s="9"/>
      <c r="H65" s="9"/>
    </row>
    <row r="66" spans="1:8" x14ac:dyDescent="0.3">
      <c r="B66" t="s">
        <v>107</v>
      </c>
      <c r="C66" t="s">
        <v>52</v>
      </c>
    </row>
    <row r="67" spans="1:8" x14ac:dyDescent="0.3">
      <c r="B67" t="s">
        <v>55</v>
      </c>
      <c r="C67" t="s">
        <v>106</v>
      </c>
    </row>
    <row r="68" spans="1:8" x14ac:dyDescent="0.3">
      <c r="B68" t="s">
        <v>53</v>
      </c>
      <c r="C68" t="s">
        <v>105</v>
      </c>
    </row>
    <row r="69" spans="1:8" x14ac:dyDescent="0.3">
      <c r="B69" t="s">
        <v>104</v>
      </c>
      <c r="C69" t="s">
        <v>103</v>
      </c>
    </row>
    <row r="70" spans="1:8" x14ac:dyDescent="0.3">
      <c r="B70" t="s">
        <v>102</v>
      </c>
      <c r="C70" t="s">
        <v>101</v>
      </c>
    </row>
    <row r="71" spans="1:8" x14ac:dyDescent="0.3">
      <c r="B71" t="s">
        <v>100</v>
      </c>
      <c r="C71" t="s">
        <v>99</v>
      </c>
    </row>
    <row r="72" spans="1:8" x14ac:dyDescent="0.3">
      <c r="B72" t="s">
        <v>98</v>
      </c>
      <c r="C72" t="s">
        <v>97</v>
      </c>
    </row>
    <row r="74" spans="1:8" x14ac:dyDescent="0.3">
      <c r="A74" s="1">
        <v>3</v>
      </c>
      <c r="B74" t="s">
        <v>96</v>
      </c>
    </row>
    <row r="75" spans="1:8" x14ac:dyDescent="0.3">
      <c r="B75" t="s">
        <v>95</v>
      </c>
    </row>
    <row r="76" spans="1:8" x14ac:dyDescent="0.3">
      <c r="B76" t="s">
        <v>94</v>
      </c>
    </row>
    <row r="77" spans="1:8" x14ac:dyDescent="0.3">
      <c r="B77" t="s">
        <v>93</v>
      </c>
    </row>
    <row r="78" spans="1:8" x14ac:dyDescent="0.3">
      <c r="B78" t="s">
        <v>92</v>
      </c>
    </row>
    <row r="80" spans="1:8" x14ac:dyDescent="0.3">
      <c r="D80" s="1"/>
    </row>
    <row r="81" spans="2:15" x14ac:dyDescent="0.3">
      <c r="C81" s="1" t="s">
        <v>91</v>
      </c>
      <c r="D81" s="1" t="s">
        <v>90</v>
      </c>
      <c r="E81" s="1" t="s">
        <v>89</v>
      </c>
      <c r="F81" s="1" t="s">
        <v>88</v>
      </c>
      <c r="G81" s="1" t="s">
        <v>87</v>
      </c>
      <c r="H81" s="1" t="s">
        <v>86</v>
      </c>
      <c r="I81" s="1" t="s">
        <v>85</v>
      </c>
      <c r="J81" s="1" t="s">
        <v>84</v>
      </c>
      <c r="K81" s="1" t="s">
        <v>83</v>
      </c>
      <c r="L81" s="1" t="s">
        <v>82</v>
      </c>
      <c r="M81" s="1" t="s">
        <v>81</v>
      </c>
      <c r="N81" s="1" t="s">
        <v>80</v>
      </c>
      <c r="O81" s="1" t="s">
        <v>79</v>
      </c>
    </row>
    <row r="82" spans="2:15" x14ac:dyDescent="0.3">
      <c r="M82" s="1" t="s">
        <v>78</v>
      </c>
    </row>
    <row r="83" spans="2:15" x14ac:dyDescent="0.3">
      <c r="C83" s="1" t="s">
        <v>5</v>
      </c>
      <c r="K83" s="1" t="s">
        <v>77</v>
      </c>
      <c r="L83" s="1" t="s">
        <v>76</v>
      </c>
      <c r="M83" s="1" t="s">
        <v>75</v>
      </c>
    </row>
    <row r="84" spans="2:15" x14ac:dyDescent="0.3">
      <c r="C84" s="1" t="s">
        <v>74</v>
      </c>
      <c r="D84" s="1" t="s">
        <v>73</v>
      </c>
      <c r="E84" s="1" t="s">
        <v>69</v>
      </c>
      <c r="F84" s="1" t="s">
        <v>4</v>
      </c>
      <c r="G84" s="1" t="s">
        <v>72</v>
      </c>
      <c r="H84" s="1" t="s">
        <v>71</v>
      </c>
      <c r="I84" s="1" t="s">
        <v>70</v>
      </c>
      <c r="J84" s="1" t="s">
        <v>69</v>
      </c>
      <c r="K84" s="1" t="s">
        <v>68</v>
      </c>
      <c r="L84" s="1" t="s">
        <v>67</v>
      </c>
      <c r="M84" s="1" t="s">
        <v>66</v>
      </c>
      <c r="N84" s="1" t="s">
        <v>29</v>
      </c>
      <c r="O84" s="1" t="s">
        <v>65</v>
      </c>
    </row>
    <row r="85" spans="2:15" x14ac:dyDescent="0.3">
      <c r="B85" s="1" t="s">
        <v>64</v>
      </c>
      <c r="C85" s="1" t="s">
        <v>63</v>
      </c>
      <c r="D85" s="1" t="s">
        <v>63</v>
      </c>
      <c r="E85" s="1" t="s">
        <v>63</v>
      </c>
      <c r="F85" s="1" t="s">
        <v>62</v>
      </c>
      <c r="G85" s="1" t="s">
        <v>62</v>
      </c>
      <c r="H85" s="1" t="s">
        <v>61</v>
      </c>
      <c r="I85" s="1" t="s">
        <v>60</v>
      </c>
      <c r="J85" s="1" t="s">
        <v>60</v>
      </c>
      <c r="K85" s="1" t="s">
        <v>25</v>
      </c>
      <c r="L85" s="1" t="s">
        <v>25</v>
      </c>
      <c r="M85" s="1" t="s">
        <v>27</v>
      </c>
      <c r="N85" s="1" t="s">
        <v>59</v>
      </c>
      <c r="O85" s="1" t="s">
        <v>25</v>
      </c>
    </row>
    <row r="86" spans="2:15" x14ac:dyDescent="0.3">
      <c r="B86" s="1">
        <v>0</v>
      </c>
      <c r="C86" s="3">
        <v>15000</v>
      </c>
      <c r="F86" s="2"/>
      <c r="H86" s="3">
        <v>1000</v>
      </c>
      <c r="I86" s="1"/>
      <c r="J86" s="1"/>
      <c r="L86" s="8">
        <v>10000000</v>
      </c>
    </row>
    <row r="87" spans="2:15" x14ac:dyDescent="0.3">
      <c r="B87" s="3">
        <v>1</v>
      </c>
      <c r="C87" s="3">
        <v>15700</v>
      </c>
      <c r="D87" s="8">
        <f t="shared" ref="D87:D92" si="4">B87/7*C87*0.1</f>
        <v>224.28571428571428</v>
      </c>
      <c r="F87" s="2">
        <v>0.1</v>
      </c>
      <c r="G87" s="2">
        <f t="shared" ref="G87:G96" si="5">1-F87</f>
        <v>0.9</v>
      </c>
      <c r="H87" s="3">
        <f t="shared" ref="H87:H95" si="6">ROUND(G87*H86,0)</f>
        <v>900</v>
      </c>
      <c r="I87" s="3">
        <f t="shared" ref="I87:I92" si="7">H87*D87</f>
        <v>201857.14285714284</v>
      </c>
      <c r="J87" s="3"/>
      <c r="K87" s="8">
        <f>I87</f>
        <v>201857.14285714284</v>
      </c>
      <c r="L87" s="8">
        <f t="shared" ref="L87:L96" si="8">H87*10000</f>
        <v>9000000</v>
      </c>
      <c r="M87" s="8">
        <f t="shared" ref="M87:M96" si="9">M88+L86</f>
        <v>71090000</v>
      </c>
      <c r="N87" s="8">
        <f t="shared" ref="N87:N96" si="10">L86/M87*O86</f>
        <v>0</v>
      </c>
      <c r="O87" s="8">
        <f>+I87</f>
        <v>201857.14285714284</v>
      </c>
    </row>
    <row r="88" spans="2:15" x14ac:dyDescent="0.3">
      <c r="B88" s="3">
        <v>2</v>
      </c>
      <c r="C88" s="3">
        <v>16400</v>
      </c>
      <c r="D88" s="8">
        <f t="shared" si="4"/>
        <v>468.57142857142856</v>
      </c>
      <c r="F88" s="2">
        <v>0.1</v>
      </c>
      <c r="G88" s="2">
        <f t="shared" si="5"/>
        <v>0.9</v>
      </c>
      <c r="H88" s="3">
        <f t="shared" si="6"/>
        <v>810</v>
      </c>
      <c r="I88" s="3">
        <f t="shared" si="7"/>
        <v>379542.8571428571</v>
      </c>
      <c r="J88" s="3"/>
      <c r="K88" s="8">
        <f>I88-I87</f>
        <v>177685.71428571426</v>
      </c>
      <c r="L88" s="8">
        <f t="shared" si="8"/>
        <v>8100000</v>
      </c>
      <c r="M88" s="8">
        <f t="shared" si="9"/>
        <v>61090000</v>
      </c>
      <c r="N88" s="8">
        <f t="shared" si="10"/>
        <v>29738.325187662231</v>
      </c>
      <c r="O88" s="8">
        <f>+I88-N88</f>
        <v>349804.53195519489</v>
      </c>
    </row>
    <row r="89" spans="2:15" x14ac:dyDescent="0.3">
      <c r="B89" s="3">
        <v>3</v>
      </c>
      <c r="C89" s="3">
        <v>17100</v>
      </c>
      <c r="D89" s="8">
        <f t="shared" si="4"/>
        <v>732.85714285714289</v>
      </c>
      <c r="F89" s="2">
        <v>0.1</v>
      </c>
      <c r="G89" s="2">
        <f t="shared" si="5"/>
        <v>0.9</v>
      </c>
      <c r="H89" s="3">
        <f t="shared" si="6"/>
        <v>729</v>
      </c>
      <c r="I89" s="3">
        <f t="shared" si="7"/>
        <v>534252.85714285716</v>
      </c>
      <c r="J89" s="3"/>
      <c r="K89" s="8">
        <f>I89-I88</f>
        <v>154710.00000000006</v>
      </c>
      <c r="L89" s="8">
        <f t="shared" si="8"/>
        <v>7290000</v>
      </c>
      <c r="M89" s="8">
        <f t="shared" si="9"/>
        <v>52090000</v>
      </c>
      <c r="N89" s="8">
        <f t="shared" si="10"/>
        <v>54394.638295970028</v>
      </c>
      <c r="O89" s="8">
        <f t="shared" ref="O89:O96" si="11">+O88+K89-N89</f>
        <v>450119.89365922491</v>
      </c>
    </row>
    <row r="90" spans="2:15" x14ac:dyDescent="0.3">
      <c r="B90" s="3">
        <v>4</v>
      </c>
      <c r="C90" s="3">
        <v>18000</v>
      </c>
      <c r="D90" s="8">
        <f t="shared" si="4"/>
        <v>1028.5714285714284</v>
      </c>
      <c r="F90" s="2">
        <v>0.05</v>
      </c>
      <c r="G90" s="2">
        <f t="shared" si="5"/>
        <v>0.95</v>
      </c>
      <c r="H90" s="3">
        <f t="shared" si="6"/>
        <v>693</v>
      </c>
      <c r="I90" s="3">
        <f t="shared" si="7"/>
        <v>712799.99999999988</v>
      </c>
      <c r="J90" s="3"/>
      <c r="K90" s="8">
        <f>I90-I89</f>
        <v>178547.14285714272</v>
      </c>
      <c r="L90" s="8">
        <f t="shared" si="8"/>
        <v>6930000</v>
      </c>
      <c r="M90" s="8">
        <f t="shared" si="9"/>
        <v>43990000</v>
      </c>
      <c r="N90" s="8">
        <f t="shared" si="10"/>
        <v>74593.635480239813</v>
      </c>
      <c r="O90" s="8">
        <f t="shared" si="11"/>
        <v>554073.40103612794</v>
      </c>
    </row>
    <row r="91" spans="2:15" x14ac:dyDescent="0.3">
      <c r="B91" s="3">
        <v>5</v>
      </c>
      <c r="C91" s="3">
        <v>19200</v>
      </c>
      <c r="D91" s="8">
        <f t="shared" si="4"/>
        <v>1371.4285714285716</v>
      </c>
      <c r="F91" s="2">
        <v>0.05</v>
      </c>
      <c r="G91" s="2">
        <f t="shared" si="5"/>
        <v>0.95</v>
      </c>
      <c r="H91" s="3">
        <f t="shared" si="6"/>
        <v>658</v>
      </c>
      <c r="I91" s="3">
        <f t="shared" si="7"/>
        <v>902400.00000000012</v>
      </c>
      <c r="J91" s="3"/>
      <c r="K91" s="8">
        <f>I91-I90</f>
        <v>189600.00000000023</v>
      </c>
      <c r="L91" s="8">
        <f t="shared" si="8"/>
        <v>6580000</v>
      </c>
      <c r="M91" s="8">
        <f t="shared" si="9"/>
        <v>36700000</v>
      </c>
      <c r="N91" s="8">
        <f t="shared" si="10"/>
        <v>104624.75937821163</v>
      </c>
      <c r="O91" s="8">
        <f t="shared" si="11"/>
        <v>639048.6416579166</v>
      </c>
    </row>
    <row r="92" spans="2:15" x14ac:dyDescent="0.3">
      <c r="B92" s="3">
        <v>6</v>
      </c>
      <c r="C92" s="3">
        <v>20600</v>
      </c>
      <c r="D92" s="8">
        <f t="shared" si="4"/>
        <v>1765.7142857142856</v>
      </c>
      <c r="F92" s="2">
        <v>0.05</v>
      </c>
      <c r="G92" s="2">
        <f t="shared" si="5"/>
        <v>0.95</v>
      </c>
      <c r="H92" s="3">
        <f t="shared" si="6"/>
        <v>625</v>
      </c>
      <c r="I92" s="3">
        <f t="shared" si="7"/>
        <v>1103571.4285714284</v>
      </c>
      <c r="J92" s="3"/>
      <c r="K92" s="8">
        <f>I92-I91</f>
        <v>201171.42857142829</v>
      </c>
      <c r="L92" s="8">
        <f t="shared" si="8"/>
        <v>6250000</v>
      </c>
      <c r="M92" s="8">
        <f t="shared" si="9"/>
        <v>29770000</v>
      </c>
      <c r="N92" s="8">
        <f t="shared" si="10"/>
        <v>141247.56674870983</v>
      </c>
      <c r="O92" s="8">
        <f t="shared" si="11"/>
        <v>698972.50348063512</v>
      </c>
    </row>
    <row r="93" spans="2:15" x14ac:dyDescent="0.3">
      <c r="B93" s="3">
        <v>7</v>
      </c>
      <c r="C93" s="3">
        <v>21200</v>
      </c>
      <c r="E93" s="8">
        <f>(D92+C92)*0.1</f>
        <v>2236.5714285714289</v>
      </c>
      <c r="F93" s="2">
        <v>0.05</v>
      </c>
      <c r="G93" s="2">
        <f t="shared" si="5"/>
        <v>0.95</v>
      </c>
      <c r="H93" s="3">
        <f t="shared" si="6"/>
        <v>594</v>
      </c>
      <c r="I93" s="1"/>
      <c r="J93" s="3">
        <f>E93*H93</f>
        <v>1328523.4285714289</v>
      </c>
      <c r="L93" s="8">
        <f t="shared" si="8"/>
        <v>5940000</v>
      </c>
      <c r="M93" s="8">
        <f t="shared" si="9"/>
        <v>23190000</v>
      </c>
      <c r="N93" s="8">
        <f t="shared" si="10"/>
        <v>188381.98131754936</v>
      </c>
      <c r="O93" s="8">
        <f t="shared" si="11"/>
        <v>510590.52216308576</v>
      </c>
    </row>
    <row r="94" spans="2:15" x14ac:dyDescent="0.3">
      <c r="B94" s="3">
        <v>8</v>
      </c>
      <c r="C94" s="3">
        <v>22900</v>
      </c>
      <c r="F94" s="2">
        <v>0.05</v>
      </c>
      <c r="G94" s="2">
        <f t="shared" si="5"/>
        <v>0.95</v>
      </c>
      <c r="H94" s="3">
        <f t="shared" si="6"/>
        <v>564</v>
      </c>
      <c r="I94" s="1"/>
      <c r="J94" s="3"/>
      <c r="L94" s="8">
        <f t="shared" si="8"/>
        <v>5640000</v>
      </c>
      <c r="M94" s="8">
        <f t="shared" si="9"/>
        <v>16940000</v>
      </c>
      <c r="N94" s="8">
        <f t="shared" si="10"/>
        <v>179038.2350441989</v>
      </c>
      <c r="O94" s="8">
        <f t="shared" si="11"/>
        <v>331552.28711888683</v>
      </c>
    </row>
    <row r="95" spans="2:15" x14ac:dyDescent="0.3">
      <c r="B95" s="3">
        <v>9</v>
      </c>
      <c r="C95" s="3">
        <v>24000</v>
      </c>
      <c r="F95" s="2">
        <v>0.05</v>
      </c>
      <c r="G95" s="2">
        <f t="shared" si="5"/>
        <v>0.95</v>
      </c>
      <c r="H95" s="3">
        <f t="shared" si="6"/>
        <v>536</v>
      </c>
      <c r="I95" s="1"/>
      <c r="J95" s="1"/>
      <c r="L95" s="8">
        <f t="shared" si="8"/>
        <v>5360000</v>
      </c>
      <c r="M95" s="8">
        <f t="shared" si="9"/>
        <v>11000000</v>
      </c>
      <c r="N95" s="8">
        <f t="shared" si="10"/>
        <v>169995.8999409565</v>
      </c>
      <c r="O95" s="8">
        <f t="shared" si="11"/>
        <v>161556.38717793033</v>
      </c>
    </row>
    <row r="96" spans="2:15" x14ac:dyDescent="0.3">
      <c r="B96" s="3">
        <v>10</v>
      </c>
      <c r="C96" s="3">
        <v>26000</v>
      </c>
      <c r="F96" s="2">
        <v>1</v>
      </c>
      <c r="G96" s="2">
        <f t="shared" si="5"/>
        <v>0</v>
      </c>
      <c r="H96" s="8"/>
      <c r="L96" s="8">
        <f t="shared" si="8"/>
        <v>0</v>
      </c>
      <c r="M96" s="8">
        <f t="shared" si="9"/>
        <v>5360000</v>
      </c>
      <c r="N96" s="8">
        <f t="shared" si="10"/>
        <v>161556.38717793033</v>
      </c>
      <c r="O96" s="8">
        <f t="shared" si="11"/>
        <v>0</v>
      </c>
    </row>
    <row r="97" spans="2:15" x14ac:dyDescent="0.3">
      <c r="L97" s="8"/>
      <c r="M97" s="8"/>
      <c r="N97" s="8"/>
      <c r="O97" s="8"/>
    </row>
    <row r="99" spans="2:15" x14ac:dyDescent="0.3">
      <c r="B99" s="3"/>
    </row>
    <row r="100" spans="2:15" x14ac:dyDescent="0.3">
      <c r="B100" t="s">
        <v>58</v>
      </c>
      <c r="C100" t="s">
        <v>52</v>
      </c>
    </row>
    <row r="101" spans="2:15" x14ac:dyDescent="0.3">
      <c r="B101" t="s">
        <v>57</v>
      </c>
      <c r="C101" t="s">
        <v>56</v>
      </c>
    </row>
    <row r="102" spans="2:15" x14ac:dyDescent="0.3">
      <c r="B102" t="s">
        <v>55</v>
      </c>
      <c r="C102" t="s">
        <v>54</v>
      </c>
    </row>
    <row r="103" spans="2:15" x14ac:dyDescent="0.3">
      <c r="B103" t="s">
        <v>53</v>
      </c>
      <c r="C103" t="s">
        <v>52</v>
      </c>
    </row>
    <row r="104" spans="2:15" x14ac:dyDescent="0.3">
      <c r="B104" t="s">
        <v>51</v>
      </c>
      <c r="C104" t="s">
        <v>50</v>
      </c>
    </row>
    <row r="105" spans="2:15" x14ac:dyDescent="0.3">
      <c r="B105" t="s">
        <v>49</v>
      </c>
      <c r="C105" t="s">
        <v>48</v>
      </c>
    </row>
    <row r="106" spans="2:15" x14ac:dyDescent="0.3">
      <c r="B106" t="s">
        <v>47</v>
      </c>
      <c r="C106" t="s">
        <v>46</v>
      </c>
    </row>
    <row r="107" spans="2:15" x14ac:dyDescent="0.3">
      <c r="B107" s="6" t="s">
        <v>45</v>
      </c>
      <c r="C107" t="s">
        <v>44</v>
      </c>
    </row>
    <row r="108" spans="2:15" x14ac:dyDescent="0.3">
      <c r="B108" s="6" t="s">
        <v>43</v>
      </c>
      <c r="C108" t="s">
        <v>42</v>
      </c>
    </row>
    <row r="109" spans="2:15" x14ac:dyDescent="0.3">
      <c r="B109" s="6" t="s">
        <v>41</v>
      </c>
      <c r="C109" t="s">
        <v>40</v>
      </c>
    </row>
    <row r="110" spans="2:15" x14ac:dyDescent="0.3">
      <c r="B110" s="6" t="s">
        <v>39</v>
      </c>
      <c r="C110" t="s">
        <v>38</v>
      </c>
    </row>
    <row r="111" spans="2:15" x14ac:dyDescent="0.3">
      <c r="B111" s="6" t="s">
        <v>37</v>
      </c>
      <c r="C111" t="s">
        <v>36</v>
      </c>
    </row>
    <row r="112" spans="2:15" x14ac:dyDescent="0.3">
      <c r="B112" s="6" t="s">
        <v>35</v>
      </c>
      <c r="C112" t="s">
        <v>34</v>
      </c>
    </row>
    <row r="113" spans="2:5" x14ac:dyDescent="0.3">
      <c r="B113" s="6" t="s">
        <v>33</v>
      </c>
      <c r="C113" t="s">
        <v>32</v>
      </c>
    </row>
    <row r="115" spans="2:5" x14ac:dyDescent="0.3">
      <c r="B115" t="s">
        <v>31</v>
      </c>
    </row>
    <row r="117" spans="2:5" x14ac:dyDescent="0.3">
      <c r="B117" t="s">
        <v>30</v>
      </c>
      <c r="D117" s="1" t="s">
        <v>29</v>
      </c>
      <c r="E117" t="s">
        <v>28</v>
      </c>
    </row>
    <row r="118" spans="2:5" x14ac:dyDescent="0.3">
      <c r="D118" s="1" t="s">
        <v>27</v>
      </c>
      <c r="E118" t="s">
        <v>26</v>
      </c>
    </row>
    <row r="119" spans="2:5" x14ac:dyDescent="0.3">
      <c r="D119" s="1" t="s">
        <v>25</v>
      </c>
      <c r="E119" t="s">
        <v>24</v>
      </c>
    </row>
  </sheetData>
  <pageMargins left="0.7" right="0.7" top="0.75" bottom="0.75" header="0.3" footer="0.3"/>
  <pageSetup scale="67" fitToHeight="3" orientation="landscape"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3057A-4AA9-41C3-9A9F-237894F24215}">
  <sheetPr>
    <tabColor theme="5" tint="0.39997558519241921"/>
  </sheetPr>
  <dimension ref="A1:S43"/>
  <sheetViews>
    <sheetView zoomScale="115" zoomScaleNormal="115" workbookViewId="0"/>
  </sheetViews>
  <sheetFormatPr defaultRowHeight="14.4" x14ac:dyDescent="0.3"/>
  <cols>
    <col min="1" max="49" width="10.6640625" customWidth="1"/>
  </cols>
  <sheetData>
    <row r="1" spans="1:19" x14ac:dyDescent="0.3">
      <c r="A1" s="67" t="s">
        <v>562</v>
      </c>
    </row>
    <row r="3" spans="1:19" x14ac:dyDescent="0.3">
      <c r="A3" s="7" t="s">
        <v>23</v>
      </c>
    </row>
    <row r="4" spans="1:19" x14ac:dyDescent="0.3">
      <c r="A4" t="s">
        <v>168</v>
      </c>
      <c r="B4" s="25"/>
      <c r="C4" s="25"/>
      <c r="D4" s="25"/>
      <c r="E4" s="25"/>
      <c r="F4" s="25"/>
      <c r="G4" s="25"/>
      <c r="H4" s="25"/>
      <c r="I4" s="25"/>
      <c r="J4" s="25"/>
      <c r="K4" s="25"/>
    </row>
    <row r="5" spans="1:19" x14ac:dyDescent="0.3">
      <c r="A5" s="25"/>
      <c r="B5" s="25"/>
      <c r="C5" s="25"/>
      <c r="D5" s="25"/>
      <c r="E5" s="25"/>
      <c r="F5" s="25"/>
      <c r="G5" s="25"/>
      <c r="H5" s="25"/>
      <c r="I5" s="25"/>
      <c r="J5" s="25"/>
      <c r="K5" s="25"/>
      <c r="M5" s="24"/>
      <c r="N5" s="24" t="s">
        <v>147</v>
      </c>
      <c r="O5" s="24" t="s">
        <v>146</v>
      </c>
      <c r="P5" s="23"/>
      <c r="Q5" s="19"/>
      <c r="R5" s="19"/>
      <c r="S5" s="19"/>
    </row>
    <row r="6" spans="1:19" x14ac:dyDescent="0.3">
      <c r="A6" s="25" t="s">
        <v>167</v>
      </c>
      <c r="B6" s="25"/>
      <c r="C6" s="25"/>
      <c r="D6" s="25"/>
      <c r="E6" s="25"/>
      <c r="F6" s="25"/>
      <c r="G6" s="25"/>
      <c r="H6" s="25"/>
      <c r="I6" s="25"/>
      <c r="J6" s="25"/>
      <c r="K6" s="25"/>
      <c r="M6" s="22" t="s">
        <v>64</v>
      </c>
      <c r="N6" s="22" t="s">
        <v>145</v>
      </c>
      <c r="O6" s="22" t="s">
        <v>138</v>
      </c>
      <c r="P6" s="26" t="s">
        <v>144</v>
      </c>
      <c r="Q6" s="20"/>
      <c r="R6" s="19"/>
      <c r="S6" s="19"/>
    </row>
    <row r="7" spans="1:19" x14ac:dyDescent="0.3">
      <c r="A7" s="25" t="s">
        <v>166</v>
      </c>
      <c r="B7" s="25"/>
      <c r="C7" s="25"/>
      <c r="D7" s="25"/>
      <c r="E7" s="25"/>
      <c r="F7" s="25"/>
      <c r="G7" s="25"/>
      <c r="H7" s="25"/>
      <c r="I7" s="25"/>
      <c r="J7" s="25"/>
      <c r="K7" s="25"/>
      <c r="M7" s="16">
        <v>1</v>
      </c>
      <c r="N7" s="17">
        <v>1000000</v>
      </c>
      <c r="O7" s="17">
        <v>3000</v>
      </c>
      <c r="P7" s="16">
        <v>771</v>
      </c>
      <c r="Q7" s="15"/>
      <c r="R7" s="18"/>
      <c r="S7" s="15"/>
    </row>
    <row r="8" spans="1:19" x14ac:dyDescent="0.3">
      <c r="A8" s="25" t="s">
        <v>165</v>
      </c>
      <c r="B8" s="25"/>
      <c r="C8" s="25"/>
      <c r="D8" s="25"/>
      <c r="E8" s="25"/>
      <c r="F8" s="25"/>
      <c r="G8" s="25"/>
      <c r="H8" s="25"/>
      <c r="I8" s="25"/>
      <c r="J8" s="25"/>
      <c r="K8" s="25"/>
      <c r="M8" s="16">
        <v>2</v>
      </c>
      <c r="N8" s="17">
        <v>869329</v>
      </c>
      <c r="O8" s="17">
        <v>2608</v>
      </c>
      <c r="P8" s="16">
        <v>730</v>
      </c>
      <c r="Q8" s="15"/>
      <c r="R8" s="18"/>
      <c r="S8" s="15"/>
    </row>
    <row r="9" spans="1:19" x14ac:dyDescent="0.3">
      <c r="A9" s="25" t="s">
        <v>164</v>
      </c>
      <c r="B9" s="25"/>
      <c r="C9" s="25"/>
      <c r="D9" s="25"/>
      <c r="E9" s="25"/>
      <c r="F9" s="25"/>
      <c r="G9" s="25"/>
      <c r="H9" s="25"/>
      <c r="I9" s="25"/>
      <c r="J9" s="25"/>
      <c r="K9" s="25"/>
      <c r="M9" s="16">
        <v>3</v>
      </c>
      <c r="N9" s="17">
        <v>781739</v>
      </c>
      <c r="O9" s="17">
        <v>2345</v>
      </c>
      <c r="P9" s="16">
        <v>716</v>
      </c>
      <c r="Q9" s="15"/>
      <c r="R9" s="18"/>
      <c r="S9" s="15"/>
    </row>
    <row r="10" spans="1:19" x14ac:dyDescent="0.3">
      <c r="A10" s="25"/>
      <c r="B10" s="25"/>
      <c r="C10" s="25"/>
      <c r="D10" s="25"/>
      <c r="E10" s="25"/>
      <c r="F10" s="25"/>
      <c r="G10" s="25"/>
      <c r="H10" s="25"/>
      <c r="I10" s="25"/>
      <c r="J10" s="25"/>
      <c r="K10" s="25"/>
      <c r="M10" s="16">
        <v>4</v>
      </c>
      <c r="N10" s="17">
        <v>718541</v>
      </c>
      <c r="O10" s="16"/>
      <c r="P10" s="16">
        <v>720</v>
      </c>
      <c r="Q10" s="15"/>
      <c r="S10" s="15"/>
    </row>
    <row r="11" spans="1:19" x14ac:dyDescent="0.3">
      <c r="A11" s="25" t="s">
        <v>163</v>
      </c>
      <c r="B11" s="25"/>
      <c r="C11" s="25"/>
      <c r="D11" s="25"/>
      <c r="E11" s="25"/>
      <c r="F11" s="25"/>
      <c r="G11" s="25"/>
      <c r="H11" s="25"/>
      <c r="I11" s="25"/>
      <c r="J11" s="25"/>
      <c r="K11" s="25"/>
      <c r="M11" s="16">
        <v>5</v>
      </c>
      <c r="N11" s="17">
        <v>660395</v>
      </c>
      <c r="O11" s="16"/>
      <c r="P11" s="16">
        <v>726</v>
      </c>
      <c r="Q11" s="15"/>
      <c r="S11" s="15"/>
    </row>
    <row r="12" spans="1:19" x14ac:dyDescent="0.3">
      <c r="A12" s="25"/>
      <c r="B12" s="25"/>
      <c r="C12" s="25"/>
      <c r="D12" s="25"/>
      <c r="E12" s="25"/>
      <c r="F12" s="25"/>
      <c r="G12" s="25"/>
      <c r="H12" s="25"/>
      <c r="I12" s="25"/>
      <c r="J12" s="25"/>
      <c r="K12" s="25"/>
      <c r="M12" s="16">
        <v>6</v>
      </c>
      <c r="N12" s="17">
        <v>606896</v>
      </c>
      <c r="O12" s="16"/>
      <c r="P12" s="16">
        <v>733</v>
      </c>
      <c r="Q12" s="15"/>
      <c r="S12" s="15"/>
    </row>
    <row r="13" spans="1:19" x14ac:dyDescent="0.3">
      <c r="A13" s="25" t="s">
        <v>162</v>
      </c>
      <c r="B13" s="25" t="s">
        <v>154</v>
      </c>
      <c r="C13" s="25" t="s">
        <v>161</v>
      </c>
      <c r="D13" s="25"/>
      <c r="E13" s="25"/>
      <c r="F13" s="25"/>
      <c r="G13" s="25"/>
      <c r="H13" s="25"/>
      <c r="I13" s="25"/>
      <c r="J13" s="25"/>
      <c r="K13" s="25"/>
      <c r="M13" s="16">
        <v>7</v>
      </c>
      <c r="N13" s="17">
        <v>557669</v>
      </c>
      <c r="O13" s="16"/>
      <c r="P13" s="16">
        <v>742</v>
      </c>
      <c r="Q13" s="15"/>
      <c r="S13" s="15"/>
    </row>
    <row r="14" spans="1:19" x14ac:dyDescent="0.3">
      <c r="A14" s="25"/>
      <c r="B14" s="25" t="s">
        <v>151</v>
      </c>
      <c r="C14" s="25" t="s">
        <v>160</v>
      </c>
      <c r="D14" s="25"/>
      <c r="E14" s="25"/>
      <c r="F14" s="25"/>
      <c r="G14" s="25"/>
      <c r="H14" s="25"/>
      <c r="I14" s="25"/>
      <c r="J14" s="25"/>
      <c r="K14" s="25"/>
      <c r="M14" s="16">
        <v>8</v>
      </c>
      <c r="N14" s="17">
        <v>512373</v>
      </c>
      <c r="O14" s="16"/>
      <c r="P14" s="16">
        <v>753</v>
      </c>
      <c r="Q14" s="15"/>
      <c r="S14" s="15"/>
    </row>
    <row r="15" spans="1:19" x14ac:dyDescent="0.3">
      <c r="A15" s="25"/>
      <c r="B15" s="25"/>
      <c r="C15" s="25"/>
      <c r="D15" s="25"/>
      <c r="E15" s="25"/>
      <c r="F15" s="25"/>
      <c r="G15" s="25"/>
      <c r="H15" s="25"/>
      <c r="I15" s="25"/>
      <c r="J15" s="25"/>
      <c r="K15" s="25"/>
      <c r="M15" s="16">
        <v>9</v>
      </c>
      <c r="N15" s="17">
        <v>470691</v>
      </c>
      <c r="O15" s="16"/>
      <c r="P15" s="16">
        <v>764</v>
      </c>
      <c r="Q15" s="15"/>
      <c r="S15" s="15"/>
    </row>
    <row r="16" spans="1:19" x14ac:dyDescent="0.3">
      <c r="A16" s="25" t="s">
        <v>159</v>
      </c>
      <c r="B16" s="25" t="s">
        <v>158</v>
      </c>
      <c r="C16" s="25"/>
      <c r="D16" s="25"/>
      <c r="E16" s="25"/>
      <c r="F16" s="25"/>
      <c r="G16" s="25"/>
      <c r="H16" s="25"/>
      <c r="I16" s="25"/>
      <c r="J16" s="25"/>
      <c r="K16" s="25"/>
      <c r="M16" s="16">
        <v>10</v>
      </c>
      <c r="N16" s="17">
        <v>432332</v>
      </c>
      <c r="O16" s="16"/>
      <c r="P16" s="16">
        <v>777</v>
      </c>
    </row>
    <row r="17" spans="1:19" x14ac:dyDescent="0.3">
      <c r="A17" s="25"/>
      <c r="B17" s="25"/>
      <c r="C17" s="25"/>
      <c r="D17" s="25"/>
      <c r="E17" s="25"/>
      <c r="F17" s="25"/>
      <c r="G17" s="25"/>
      <c r="H17" s="25"/>
      <c r="I17" s="25"/>
      <c r="J17" s="25"/>
      <c r="K17" s="25"/>
      <c r="N17" s="15"/>
      <c r="O17" s="15"/>
      <c r="P17" s="15"/>
      <c r="R17" s="15"/>
    </row>
    <row r="18" spans="1:19" x14ac:dyDescent="0.3">
      <c r="A18" s="25" t="s">
        <v>157</v>
      </c>
      <c r="B18" s="25" t="s">
        <v>156</v>
      </c>
      <c r="C18" s="25"/>
      <c r="D18" s="25"/>
      <c r="E18" s="25"/>
      <c r="F18" s="25"/>
      <c r="G18" s="25"/>
      <c r="H18" s="25"/>
      <c r="I18" s="25"/>
      <c r="J18" s="25"/>
      <c r="K18" s="25"/>
    </row>
    <row r="19" spans="1:19" x14ac:dyDescent="0.3">
      <c r="A19" s="25"/>
      <c r="B19" s="25" t="s">
        <v>155</v>
      </c>
      <c r="C19" s="25"/>
      <c r="D19" s="25"/>
      <c r="E19" s="25"/>
      <c r="F19" s="25"/>
      <c r="G19" s="25"/>
      <c r="H19" s="25"/>
      <c r="I19" s="25"/>
      <c r="J19" s="25"/>
      <c r="K19" s="25"/>
    </row>
    <row r="20" spans="1:19" x14ac:dyDescent="0.3">
      <c r="A20" s="25"/>
      <c r="B20" s="25" t="s">
        <v>154</v>
      </c>
      <c r="C20" s="25" t="s">
        <v>153</v>
      </c>
      <c r="D20" s="25"/>
      <c r="E20" s="25"/>
      <c r="F20" s="25"/>
      <c r="G20" s="25"/>
      <c r="H20" s="25"/>
      <c r="I20" s="25"/>
      <c r="J20" s="25"/>
      <c r="K20" s="25"/>
      <c r="M20" t="s">
        <v>152</v>
      </c>
    </row>
    <row r="21" spans="1:19" x14ac:dyDescent="0.3">
      <c r="A21" s="25"/>
      <c r="B21" s="25" t="s">
        <v>151</v>
      </c>
      <c r="C21" s="25" t="s">
        <v>150</v>
      </c>
      <c r="D21" s="25"/>
      <c r="E21" s="25"/>
      <c r="F21" s="25"/>
      <c r="G21" s="25"/>
      <c r="H21" s="25"/>
      <c r="I21" s="25"/>
      <c r="J21" s="25"/>
      <c r="K21" s="25"/>
    </row>
    <row r="22" spans="1:19" x14ac:dyDescent="0.3">
      <c r="A22" s="25"/>
      <c r="B22" s="25" t="s">
        <v>149</v>
      </c>
      <c r="C22" s="25" t="s">
        <v>148</v>
      </c>
      <c r="D22" s="25"/>
      <c r="E22" s="25"/>
      <c r="F22" s="25"/>
      <c r="G22" s="25"/>
      <c r="H22" s="25"/>
      <c r="I22" s="25"/>
      <c r="J22" s="25"/>
      <c r="K22" s="25"/>
      <c r="M22" s="24"/>
      <c r="N22" s="24" t="s">
        <v>147</v>
      </c>
      <c r="O22" s="24" t="s">
        <v>146</v>
      </c>
      <c r="P22" s="23"/>
      <c r="Q22" s="19"/>
      <c r="R22" s="19"/>
      <c r="S22" s="19"/>
    </row>
    <row r="23" spans="1:19" x14ac:dyDescent="0.3">
      <c r="M23" s="22" t="s">
        <v>64</v>
      </c>
      <c r="N23" s="22" t="s">
        <v>145</v>
      </c>
      <c r="O23" s="22" t="s">
        <v>138</v>
      </c>
      <c r="P23" s="21" t="s">
        <v>144</v>
      </c>
      <c r="Q23" s="20"/>
      <c r="R23" s="19"/>
      <c r="S23" s="19"/>
    </row>
    <row r="24" spans="1:19" x14ac:dyDescent="0.3">
      <c r="M24" s="16">
        <v>1</v>
      </c>
      <c r="N24" s="17">
        <v>1000000</v>
      </c>
      <c r="O24" s="17">
        <v>3000</v>
      </c>
      <c r="P24" s="16">
        <v>771</v>
      </c>
      <c r="Q24" s="15"/>
      <c r="R24" s="18"/>
      <c r="S24" s="14"/>
    </row>
    <row r="25" spans="1:19" x14ac:dyDescent="0.3">
      <c r="M25" s="16">
        <v>2</v>
      </c>
      <c r="N25" s="17">
        <v>869329</v>
      </c>
      <c r="O25" s="17">
        <v>2608</v>
      </c>
      <c r="P25" s="16">
        <v>600</v>
      </c>
      <c r="Q25" s="15"/>
      <c r="R25" s="18"/>
      <c r="S25" s="14"/>
    </row>
    <row r="26" spans="1:19" x14ac:dyDescent="0.3">
      <c r="D26" s="12"/>
      <c r="M26" s="16">
        <v>3</v>
      </c>
      <c r="N26" s="17">
        <v>781856</v>
      </c>
      <c r="O26" s="17">
        <v>2346</v>
      </c>
      <c r="P26" s="16">
        <v>716</v>
      </c>
      <c r="Q26" s="15"/>
      <c r="R26" s="18"/>
      <c r="S26" s="14"/>
    </row>
    <row r="27" spans="1:19" x14ac:dyDescent="0.3">
      <c r="M27" s="16">
        <v>4</v>
      </c>
      <c r="N27" s="17">
        <v>718649</v>
      </c>
      <c r="O27" s="16"/>
      <c r="P27" s="16">
        <v>720</v>
      </c>
      <c r="Q27" s="15"/>
      <c r="S27" s="14"/>
    </row>
    <row r="28" spans="1:19" x14ac:dyDescent="0.3">
      <c r="M28" s="16">
        <v>5</v>
      </c>
      <c r="N28" s="17">
        <v>660494</v>
      </c>
      <c r="O28" s="16"/>
      <c r="P28" s="16">
        <v>726</v>
      </c>
      <c r="Q28" s="15"/>
      <c r="S28" s="14"/>
    </row>
    <row r="29" spans="1:19" x14ac:dyDescent="0.3">
      <c r="M29" s="16">
        <v>6</v>
      </c>
      <c r="N29" s="17">
        <v>606986</v>
      </c>
      <c r="O29" s="16"/>
      <c r="P29" s="16">
        <v>734</v>
      </c>
      <c r="Q29" s="15"/>
      <c r="S29" s="14"/>
    </row>
    <row r="30" spans="1:19" x14ac:dyDescent="0.3">
      <c r="M30" s="16">
        <v>7</v>
      </c>
      <c r="N30" s="17">
        <v>557753</v>
      </c>
      <c r="O30" s="16"/>
      <c r="P30" s="16">
        <v>742</v>
      </c>
      <c r="Q30" s="15"/>
      <c r="S30" s="14"/>
    </row>
    <row r="31" spans="1:19" x14ac:dyDescent="0.3">
      <c r="M31" s="16">
        <v>8</v>
      </c>
      <c r="N31" s="17">
        <v>512449</v>
      </c>
      <c r="O31" s="16"/>
      <c r="P31" s="16">
        <v>753</v>
      </c>
      <c r="Q31" s="15"/>
      <c r="S31" s="14"/>
    </row>
    <row r="32" spans="1:19" x14ac:dyDescent="0.3">
      <c r="M32" s="16">
        <v>9</v>
      </c>
      <c r="N32" s="17">
        <v>470761</v>
      </c>
      <c r="O32" s="16"/>
      <c r="P32" s="16">
        <v>764</v>
      </c>
      <c r="Q32" s="15"/>
      <c r="S32" s="14"/>
    </row>
    <row r="33" spans="5:19" x14ac:dyDescent="0.3">
      <c r="M33" s="16">
        <v>10</v>
      </c>
      <c r="N33" s="17">
        <v>432397</v>
      </c>
      <c r="O33" s="16"/>
      <c r="P33" s="16">
        <v>777</v>
      </c>
      <c r="S33" s="14"/>
    </row>
    <row r="34" spans="5:19" x14ac:dyDescent="0.3">
      <c r="N34" s="15"/>
      <c r="O34" s="15"/>
      <c r="P34" s="15"/>
      <c r="R34" s="15"/>
    </row>
    <row r="40" spans="5:19" x14ac:dyDescent="0.3">
      <c r="E40" s="14"/>
    </row>
    <row r="41" spans="5:19" x14ac:dyDescent="0.3">
      <c r="E41" s="14"/>
    </row>
    <row r="42" spans="5:19" x14ac:dyDescent="0.3">
      <c r="E42" s="14"/>
    </row>
    <row r="43" spans="5:19" x14ac:dyDescent="0.3">
      <c r="E43" s="1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8DC7B-AA9C-40A0-83F3-1FDF6D548E01}">
  <sheetPr>
    <tabColor theme="9" tint="0.59999389629810485"/>
  </sheetPr>
  <dimension ref="A1:S38"/>
  <sheetViews>
    <sheetView zoomScale="115" zoomScaleNormal="115" workbookViewId="0"/>
  </sheetViews>
  <sheetFormatPr defaultRowHeight="14.4" x14ac:dyDescent="0.3"/>
  <cols>
    <col min="1" max="49" width="10.6640625" customWidth="1"/>
  </cols>
  <sheetData>
    <row r="1" spans="1:19" x14ac:dyDescent="0.3">
      <c r="A1" s="67" t="s">
        <v>562</v>
      </c>
    </row>
    <row r="3" spans="1:19" x14ac:dyDescent="0.3">
      <c r="A3" s="7" t="s">
        <v>23</v>
      </c>
    </row>
    <row r="4" spans="1:19" x14ac:dyDescent="0.3">
      <c r="A4" t="s">
        <v>168</v>
      </c>
    </row>
    <row r="6" spans="1:19" x14ac:dyDescent="0.3">
      <c r="A6" t="s">
        <v>193</v>
      </c>
      <c r="M6" s="24"/>
      <c r="N6" s="24" t="s">
        <v>147</v>
      </c>
      <c r="O6" s="24" t="s">
        <v>146</v>
      </c>
      <c r="P6" s="23"/>
      <c r="Q6" s="19" t="s">
        <v>178</v>
      </c>
      <c r="R6" s="19" t="s">
        <v>177</v>
      </c>
      <c r="S6" s="19" t="s">
        <v>176</v>
      </c>
    </row>
    <row r="7" spans="1:19" x14ac:dyDescent="0.3">
      <c r="B7" t="s">
        <v>192</v>
      </c>
      <c r="M7" s="22" t="s">
        <v>64</v>
      </c>
      <c r="N7" s="22" t="s">
        <v>145</v>
      </c>
      <c r="O7" s="22" t="s">
        <v>138</v>
      </c>
      <c r="P7" s="26" t="s">
        <v>144</v>
      </c>
      <c r="Q7" s="20" t="s">
        <v>174</v>
      </c>
      <c r="R7" s="19" t="s">
        <v>173</v>
      </c>
      <c r="S7" s="19" t="s">
        <v>70</v>
      </c>
    </row>
    <row r="8" spans="1:19" x14ac:dyDescent="0.3">
      <c r="A8" t="s">
        <v>154</v>
      </c>
      <c r="B8" t="s">
        <v>191</v>
      </c>
      <c r="D8" s="12">
        <f>P18/O18</f>
        <v>0.75282083288485602</v>
      </c>
      <c r="M8" s="16">
        <v>1</v>
      </c>
      <c r="N8" s="17">
        <v>1000000</v>
      </c>
      <c r="O8" s="17">
        <v>3000</v>
      </c>
      <c r="P8" s="16">
        <v>771</v>
      </c>
      <c r="Q8" s="15">
        <f>NPV(0.05,P9:P$17)-$D$8*1.05*NPV(0.05,O9:O$17)</f>
        <v>1600.3856235872954</v>
      </c>
      <c r="R8" s="18">
        <f>(1-$D$8)*O8</f>
        <v>741.53750134543191</v>
      </c>
      <c r="S8" s="15">
        <f>$D$14*NPV(0.05,N9:N$17)-1.05*NPV(0.05,R9:R$17)</f>
        <v>422.96657447286498</v>
      </c>
    </row>
    <row r="9" spans="1:19" x14ac:dyDescent="0.3">
      <c r="A9" t="s">
        <v>151</v>
      </c>
      <c r="B9" t="s">
        <v>190</v>
      </c>
      <c r="M9" s="16">
        <v>2</v>
      </c>
      <c r="N9" s="17">
        <v>869329</v>
      </c>
      <c r="O9" s="17">
        <v>2608</v>
      </c>
      <c r="P9" s="16">
        <v>730</v>
      </c>
      <c r="Q9" s="15">
        <f>NPV(0.05,P10:P$17)-$D$8*1.05*NPV(0.05,O10:O$17)</f>
        <v>3011.9294735385511</v>
      </c>
      <c r="R9" s="18">
        <f>(1-$D$8)*O9</f>
        <v>644.64326783629554</v>
      </c>
      <c r="S9" s="15">
        <f>$D$14*NPV(0.05,N10:N$17)-1.05*NPV(0.05,R10:R$17)</f>
        <v>811.815386412061</v>
      </c>
    </row>
    <row r="10" spans="1:19" x14ac:dyDescent="0.3">
      <c r="M10" s="16">
        <v>3</v>
      </c>
      <c r="N10" s="17">
        <v>781739</v>
      </c>
      <c r="O10" s="17">
        <v>2345</v>
      </c>
      <c r="P10" s="16">
        <v>716</v>
      </c>
      <c r="Q10" s="15">
        <f>NPV(0.05,P11:P$17)-$D$8*1.05*NPV(0.05,O11:O$17)</f>
        <v>4300.1590429862154</v>
      </c>
      <c r="R10" s="18">
        <f>(1-$D$8)*O10</f>
        <v>579.63514688501266</v>
      </c>
      <c r="S10" s="15">
        <f>$D$14*NPV(0.05,N11:N$17)-1.05*NPV(0.05,R11:R$17)</f>
        <v>1182.9993029212803</v>
      </c>
    </row>
    <row r="11" spans="1:19" x14ac:dyDescent="0.3">
      <c r="A11" t="s">
        <v>189</v>
      </c>
      <c r="M11" s="16">
        <v>4</v>
      </c>
      <c r="N11" s="17">
        <v>718541</v>
      </c>
      <c r="O11" s="16"/>
      <c r="P11" s="16">
        <v>720</v>
      </c>
      <c r="Q11" s="15">
        <f>NPV(0.05,P12:P$17)-$D$8*1.05*NPV(0.05,O12:O$17)</f>
        <v>3795.1669951355266</v>
      </c>
      <c r="S11" s="15">
        <f>$D$14*NPV(0.05,N12:N$17)-1.05*NPV(0.05,R12:R$17)</f>
        <v>986.60174081369109</v>
      </c>
    </row>
    <row r="12" spans="1:19" x14ac:dyDescent="0.3">
      <c r="B12" t="s">
        <v>188</v>
      </c>
      <c r="M12" s="16">
        <v>5</v>
      </c>
      <c r="N12" s="17">
        <v>660395</v>
      </c>
      <c r="O12" s="16"/>
      <c r="P12" s="16">
        <v>726</v>
      </c>
      <c r="Q12" s="15">
        <f>NPV(0.05,P13:P$17)-$D$8*1.05*NPV(0.05,O13:O$17)</f>
        <v>3258.9253448923027</v>
      </c>
      <c r="S12" s="15">
        <f>$D$14*NPV(0.05,N13:N$17)-1.05*NPV(0.05,R13:R$17)</f>
        <v>801.06379769231648</v>
      </c>
    </row>
    <row r="13" spans="1:19" x14ac:dyDescent="0.3">
      <c r="B13" t="s">
        <v>187</v>
      </c>
      <c r="M13" s="16">
        <v>6</v>
      </c>
      <c r="N13" s="17">
        <v>606896</v>
      </c>
      <c r="O13" s="16"/>
      <c r="P13" s="16">
        <v>733</v>
      </c>
      <c r="Q13" s="15">
        <f>NPV(0.05,P14:P$17)-$D$8*1.05*NPV(0.05,O14:O$17)</f>
        <v>2688.871612136918</v>
      </c>
      <c r="S13" s="15">
        <f>$D$14*NPV(0.05,N14:N$17)-1.05*NPV(0.05,R14:R$17)</f>
        <v>625.27575917085233</v>
      </c>
    </row>
    <row r="14" spans="1:19" x14ac:dyDescent="0.3">
      <c r="B14" t="s">
        <v>186</v>
      </c>
      <c r="D14">
        <f>R18/N18</f>
        <v>3.5564780193983811E-4</v>
      </c>
      <c r="M14" s="16">
        <v>7</v>
      </c>
      <c r="N14" s="17">
        <v>557669</v>
      </c>
      <c r="O14" s="16"/>
      <c r="P14" s="16">
        <v>742</v>
      </c>
      <c r="Q14" s="15">
        <f>NPV(0.05,P15:P$17)-$D$8*1.05*NPV(0.05,O15:O$17)</f>
        <v>2081.3151927437639</v>
      </c>
      <c r="S14" s="15">
        <f>$D$14*NPV(0.05,N15:N$17)-1.05*NPV(0.05,R15:R$17)</f>
        <v>458.20579306940726</v>
      </c>
    </row>
    <row r="15" spans="1:19" x14ac:dyDescent="0.3">
      <c r="B15" t="s">
        <v>185</v>
      </c>
      <c r="M15" s="16">
        <v>8</v>
      </c>
      <c r="N15" s="17">
        <v>512373</v>
      </c>
      <c r="O15" s="16"/>
      <c r="P15" s="16">
        <v>753</v>
      </c>
      <c r="Q15" s="15">
        <f>NPV(0.05,P16:P$17)-$D$8*1.05*NPV(0.05,O16:O$17)</f>
        <v>1432.3809523809523</v>
      </c>
      <c r="S15" s="15">
        <f>$D$14*NPV(0.05,N16:N$17)-1.05*NPV(0.05,R16:R$17)</f>
        <v>298.89175149955702</v>
      </c>
    </row>
    <row r="16" spans="1:19" x14ac:dyDescent="0.3">
      <c r="M16" s="16">
        <v>9</v>
      </c>
      <c r="N16" s="17">
        <v>470691</v>
      </c>
      <c r="O16" s="16"/>
      <c r="P16" s="16">
        <v>764</v>
      </c>
      <c r="Q16" s="15">
        <f>NPV(0.05,P17:P$17)-$D$8*1.05*NPV(0.05,O17:O$17)</f>
        <v>740</v>
      </c>
      <c r="S16" s="15">
        <f>$D$14*NPV(0.05,N17:N$17)-1.05*NPV(0.05,R17:R$17)</f>
        <v>146.43611953167056</v>
      </c>
    </row>
    <row r="17" spans="1:19" x14ac:dyDescent="0.3">
      <c r="A17" t="s">
        <v>184</v>
      </c>
      <c r="M17" s="16">
        <v>10</v>
      </c>
      <c r="N17" s="17">
        <v>432332</v>
      </c>
      <c r="O17" s="16"/>
      <c r="P17" s="16">
        <v>777</v>
      </c>
    </row>
    <row r="18" spans="1:19" x14ac:dyDescent="0.3">
      <c r="A18" t="s">
        <v>154</v>
      </c>
      <c r="B18" t="s">
        <v>183</v>
      </c>
      <c r="M18" t="s">
        <v>171</v>
      </c>
      <c r="N18" s="15">
        <f>NPV(0.05,N8:N17)</f>
        <v>5289586.0045456765</v>
      </c>
      <c r="O18" s="15">
        <f>1.05*NPV(0.05,O8:O17)</f>
        <v>7610.7936507936502</v>
      </c>
      <c r="P18" s="15">
        <f>NPV(0.05,P8:P17)</f>
        <v>5729.5640151052494</v>
      </c>
      <c r="R18" s="15">
        <f>1.05*NPV(0.05,R8:R17)</f>
        <v>1881.2296356884003</v>
      </c>
    </row>
    <row r="19" spans="1:19" x14ac:dyDescent="0.3">
      <c r="A19" t="s">
        <v>151</v>
      </c>
      <c r="B19" t="s">
        <v>182</v>
      </c>
    </row>
    <row r="20" spans="1:19" x14ac:dyDescent="0.3">
      <c r="A20" t="s">
        <v>149</v>
      </c>
      <c r="B20" t="s">
        <v>181</v>
      </c>
    </row>
    <row r="21" spans="1:19" x14ac:dyDescent="0.3">
      <c r="M21" t="s">
        <v>152</v>
      </c>
    </row>
    <row r="22" spans="1:19" x14ac:dyDescent="0.3">
      <c r="C22" t="s">
        <v>180</v>
      </c>
      <c r="E22" s="14">
        <f>Q25-Q8</f>
        <v>-48.77082339255594</v>
      </c>
    </row>
    <row r="23" spans="1:19" x14ac:dyDescent="0.3">
      <c r="C23" t="s">
        <v>179</v>
      </c>
      <c r="E23" s="14">
        <f>S25-S8</f>
        <v>26.486653167637996</v>
      </c>
      <c r="M23" s="24"/>
      <c r="N23" s="24" t="s">
        <v>147</v>
      </c>
      <c r="O23" s="24" t="s">
        <v>146</v>
      </c>
      <c r="P23" s="23"/>
      <c r="Q23" s="19" t="s">
        <v>178</v>
      </c>
      <c r="R23" s="19" t="s">
        <v>177</v>
      </c>
      <c r="S23" s="19" t="s">
        <v>176</v>
      </c>
    </row>
    <row r="24" spans="1:19" x14ac:dyDescent="0.3">
      <c r="C24" t="s">
        <v>175</v>
      </c>
      <c r="E24" s="14">
        <f>E22+E23</f>
        <v>-22.284170224917943</v>
      </c>
      <c r="M24" s="22" t="s">
        <v>64</v>
      </c>
      <c r="N24" s="22" t="s">
        <v>145</v>
      </c>
      <c r="O24" s="22" t="s">
        <v>138</v>
      </c>
      <c r="P24" s="21" t="s">
        <v>144</v>
      </c>
      <c r="Q24" s="20" t="s">
        <v>174</v>
      </c>
      <c r="R24" s="19" t="s">
        <v>173</v>
      </c>
      <c r="S24" s="19" t="s">
        <v>70</v>
      </c>
    </row>
    <row r="25" spans="1:19" x14ac:dyDescent="0.3">
      <c r="C25" t="s">
        <v>172</v>
      </c>
      <c r="E25" s="13">
        <f>-E24</f>
        <v>22.284170224917943</v>
      </c>
      <c r="M25" s="16">
        <v>1</v>
      </c>
      <c r="N25" s="17">
        <v>1000000</v>
      </c>
      <c r="O25" s="17">
        <v>3000</v>
      </c>
      <c r="P25" s="16">
        <v>771</v>
      </c>
      <c r="Q25" s="15">
        <f>NPV(0.05,P26:P$34)-$N$37*1.05*NPV(0.05,O26:O$34)</f>
        <v>1551.6148001947395</v>
      </c>
      <c r="R25" s="18">
        <f>(1-$N$37)*O25</f>
        <v>787.98590457643775</v>
      </c>
      <c r="S25" s="14">
        <f>$N$38*NPV(0.05,N26:N$34)-1.05*NPV(0.05,R26:R$34)</f>
        <v>449.45322764050297</v>
      </c>
    </row>
    <row r="26" spans="1:19" x14ac:dyDescent="0.3">
      <c r="M26" s="16">
        <v>2</v>
      </c>
      <c r="N26" s="17">
        <v>869329</v>
      </c>
      <c r="O26" s="17">
        <v>2608</v>
      </c>
      <c r="P26" s="16">
        <v>600</v>
      </c>
      <c r="Q26" s="15">
        <f>NPV(0.05,P27:P$34)-$N$37*1.05*NPV(0.05,O27:O$34)</f>
        <v>3048.3220065071041</v>
      </c>
      <c r="R26" s="18">
        <f>(1-$N$37)*O26</f>
        <v>685.02241304511665</v>
      </c>
      <c r="S26" s="14">
        <f>$N$38*NPV(0.05,N27:N$34)-1.05*NPV(0.05,R27:R$34)</f>
        <v>862.65219928988495</v>
      </c>
    </row>
    <row r="27" spans="1:19" x14ac:dyDescent="0.3">
      <c r="M27" s="16">
        <v>3</v>
      </c>
      <c r="N27" s="17">
        <v>781856</v>
      </c>
      <c r="O27" s="17">
        <v>2346</v>
      </c>
      <c r="P27" s="16">
        <v>716</v>
      </c>
      <c r="Q27" s="15">
        <f>NPV(0.05,P28:P$34)-$N$37*1.05*NPV(0.05,O28:O$34)</f>
        <v>4301.0228805847473</v>
      </c>
      <c r="R27" s="18">
        <f>(1-$N$37)*O27</f>
        <v>616.2049773787744</v>
      </c>
      <c r="S27" s="14">
        <f>$N$38*NPV(0.05,N28:N$34)-1.05*NPV(0.05,R28:R$34)</f>
        <v>1257.3116554732439</v>
      </c>
    </row>
    <row r="28" spans="1:19" x14ac:dyDescent="0.3">
      <c r="M28" s="16">
        <v>4</v>
      </c>
      <c r="N28" s="17">
        <v>718649</v>
      </c>
      <c r="O28" s="16"/>
      <c r="P28" s="16">
        <v>720</v>
      </c>
      <c r="Q28" s="15">
        <f>NPV(0.05,P29:P$34)-$N$37*1.05*NPV(0.05,O29:O$34)</f>
        <v>3796.0740246139844</v>
      </c>
      <c r="S28" s="14">
        <f>$N$38*NPV(0.05,N29:N$34)-1.05*NPV(0.05,R29:R$34)</f>
        <v>1048.5768043826761</v>
      </c>
    </row>
    <row r="29" spans="1:19" x14ac:dyDescent="0.3">
      <c r="M29" s="16">
        <v>5</v>
      </c>
      <c r="N29" s="17">
        <v>660494</v>
      </c>
      <c r="O29" s="16"/>
      <c r="P29" s="16">
        <v>726</v>
      </c>
      <c r="Q29" s="15">
        <f>NPV(0.05,P30:P$34)-$N$37*1.05*NPV(0.05,O30:O$34)</f>
        <v>3259.8777258446835</v>
      </c>
      <c r="S29" s="14">
        <f>$N$38*NPV(0.05,N30:N$34)-1.05*NPV(0.05,R30:R$34)</f>
        <v>851.38384457882091</v>
      </c>
    </row>
    <row r="30" spans="1:19" x14ac:dyDescent="0.3">
      <c r="M30" s="16">
        <v>6</v>
      </c>
      <c r="N30" s="17">
        <v>606986</v>
      </c>
      <c r="O30" s="16"/>
      <c r="P30" s="16">
        <v>734</v>
      </c>
      <c r="Q30" s="15">
        <f>NPV(0.05,P31:P$34)-$N$37*1.05*NPV(0.05,O31:O$34)</f>
        <v>2688.871612136918</v>
      </c>
      <c r="S30" s="14">
        <f>$N$38*NPV(0.05,N31:N$34)-1.05*NPV(0.05,R31:R$34)</f>
        <v>664.55362075136497</v>
      </c>
    </row>
    <row r="31" spans="1:19" x14ac:dyDescent="0.3">
      <c r="M31" s="16">
        <v>7</v>
      </c>
      <c r="N31" s="17">
        <v>557753</v>
      </c>
      <c r="O31" s="16"/>
      <c r="P31" s="16">
        <v>742</v>
      </c>
      <c r="Q31" s="15">
        <f>NPV(0.05,P32:P$34)-$N$37*1.05*NPV(0.05,O32:O$34)</f>
        <v>2081.3151927437639</v>
      </c>
      <c r="S31" s="14">
        <f>$N$38*NPV(0.05,N32:N$34)-1.05*NPV(0.05,R32:R$34)</f>
        <v>486.98861051812361</v>
      </c>
    </row>
    <row r="32" spans="1:19" x14ac:dyDescent="0.3">
      <c r="M32" s="16">
        <v>8</v>
      </c>
      <c r="N32" s="17">
        <v>512449</v>
      </c>
      <c r="O32" s="16"/>
      <c r="P32" s="16">
        <v>753</v>
      </c>
      <c r="Q32" s="15">
        <f>NPV(0.05,P33:P$34)-$N$37*1.05*NPV(0.05,O33:O$34)</f>
        <v>1432.3809523809523</v>
      </c>
      <c r="S32" s="14">
        <f>$N$38*NPV(0.05,N33:N$34)-1.05*NPV(0.05,R33:R$34)</f>
        <v>317.66717984017237</v>
      </c>
    </row>
    <row r="33" spans="13:19" x14ac:dyDescent="0.3">
      <c r="M33" s="16">
        <v>9</v>
      </c>
      <c r="N33" s="17">
        <v>470761</v>
      </c>
      <c r="O33" s="16"/>
      <c r="P33" s="16">
        <v>764</v>
      </c>
      <c r="Q33" s="15">
        <f>NPV(0.05,P34:P$34)-$N$37*1.05*NPV(0.05,O34:O$34)</f>
        <v>740</v>
      </c>
      <c r="S33" s="14">
        <f>$N$38*NPV(0.05,N34:N$34)-1.05*NPV(0.05,R34:R$34)</f>
        <v>155.63490568392794</v>
      </c>
    </row>
    <row r="34" spans="13:19" x14ac:dyDescent="0.3">
      <c r="M34" s="16">
        <v>10</v>
      </c>
      <c r="N34" s="17">
        <v>432397</v>
      </c>
      <c r="O34" s="16"/>
      <c r="P34" s="16">
        <v>777</v>
      </c>
      <c r="S34" s="14"/>
    </row>
    <row r="35" spans="13:19" x14ac:dyDescent="0.3">
      <c r="M35" t="s">
        <v>171</v>
      </c>
      <c r="N35" s="15">
        <f>NPV(0.05,N25:N34)</f>
        <v>5290116.8178970199</v>
      </c>
      <c r="O35" s="15">
        <f>1.05*NPV(0.05,O25:O34)</f>
        <v>7611.7006802721089</v>
      </c>
      <c r="P35" s="15">
        <f>NPV(0.05,P25:P34)</f>
        <v>5612.3963983023405</v>
      </c>
      <c r="R35" s="15">
        <f>1.05*NPV(0.05,R25:R34)</f>
        <v>1999.3042819697685</v>
      </c>
    </row>
    <row r="37" spans="13:19" x14ac:dyDescent="0.3">
      <c r="M37" t="s">
        <v>170</v>
      </c>
      <c r="N37">
        <f>P35/O35</f>
        <v>0.73733803180785407</v>
      </c>
    </row>
    <row r="38" spans="13:19" x14ac:dyDescent="0.3">
      <c r="M38" t="s">
        <v>169</v>
      </c>
      <c r="N38">
        <f>R35/N35</f>
        <v>3.7793197216475682E-4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993A-F297-4F18-90C7-E5AB363943E8}">
  <sheetPr>
    <tabColor theme="5" tint="0.39997558519241921"/>
  </sheetPr>
  <dimension ref="A1:S45"/>
  <sheetViews>
    <sheetView zoomScale="115" zoomScaleNormal="115" workbookViewId="0"/>
  </sheetViews>
  <sheetFormatPr defaultRowHeight="14.4" x14ac:dyDescent="0.3"/>
  <cols>
    <col min="1" max="49" width="10.6640625" customWidth="1"/>
  </cols>
  <sheetData>
    <row r="1" spans="1:19" x14ac:dyDescent="0.3">
      <c r="A1" s="67" t="s">
        <v>562</v>
      </c>
    </row>
    <row r="3" spans="1:19" x14ac:dyDescent="0.3">
      <c r="A3" s="7" t="s">
        <v>23</v>
      </c>
    </row>
    <row r="4" spans="1:19" x14ac:dyDescent="0.3">
      <c r="A4" t="s">
        <v>217</v>
      </c>
      <c r="B4" s="29"/>
      <c r="C4" s="29"/>
      <c r="D4" s="29"/>
      <c r="E4" s="29"/>
      <c r="F4" s="29"/>
      <c r="G4" s="29"/>
      <c r="H4" s="29"/>
    </row>
    <row r="5" spans="1:19" x14ac:dyDescent="0.3">
      <c r="A5" s="29"/>
      <c r="B5" s="29"/>
      <c r="C5" s="29"/>
      <c r="D5" s="29"/>
      <c r="E5" s="29"/>
      <c r="F5" s="29"/>
      <c r="G5" s="29"/>
      <c r="H5" s="29"/>
      <c r="J5" s="38"/>
      <c r="K5" s="38" t="s">
        <v>216</v>
      </c>
      <c r="L5" s="37" t="s">
        <v>215</v>
      </c>
      <c r="M5" s="19"/>
      <c r="N5" s="19"/>
      <c r="O5" s="19"/>
      <c r="P5" s="19"/>
      <c r="Q5" s="19"/>
      <c r="R5" s="19"/>
      <c r="S5" s="19"/>
    </row>
    <row r="6" spans="1:19" x14ac:dyDescent="0.3">
      <c r="A6" s="29" t="s">
        <v>214</v>
      </c>
      <c r="B6" s="29"/>
      <c r="C6" s="29"/>
      <c r="D6" s="29"/>
      <c r="E6" s="29"/>
      <c r="F6" s="29"/>
      <c r="G6" s="29"/>
      <c r="H6" s="29"/>
      <c r="J6" s="36" t="s">
        <v>64</v>
      </c>
      <c r="K6" s="36" t="s">
        <v>213</v>
      </c>
      <c r="L6" s="35" t="s">
        <v>62</v>
      </c>
      <c r="M6" s="19"/>
      <c r="N6" s="19"/>
      <c r="O6" s="19"/>
      <c r="P6" s="19"/>
      <c r="Q6" s="19"/>
      <c r="R6" s="19"/>
      <c r="S6" s="19"/>
    </row>
    <row r="7" spans="1:19" x14ac:dyDescent="0.3">
      <c r="A7" s="29" t="s">
        <v>212</v>
      </c>
      <c r="B7" s="29"/>
      <c r="C7" s="29"/>
      <c r="D7" s="29"/>
      <c r="E7" s="29"/>
      <c r="F7" s="29"/>
      <c r="G7" s="29"/>
      <c r="H7" s="29"/>
      <c r="J7" s="33">
        <v>0</v>
      </c>
      <c r="K7" s="32">
        <v>1</v>
      </c>
      <c r="L7" s="33"/>
      <c r="N7" s="34"/>
      <c r="O7" s="28"/>
      <c r="Q7" s="27"/>
      <c r="R7" s="18"/>
      <c r="S7" s="27"/>
    </row>
    <row r="8" spans="1:19" x14ac:dyDescent="0.3">
      <c r="A8" s="29" t="s">
        <v>211</v>
      </c>
      <c r="B8" s="29"/>
      <c r="C8" s="29"/>
      <c r="D8" s="29"/>
      <c r="E8" s="29"/>
      <c r="F8" s="29"/>
      <c r="G8" s="29"/>
      <c r="H8" s="29"/>
      <c r="J8" s="33">
        <v>1</v>
      </c>
      <c r="K8" s="32">
        <v>1.2</v>
      </c>
      <c r="L8" s="31">
        <f t="shared" ref="L8:L27" si="0">ROUND(1-EXP(-0.00016*1.07^(45+J8)*0.07/LN(1.07)),4)</f>
        <v>3.7000000000000002E-3</v>
      </c>
      <c r="N8" s="28"/>
      <c r="O8" s="28"/>
      <c r="Q8" s="27"/>
      <c r="R8" s="18"/>
      <c r="S8" s="27"/>
    </row>
    <row r="9" spans="1:19" x14ac:dyDescent="0.3">
      <c r="A9" s="29"/>
      <c r="B9" s="29"/>
      <c r="C9" s="29"/>
      <c r="D9" s="29"/>
      <c r="E9" s="29"/>
      <c r="F9" s="29"/>
      <c r="G9" s="29"/>
      <c r="H9" s="29"/>
      <c r="J9" s="33">
        <v>2</v>
      </c>
      <c r="K9" s="32">
        <v>0.95</v>
      </c>
      <c r="L9" s="31">
        <f t="shared" si="0"/>
        <v>4.0000000000000001E-3</v>
      </c>
      <c r="N9" s="28"/>
      <c r="O9" s="28"/>
      <c r="Q9" s="27"/>
      <c r="R9" s="18"/>
      <c r="S9" s="27"/>
    </row>
    <row r="10" spans="1:19" x14ac:dyDescent="0.3">
      <c r="A10" s="29" t="s">
        <v>210</v>
      </c>
      <c r="B10" s="29"/>
      <c r="C10" s="29"/>
      <c r="D10" s="29"/>
      <c r="E10" s="29"/>
      <c r="F10" s="29"/>
      <c r="G10" s="29"/>
      <c r="H10" s="29"/>
      <c r="J10" s="33">
        <v>3</v>
      </c>
      <c r="K10" s="32">
        <v>1.05</v>
      </c>
      <c r="L10" s="31">
        <f t="shared" si="0"/>
        <v>4.3E-3</v>
      </c>
      <c r="N10" s="28"/>
      <c r="Q10" s="27"/>
      <c r="S10" s="27"/>
    </row>
    <row r="11" spans="1:19" x14ac:dyDescent="0.3">
      <c r="A11" s="29"/>
      <c r="B11" s="29"/>
      <c r="C11" s="29"/>
      <c r="D11" s="29"/>
      <c r="E11" s="29"/>
      <c r="F11" s="29"/>
      <c r="G11" s="29"/>
      <c r="H11" s="29"/>
      <c r="J11" s="33">
        <v>4</v>
      </c>
      <c r="K11" s="32">
        <v>1.18</v>
      </c>
      <c r="L11" s="31">
        <f t="shared" si="0"/>
        <v>4.4999999999999997E-3</v>
      </c>
      <c r="N11" s="28"/>
      <c r="Q11" s="27"/>
      <c r="S11" s="27"/>
    </row>
    <row r="12" spans="1:19" x14ac:dyDescent="0.3">
      <c r="A12" s="29" t="s">
        <v>209</v>
      </c>
      <c r="B12" s="29"/>
      <c r="C12" s="29"/>
      <c r="D12" s="29"/>
      <c r="E12" s="29"/>
      <c r="F12" s="29"/>
      <c r="G12" s="29"/>
      <c r="H12" s="29"/>
      <c r="J12" s="33">
        <v>5</v>
      </c>
      <c r="K12" s="32">
        <v>1.3</v>
      </c>
      <c r="L12" s="31">
        <f t="shared" si="0"/>
        <v>4.8999999999999998E-3</v>
      </c>
      <c r="N12" s="28"/>
      <c r="Q12" s="27"/>
      <c r="S12" s="27"/>
    </row>
    <row r="13" spans="1:19" x14ac:dyDescent="0.3">
      <c r="A13" s="29" t="s">
        <v>208</v>
      </c>
      <c r="B13" s="29"/>
      <c r="C13" s="29"/>
      <c r="D13" s="29"/>
      <c r="E13" s="29"/>
      <c r="F13" s="29"/>
      <c r="G13" s="29"/>
      <c r="H13" s="29"/>
      <c r="J13" s="33">
        <v>6</v>
      </c>
      <c r="K13" s="32">
        <v>1.4</v>
      </c>
      <c r="L13" s="31">
        <f t="shared" si="0"/>
        <v>5.1999999999999998E-3</v>
      </c>
      <c r="N13" s="28"/>
      <c r="Q13" s="27"/>
      <c r="S13" s="27"/>
    </row>
    <row r="14" spans="1:19" x14ac:dyDescent="0.3">
      <c r="A14" s="29" t="s">
        <v>207</v>
      </c>
      <c r="B14" s="29"/>
      <c r="C14" s="29"/>
      <c r="D14" s="29"/>
      <c r="E14" s="29"/>
      <c r="F14" s="29"/>
      <c r="G14" s="29"/>
      <c r="H14" s="29"/>
      <c r="J14" s="33">
        <v>7</v>
      </c>
      <c r="K14" s="32">
        <v>1.25</v>
      </c>
      <c r="L14" s="31">
        <f t="shared" si="0"/>
        <v>5.5999999999999999E-3</v>
      </c>
      <c r="N14" s="28"/>
      <c r="Q14" s="27"/>
      <c r="S14" s="27"/>
    </row>
    <row r="15" spans="1:19" x14ac:dyDescent="0.3">
      <c r="A15" s="29"/>
      <c r="B15" s="29"/>
      <c r="C15" s="29"/>
      <c r="D15" s="29"/>
      <c r="E15" s="29"/>
      <c r="F15" s="29"/>
      <c r="G15" s="29"/>
      <c r="H15" s="29"/>
      <c r="J15" s="33">
        <v>8</v>
      </c>
      <c r="K15" s="32">
        <v>1.6</v>
      </c>
      <c r="L15" s="31">
        <f t="shared" si="0"/>
        <v>6.0000000000000001E-3</v>
      </c>
      <c r="N15" s="28"/>
      <c r="Q15" s="27"/>
      <c r="S15" s="27"/>
    </row>
    <row r="16" spans="1:19" x14ac:dyDescent="0.3">
      <c r="A16" s="29" t="s">
        <v>206</v>
      </c>
      <c r="B16" s="29"/>
      <c r="C16" s="29"/>
      <c r="D16" s="29"/>
      <c r="E16" s="29"/>
      <c r="F16" s="29"/>
      <c r="G16" s="29"/>
      <c r="H16" s="29"/>
      <c r="J16" s="33">
        <v>9</v>
      </c>
      <c r="K16" s="32">
        <v>1.3</v>
      </c>
      <c r="L16" s="31">
        <f t="shared" si="0"/>
        <v>6.4000000000000003E-3</v>
      </c>
      <c r="N16" s="28"/>
    </row>
    <row r="17" spans="1:19" x14ac:dyDescent="0.3">
      <c r="A17" s="29" t="s">
        <v>205</v>
      </c>
      <c r="B17" s="29"/>
      <c r="C17" s="29"/>
      <c r="D17" s="29"/>
      <c r="E17" s="29"/>
      <c r="F17" s="29"/>
      <c r="G17" s="29"/>
      <c r="H17" s="29"/>
      <c r="J17" s="33">
        <v>10</v>
      </c>
      <c r="K17" s="32">
        <v>1.35</v>
      </c>
      <c r="L17" s="31">
        <f t="shared" si="0"/>
        <v>6.7999999999999996E-3</v>
      </c>
      <c r="N17" s="28"/>
      <c r="O17" s="28"/>
      <c r="P17" s="28"/>
      <c r="R17" s="27"/>
    </row>
    <row r="18" spans="1:19" x14ac:dyDescent="0.3">
      <c r="A18" s="29"/>
      <c r="B18" s="29"/>
      <c r="C18" s="29"/>
      <c r="D18" s="29"/>
      <c r="E18" s="29"/>
      <c r="F18" s="29"/>
      <c r="G18" s="29"/>
      <c r="H18" s="29"/>
      <c r="J18" s="33">
        <v>11</v>
      </c>
      <c r="K18" s="32">
        <v>1.5</v>
      </c>
      <c r="L18" s="31">
        <f t="shared" si="0"/>
        <v>7.3000000000000001E-3</v>
      </c>
      <c r="N18" s="28"/>
      <c r="O18" s="28"/>
      <c r="P18" s="28"/>
      <c r="R18" s="27"/>
    </row>
    <row r="19" spans="1:19" x14ac:dyDescent="0.3">
      <c r="A19" s="29" t="s">
        <v>204</v>
      </c>
      <c r="B19" s="29"/>
      <c r="C19" s="29"/>
      <c r="D19" s="29"/>
      <c r="E19" s="29"/>
      <c r="F19" s="29"/>
      <c r="G19" s="29"/>
      <c r="H19" s="29"/>
      <c r="J19" s="33">
        <v>12</v>
      </c>
      <c r="K19" s="32">
        <v>1.4</v>
      </c>
      <c r="L19" s="31">
        <f t="shared" si="0"/>
        <v>7.7999999999999996E-3</v>
      </c>
      <c r="N19" s="28"/>
      <c r="O19" s="28"/>
      <c r="P19" s="28"/>
      <c r="R19" s="27"/>
    </row>
    <row r="20" spans="1:19" x14ac:dyDescent="0.3">
      <c r="A20" s="29"/>
      <c r="B20" s="29"/>
      <c r="C20" s="29"/>
      <c r="D20" s="29"/>
      <c r="E20" s="29"/>
      <c r="F20" s="29"/>
      <c r="G20" s="29"/>
      <c r="H20" s="29"/>
      <c r="J20" s="33">
        <v>13</v>
      </c>
      <c r="K20" s="32">
        <v>1.47</v>
      </c>
      <c r="L20" s="31">
        <f t="shared" si="0"/>
        <v>8.3000000000000001E-3</v>
      </c>
    </row>
    <row r="21" spans="1:19" x14ac:dyDescent="0.3">
      <c r="A21" s="29" t="s">
        <v>162</v>
      </c>
      <c r="B21" s="29" t="s">
        <v>154</v>
      </c>
      <c r="C21" s="29" t="s">
        <v>203</v>
      </c>
      <c r="D21" s="29"/>
      <c r="E21" s="29"/>
      <c r="F21" s="29"/>
      <c r="G21" s="29"/>
      <c r="H21" s="29"/>
      <c r="J21" s="33">
        <v>14</v>
      </c>
      <c r="K21" s="32">
        <v>1.58</v>
      </c>
      <c r="L21" s="31">
        <f t="shared" si="0"/>
        <v>8.8999999999999999E-3</v>
      </c>
    </row>
    <row r="22" spans="1:19" x14ac:dyDescent="0.3">
      <c r="A22" s="29"/>
      <c r="B22" s="29"/>
      <c r="C22" s="29" t="s">
        <v>202</v>
      </c>
      <c r="D22" s="29"/>
      <c r="E22" s="29"/>
      <c r="F22" s="29"/>
      <c r="G22" s="29"/>
      <c r="H22" s="29"/>
      <c r="J22" s="33">
        <v>15</v>
      </c>
      <c r="K22" s="32">
        <v>1.82</v>
      </c>
      <c r="L22" s="31">
        <f t="shared" si="0"/>
        <v>9.4999999999999998E-3</v>
      </c>
    </row>
    <row r="23" spans="1:19" x14ac:dyDescent="0.3">
      <c r="A23" s="29"/>
      <c r="B23" s="29" t="s">
        <v>151</v>
      </c>
      <c r="C23" s="29" t="s">
        <v>201</v>
      </c>
      <c r="D23" s="29"/>
      <c r="E23" s="29"/>
      <c r="F23" s="29"/>
      <c r="G23" s="29"/>
      <c r="H23" s="29"/>
      <c r="J23" s="33">
        <v>16</v>
      </c>
      <c r="K23" s="32">
        <v>1.74</v>
      </c>
      <c r="L23" s="31">
        <f t="shared" si="0"/>
        <v>1.0200000000000001E-2</v>
      </c>
    </row>
    <row r="24" spans="1:19" x14ac:dyDescent="0.3">
      <c r="A24" s="29"/>
      <c r="B24" s="29"/>
      <c r="C24" s="29"/>
      <c r="D24" s="29"/>
      <c r="E24" s="29"/>
      <c r="F24" s="29"/>
      <c r="G24" s="29"/>
      <c r="H24" s="29"/>
      <c r="J24" s="33">
        <v>17</v>
      </c>
      <c r="K24" s="32">
        <v>1.81</v>
      </c>
      <c r="L24" s="31">
        <f t="shared" si="0"/>
        <v>1.09E-2</v>
      </c>
      <c r="M24" s="19"/>
      <c r="N24" s="19"/>
      <c r="O24" s="19"/>
      <c r="P24" s="19"/>
      <c r="Q24" s="19"/>
      <c r="R24" s="19"/>
      <c r="S24" s="19"/>
    </row>
    <row r="25" spans="1:19" x14ac:dyDescent="0.3">
      <c r="A25" s="29" t="s">
        <v>159</v>
      </c>
      <c r="B25" s="29" t="s">
        <v>200</v>
      </c>
      <c r="C25" s="29"/>
      <c r="D25" s="29"/>
      <c r="E25" s="29"/>
      <c r="F25" s="29"/>
      <c r="G25" s="29"/>
      <c r="H25" s="29"/>
      <c r="J25" s="33">
        <v>18</v>
      </c>
      <c r="K25" s="32">
        <v>1.88</v>
      </c>
      <c r="L25" s="31">
        <f t="shared" si="0"/>
        <v>1.17E-2</v>
      </c>
      <c r="M25" s="19"/>
      <c r="N25" s="19"/>
      <c r="O25" s="19"/>
      <c r="P25" s="19"/>
      <c r="Q25" s="19"/>
      <c r="R25" s="19"/>
      <c r="S25" s="19"/>
    </row>
    <row r="26" spans="1:19" x14ac:dyDescent="0.3">
      <c r="A26" s="29"/>
      <c r="B26" s="29" t="s">
        <v>199</v>
      </c>
      <c r="C26" s="29"/>
      <c r="D26" s="29"/>
      <c r="E26" s="29"/>
      <c r="F26" s="29"/>
      <c r="G26" s="29"/>
      <c r="H26" s="29"/>
      <c r="J26" s="33">
        <v>19</v>
      </c>
      <c r="K26" s="32">
        <v>1.9</v>
      </c>
      <c r="L26" s="31">
        <f t="shared" si="0"/>
        <v>1.2500000000000001E-2</v>
      </c>
      <c r="N26" s="28"/>
      <c r="O26" s="28"/>
      <c r="Q26" s="27"/>
      <c r="R26" s="18"/>
      <c r="S26" s="14"/>
    </row>
    <row r="27" spans="1:19" x14ac:dyDescent="0.3">
      <c r="A27" s="29"/>
      <c r="B27" s="29"/>
      <c r="C27" s="29"/>
      <c r="D27" s="29"/>
      <c r="E27" s="29"/>
      <c r="F27" s="29"/>
      <c r="G27" s="29"/>
      <c r="H27" s="29"/>
      <c r="J27" s="33">
        <v>20</v>
      </c>
      <c r="K27" s="32">
        <v>1.95</v>
      </c>
      <c r="L27" s="31">
        <f t="shared" si="0"/>
        <v>1.34E-2</v>
      </c>
      <c r="N27" s="28"/>
      <c r="O27" s="28"/>
      <c r="Q27" s="27"/>
      <c r="R27" s="18"/>
      <c r="S27" s="14"/>
    </row>
    <row r="28" spans="1:19" x14ac:dyDescent="0.3">
      <c r="A28" s="29"/>
      <c r="B28" s="29" t="s">
        <v>198</v>
      </c>
      <c r="C28" s="29"/>
      <c r="D28" s="30"/>
      <c r="E28" s="29"/>
      <c r="F28" s="29"/>
      <c r="G28" s="29"/>
      <c r="H28" s="29"/>
      <c r="N28" s="28"/>
      <c r="O28" s="28"/>
      <c r="Q28" s="27"/>
      <c r="R28" s="18"/>
      <c r="S28" s="14"/>
    </row>
    <row r="29" spans="1:19" x14ac:dyDescent="0.3">
      <c r="A29" s="29"/>
      <c r="B29" s="29" t="s">
        <v>197</v>
      </c>
      <c r="C29" s="29"/>
      <c r="D29" s="29"/>
      <c r="E29" s="29"/>
      <c r="F29" s="29"/>
      <c r="G29" s="29"/>
      <c r="H29" s="29"/>
      <c r="N29" s="28"/>
      <c r="Q29" s="27"/>
      <c r="S29" s="14"/>
    </row>
    <row r="30" spans="1:19" x14ac:dyDescent="0.3">
      <c r="A30" s="29"/>
      <c r="B30" s="29"/>
      <c r="C30" s="29"/>
      <c r="D30" s="29"/>
      <c r="E30" s="29"/>
      <c r="F30" s="29"/>
      <c r="G30" s="29"/>
      <c r="H30" s="29"/>
      <c r="N30" s="28"/>
      <c r="Q30" s="27"/>
      <c r="S30" s="14"/>
    </row>
    <row r="31" spans="1:19" x14ac:dyDescent="0.3">
      <c r="A31" s="29"/>
      <c r="B31" s="29" t="s">
        <v>196</v>
      </c>
      <c r="C31" s="29"/>
      <c r="D31" s="29"/>
      <c r="E31" s="29"/>
      <c r="F31" s="29"/>
      <c r="G31" s="29"/>
      <c r="H31" s="29"/>
      <c r="N31" s="28"/>
      <c r="Q31" s="27"/>
      <c r="S31" s="14"/>
    </row>
    <row r="32" spans="1:19" x14ac:dyDescent="0.3">
      <c r="A32" s="29"/>
      <c r="B32" s="29" t="s">
        <v>195</v>
      </c>
      <c r="C32" s="29"/>
      <c r="D32" s="29"/>
      <c r="E32" s="29"/>
      <c r="F32" s="29"/>
      <c r="G32" s="29"/>
      <c r="H32" s="29"/>
      <c r="N32" s="28"/>
      <c r="Q32" s="27"/>
      <c r="S32" s="14"/>
    </row>
    <row r="33" spans="1:19" x14ac:dyDescent="0.3">
      <c r="A33" s="29"/>
      <c r="B33" s="29"/>
      <c r="C33" s="29"/>
      <c r="D33" s="29"/>
      <c r="E33" s="29"/>
      <c r="F33" s="29"/>
      <c r="G33" s="29"/>
      <c r="H33" s="29"/>
      <c r="N33" s="28"/>
      <c r="Q33" s="27"/>
      <c r="S33" s="14"/>
    </row>
    <row r="34" spans="1:19" x14ac:dyDescent="0.3">
      <c r="A34" s="29"/>
      <c r="B34" s="29" t="s">
        <v>194</v>
      </c>
      <c r="C34" s="29"/>
      <c r="D34" s="29"/>
      <c r="E34" s="29"/>
      <c r="F34" s="29"/>
      <c r="G34" s="29"/>
      <c r="H34" s="29"/>
      <c r="N34" s="28"/>
      <c r="Q34" s="27"/>
      <c r="S34" s="14"/>
    </row>
    <row r="35" spans="1:19" x14ac:dyDescent="0.3">
      <c r="N35" s="28"/>
      <c r="S35" s="14"/>
    </row>
    <row r="36" spans="1:19" x14ac:dyDescent="0.3">
      <c r="N36" s="28"/>
      <c r="O36" s="28"/>
      <c r="P36" s="28"/>
      <c r="R36" s="27"/>
    </row>
    <row r="42" spans="1:19" x14ac:dyDescent="0.3">
      <c r="E42" s="14"/>
    </row>
    <row r="43" spans="1:19" x14ac:dyDescent="0.3">
      <c r="E43" s="14"/>
    </row>
    <row r="44" spans="1:19" x14ac:dyDescent="0.3">
      <c r="E44" s="14"/>
    </row>
    <row r="45" spans="1:19" x14ac:dyDescent="0.3">
      <c r="E45" s="1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A0A58-2A57-4FA8-9291-088AB3D65D9C}">
  <sheetPr>
    <tabColor theme="9" tint="0.59999389629810485"/>
  </sheetPr>
  <dimension ref="A1:X52"/>
  <sheetViews>
    <sheetView zoomScale="115" zoomScaleNormal="115" workbookViewId="0"/>
  </sheetViews>
  <sheetFormatPr defaultRowHeight="14.4" x14ac:dyDescent="0.3"/>
  <cols>
    <col min="1" max="12" width="10.6640625" customWidth="1"/>
    <col min="13" max="14" width="11" customWidth="1"/>
    <col min="15" max="15" width="12.6640625" customWidth="1"/>
    <col min="16" max="50" width="10.6640625" customWidth="1"/>
  </cols>
  <sheetData>
    <row r="1" spans="1:24" x14ac:dyDescent="0.3">
      <c r="A1" s="67" t="s">
        <v>562</v>
      </c>
    </row>
    <row r="3" spans="1:24" x14ac:dyDescent="0.3">
      <c r="A3" s="7" t="s">
        <v>23</v>
      </c>
    </row>
    <row r="4" spans="1:24" x14ac:dyDescent="0.3">
      <c r="A4" t="s">
        <v>217</v>
      </c>
    </row>
    <row r="6" spans="1:24" x14ac:dyDescent="0.3">
      <c r="A6" t="s">
        <v>193</v>
      </c>
      <c r="C6" t="s">
        <v>193</v>
      </c>
      <c r="J6" s="38"/>
      <c r="K6" s="38" t="s">
        <v>216</v>
      </c>
      <c r="L6" s="37" t="s">
        <v>215</v>
      </c>
      <c r="M6" s="19"/>
      <c r="N6" s="19" t="s">
        <v>235</v>
      </c>
      <c r="O6" s="19" t="s">
        <v>5</v>
      </c>
      <c r="P6" s="19"/>
      <c r="Q6" s="19" t="s">
        <v>5</v>
      </c>
      <c r="R6" s="19" t="s">
        <v>235</v>
      </c>
      <c r="S6" s="19"/>
      <c r="T6" s="19" t="s">
        <v>234</v>
      </c>
      <c r="U6" s="19" t="s">
        <v>233</v>
      </c>
      <c r="V6" s="19" t="s">
        <v>232</v>
      </c>
      <c r="W6" s="19" t="s">
        <v>231</v>
      </c>
      <c r="X6" s="19" t="s">
        <v>231</v>
      </c>
    </row>
    <row r="7" spans="1:24" x14ac:dyDescent="0.3">
      <c r="D7" t="s">
        <v>244</v>
      </c>
      <c r="J7" s="36" t="s">
        <v>64</v>
      </c>
      <c r="K7" s="36" t="s">
        <v>213</v>
      </c>
      <c r="L7" s="35" t="s">
        <v>62</v>
      </c>
      <c r="M7" s="19" t="s">
        <v>138</v>
      </c>
      <c r="N7" s="19" t="s">
        <v>229</v>
      </c>
      <c r="O7" s="19" t="s">
        <v>228</v>
      </c>
      <c r="P7" s="19" t="s">
        <v>227</v>
      </c>
      <c r="Q7" s="19" t="s">
        <v>226</v>
      </c>
      <c r="R7" s="19" t="s">
        <v>225</v>
      </c>
      <c r="S7" s="19" t="s">
        <v>224</v>
      </c>
      <c r="T7" s="19" t="s">
        <v>62</v>
      </c>
      <c r="U7" s="19" t="s">
        <v>62</v>
      </c>
      <c r="V7" s="19" t="s">
        <v>62</v>
      </c>
      <c r="W7" s="19" t="s">
        <v>144</v>
      </c>
      <c r="X7" s="19" t="s">
        <v>223</v>
      </c>
    </row>
    <row r="8" spans="1:24" x14ac:dyDescent="0.3">
      <c r="D8" t="s">
        <v>243</v>
      </c>
      <c r="J8" s="33">
        <v>0</v>
      </c>
      <c r="K8" s="32">
        <v>1</v>
      </c>
      <c r="L8" s="33"/>
      <c r="M8" s="28">
        <v>100000</v>
      </c>
      <c r="N8" s="28"/>
      <c r="O8" s="43"/>
      <c r="P8" s="43"/>
      <c r="R8" s="43"/>
      <c r="S8" s="42">
        <v>1</v>
      </c>
      <c r="T8" s="43"/>
      <c r="V8">
        <v>1</v>
      </c>
    </row>
    <row r="9" spans="1:24" x14ac:dyDescent="0.3">
      <c r="C9" t="s">
        <v>154</v>
      </c>
      <c r="D9" t="s">
        <v>242</v>
      </c>
      <c r="J9" s="33">
        <v>1</v>
      </c>
      <c r="K9" s="32">
        <v>1.2</v>
      </c>
      <c r="L9" s="31">
        <f t="shared" ref="L9:L28" si="0">ROUND(1-EXP(-0.00016*1.07^(45+J9)*0.07/LN(1.07)),4)</f>
        <v>3.7000000000000002E-3</v>
      </c>
      <c r="O9" s="43">
        <f>M8</f>
        <v>100000</v>
      </c>
      <c r="P9" s="43">
        <f t="shared" ref="P9:P28" si="1">0.015*O9</f>
        <v>1500</v>
      </c>
      <c r="Q9" s="14">
        <f t="shared" ref="Q9:Q28" si="2">(O9-P9)*(K9/K8)</f>
        <v>118200</v>
      </c>
      <c r="R9" s="43"/>
      <c r="S9" s="42">
        <f t="shared" ref="S9:S18" si="3">S8*(1-L9)*0.95</f>
        <v>0.94648499999999991</v>
      </c>
      <c r="T9" s="41">
        <v>0.03</v>
      </c>
      <c r="U9">
        <v>2E-3</v>
      </c>
      <c r="V9" s="40">
        <f t="shared" ref="V9:V28" si="4">V8/(1+T9+U9)</f>
        <v>0.96899224806201545</v>
      </c>
      <c r="X9" s="39">
        <f t="shared" ref="X9:X28" si="5">S8*P9</f>
        <v>1500</v>
      </c>
    </row>
    <row r="10" spans="1:24" x14ac:dyDescent="0.3">
      <c r="D10" t="s">
        <v>241</v>
      </c>
      <c r="E10" s="12">
        <f>V28*W28</f>
        <v>11421.513212643937</v>
      </c>
      <c r="J10" s="33">
        <v>2</v>
      </c>
      <c r="K10" s="32">
        <v>0.95</v>
      </c>
      <c r="L10" s="31">
        <f t="shared" si="0"/>
        <v>4.0000000000000001E-3</v>
      </c>
      <c r="O10" s="43">
        <f t="shared" ref="O10:O28" si="6">Q9</f>
        <v>118200</v>
      </c>
      <c r="P10" s="43">
        <f t="shared" si="1"/>
        <v>1773</v>
      </c>
      <c r="Q10" s="14">
        <f t="shared" si="2"/>
        <v>92171.375</v>
      </c>
      <c r="R10" s="43"/>
      <c r="S10" s="42">
        <f t="shared" si="3"/>
        <v>0.89556410699999989</v>
      </c>
      <c r="T10" s="41">
        <v>0.03</v>
      </c>
      <c r="U10">
        <v>2E-3</v>
      </c>
      <c r="V10" s="40">
        <f t="shared" si="4"/>
        <v>0.93894597680427849</v>
      </c>
      <c r="X10" s="39">
        <f t="shared" si="5"/>
        <v>1678.1179049999998</v>
      </c>
    </row>
    <row r="11" spans="1:24" x14ac:dyDescent="0.3">
      <c r="C11" t="s">
        <v>151</v>
      </c>
      <c r="D11" t="s">
        <v>240</v>
      </c>
      <c r="J11" s="33">
        <v>3</v>
      </c>
      <c r="K11" s="32">
        <v>1.05</v>
      </c>
      <c r="L11" s="31">
        <f t="shared" si="0"/>
        <v>4.3E-3</v>
      </c>
      <c r="O11" s="43">
        <f t="shared" si="6"/>
        <v>92171.375</v>
      </c>
      <c r="P11" s="43">
        <f t="shared" si="1"/>
        <v>1382.5706249999998</v>
      </c>
      <c r="Q11" s="14">
        <f t="shared" si="2"/>
        <v>100345.52062500002</v>
      </c>
      <c r="R11" s="43"/>
      <c r="S11" s="42">
        <f t="shared" si="3"/>
        <v>0.84712752227290489</v>
      </c>
      <c r="T11" s="41">
        <v>0.03</v>
      </c>
      <c r="U11">
        <v>2E-3</v>
      </c>
      <c r="V11" s="40">
        <f t="shared" si="4"/>
        <v>0.90983137287236282</v>
      </c>
      <c r="X11" s="39">
        <f t="shared" si="5"/>
        <v>1238.1806271425567</v>
      </c>
    </row>
    <row r="12" spans="1:24" x14ac:dyDescent="0.3">
      <c r="D12" t="s">
        <v>239</v>
      </c>
      <c r="J12" s="33">
        <v>4</v>
      </c>
      <c r="K12" s="32">
        <v>1.18</v>
      </c>
      <c r="L12" s="31">
        <f t="shared" si="0"/>
        <v>4.4999999999999997E-3</v>
      </c>
      <c r="O12" s="43">
        <f t="shared" si="6"/>
        <v>100345.52062500002</v>
      </c>
      <c r="P12" s="43">
        <f t="shared" si="1"/>
        <v>1505.1828093750003</v>
      </c>
      <c r="Q12" s="14">
        <f t="shared" si="2"/>
        <v>111077.71297375004</v>
      </c>
      <c r="R12" s="43"/>
      <c r="S12" s="42">
        <f t="shared" si="3"/>
        <v>0.80114967600154297</v>
      </c>
      <c r="T12" s="41">
        <v>0.03</v>
      </c>
      <c r="U12">
        <v>2E-3</v>
      </c>
      <c r="V12" s="40">
        <f t="shared" si="4"/>
        <v>0.8816195473569407</v>
      </c>
      <c r="X12" s="39">
        <f t="shared" si="5"/>
        <v>1275.0817838736141</v>
      </c>
    </row>
    <row r="13" spans="1:24" x14ac:dyDescent="0.3">
      <c r="D13" t="s">
        <v>238</v>
      </c>
      <c r="E13" s="12">
        <f>SUMPRODUCT(P9:P28,V8:V27)</f>
        <v>27711.60758897409</v>
      </c>
      <c r="J13" s="33">
        <v>5</v>
      </c>
      <c r="K13" s="32">
        <v>1.3</v>
      </c>
      <c r="L13" s="31">
        <f t="shared" si="0"/>
        <v>4.8999999999999998E-3</v>
      </c>
      <c r="O13" s="43">
        <f t="shared" si="6"/>
        <v>111077.71297375004</v>
      </c>
      <c r="P13" s="43">
        <f t="shared" si="1"/>
        <v>1666.1656946062506</v>
      </c>
      <c r="Q13" s="14">
        <f t="shared" si="2"/>
        <v>120538.1453075313</v>
      </c>
      <c r="R13" s="43"/>
      <c r="S13" s="42">
        <f t="shared" si="3"/>
        <v>0.75736284045967861</v>
      </c>
      <c r="T13" s="41">
        <v>0.03</v>
      </c>
      <c r="U13">
        <v>2E-3</v>
      </c>
      <c r="V13" s="40">
        <f t="shared" si="4"/>
        <v>0.85428250712881848</v>
      </c>
      <c r="X13" s="39">
        <f t="shared" si="5"/>
        <v>1334.8481063986835</v>
      </c>
    </row>
    <row r="14" spans="1:24" x14ac:dyDescent="0.3">
      <c r="J14" s="33">
        <v>6</v>
      </c>
      <c r="K14" s="32">
        <v>1.4</v>
      </c>
      <c r="L14" s="31">
        <f t="shared" si="0"/>
        <v>5.1999999999999998E-3</v>
      </c>
      <c r="O14" s="43">
        <f t="shared" si="6"/>
        <v>120538.1453075313</v>
      </c>
      <c r="P14" s="43">
        <f t="shared" si="1"/>
        <v>1808.0721796129694</v>
      </c>
      <c r="Q14" s="14">
        <f t="shared" si="2"/>
        <v>127863.15567621974</v>
      </c>
      <c r="R14" s="43"/>
      <c r="S14" s="42">
        <f t="shared" si="3"/>
        <v>0.71575332600482389</v>
      </c>
      <c r="T14" s="41">
        <v>0.03</v>
      </c>
      <c r="U14">
        <v>2E-3</v>
      </c>
      <c r="V14" s="40">
        <f t="shared" si="4"/>
        <v>0.82779312706280861</v>
      </c>
      <c r="X14" s="39">
        <f t="shared" si="5"/>
        <v>1369.3666817078008</v>
      </c>
    </row>
    <row r="15" spans="1:24" x14ac:dyDescent="0.3">
      <c r="D15" t="s">
        <v>237</v>
      </c>
      <c r="J15" s="33">
        <v>7</v>
      </c>
      <c r="K15" s="32">
        <v>1.25</v>
      </c>
      <c r="L15" s="31">
        <f t="shared" si="0"/>
        <v>5.5999999999999999E-3</v>
      </c>
      <c r="O15" s="43">
        <f t="shared" si="6"/>
        <v>127863.15567621974</v>
      </c>
      <c r="P15" s="43">
        <f t="shared" si="1"/>
        <v>1917.9473351432962</v>
      </c>
      <c r="Q15" s="14">
        <f t="shared" si="2"/>
        <v>112451.07887596112</v>
      </c>
      <c r="R15" s="43"/>
      <c r="S15" s="42">
        <f t="shared" si="3"/>
        <v>0.67615785201023693</v>
      </c>
      <c r="T15" s="41">
        <v>0.03</v>
      </c>
      <c r="U15">
        <v>2E-3</v>
      </c>
      <c r="V15" s="40">
        <f t="shared" si="4"/>
        <v>0.80212512312287654</v>
      </c>
      <c r="X15" s="39">
        <f t="shared" si="5"/>
        <v>1372.777184230903</v>
      </c>
    </row>
    <row r="16" spans="1:24" x14ac:dyDescent="0.3">
      <c r="D16" t="s">
        <v>236</v>
      </c>
      <c r="J16" s="33">
        <v>8</v>
      </c>
      <c r="K16" s="32">
        <v>1.6</v>
      </c>
      <c r="L16" s="31">
        <f t="shared" si="0"/>
        <v>6.0000000000000001E-3</v>
      </c>
      <c r="O16" s="43">
        <f t="shared" si="6"/>
        <v>112451.07887596112</v>
      </c>
      <c r="P16" s="43">
        <f t="shared" si="1"/>
        <v>1686.7661831394166</v>
      </c>
      <c r="Q16" s="14">
        <f t="shared" si="2"/>
        <v>141778.32024681178</v>
      </c>
      <c r="R16" s="43"/>
      <c r="S16" s="42">
        <f t="shared" si="3"/>
        <v>0.63849585965326672</v>
      </c>
      <c r="T16" s="41">
        <v>0.03</v>
      </c>
      <c r="U16">
        <v>2E-3</v>
      </c>
      <c r="V16" s="40">
        <f t="shared" si="4"/>
        <v>0.77725302628185711</v>
      </c>
      <c r="X16" s="39">
        <f t="shared" si="5"/>
        <v>1140.520199235054</v>
      </c>
    </row>
    <row r="17" spans="3:24" x14ac:dyDescent="0.3">
      <c r="J17" s="33">
        <v>9</v>
      </c>
      <c r="K17" s="32">
        <v>1.3</v>
      </c>
      <c r="L17" s="31">
        <f t="shared" si="0"/>
        <v>6.4000000000000003E-3</v>
      </c>
      <c r="O17" s="43">
        <f t="shared" si="6"/>
        <v>141778.32024681178</v>
      </c>
      <c r="P17" s="43">
        <f t="shared" si="1"/>
        <v>2126.6748037021766</v>
      </c>
      <c r="Q17" s="14">
        <f t="shared" si="2"/>
        <v>113466.96192252655</v>
      </c>
      <c r="S17" s="42">
        <f t="shared" si="3"/>
        <v>0.60268901184391155</v>
      </c>
      <c r="T17" s="41">
        <v>0.03</v>
      </c>
      <c r="U17">
        <v>2E-3</v>
      </c>
      <c r="V17" s="40">
        <f t="shared" si="4"/>
        <v>0.75315215724986151</v>
      </c>
      <c r="X17" s="39">
        <f t="shared" si="5"/>
        <v>1357.8730569927636</v>
      </c>
    </row>
    <row r="18" spans="3:24" x14ac:dyDescent="0.3">
      <c r="J18" s="33">
        <v>10</v>
      </c>
      <c r="K18" s="32">
        <v>1.35</v>
      </c>
      <c r="L18" s="31">
        <f t="shared" si="0"/>
        <v>6.7999999999999996E-3</v>
      </c>
      <c r="O18" s="43">
        <f t="shared" si="6"/>
        <v>113466.96192252655</v>
      </c>
      <c r="P18" s="43">
        <f t="shared" si="1"/>
        <v>1702.0044288378981</v>
      </c>
      <c r="Q18" s="14">
        <f t="shared" si="2"/>
        <v>116063.60970498438</v>
      </c>
      <c r="S18" s="42">
        <f t="shared" si="3"/>
        <v>0.56866119023520434</v>
      </c>
      <c r="T18" s="41">
        <v>0.03</v>
      </c>
      <c r="U18">
        <v>2E-3</v>
      </c>
      <c r="V18" s="40">
        <f t="shared" si="4"/>
        <v>0.72979860198629987</v>
      </c>
      <c r="X18" s="39">
        <f t="shared" si="5"/>
        <v>1025.7793673702738</v>
      </c>
    </row>
    <row r="19" spans="3:24" x14ac:dyDescent="0.3">
      <c r="J19" s="33">
        <v>11</v>
      </c>
      <c r="K19" s="32">
        <v>1.5</v>
      </c>
      <c r="L19" s="31">
        <f t="shared" si="0"/>
        <v>7.3000000000000001E-3</v>
      </c>
      <c r="O19" s="43">
        <f t="shared" si="6"/>
        <v>116063.60970498438</v>
      </c>
      <c r="P19" s="43">
        <f t="shared" si="1"/>
        <v>1740.9541455747656</v>
      </c>
      <c r="Q19" s="14">
        <f t="shared" si="2"/>
        <v>127025.17284378844</v>
      </c>
      <c r="S19" s="42">
        <f t="shared" ref="S19:S28" si="7">S18*(1-L19)</f>
        <v>0.56450996354648741</v>
      </c>
      <c r="T19" s="41">
        <v>0.03</v>
      </c>
      <c r="U19">
        <v>2E-3</v>
      </c>
      <c r="V19" s="40">
        <f t="shared" si="4"/>
        <v>0.70716918797122075</v>
      </c>
      <c r="X19" s="39">
        <f t="shared" si="5"/>
        <v>990.01305656745944</v>
      </c>
    </row>
    <row r="20" spans="3:24" x14ac:dyDescent="0.3">
      <c r="J20" s="33">
        <v>12</v>
      </c>
      <c r="K20" s="32">
        <v>1.4</v>
      </c>
      <c r="L20" s="31">
        <f t="shared" si="0"/>
        <v>7.7999999999999996E-3</v>
      </c>
      <c r="O20" s="43">
        <f t="shared" si="6"/>
        <v>127025.17284378844</v>
      </c>
      <c r="P20" s="43">
        <f t="shared" si="1"/>
        <v>1905.3775926568267</v>
      </c>
      <c r="Q20" s="14">
        <f t="shared" si="2"/>
        <v>116778.47556772284</v>
      </c>
      <c r="S20" s="42">
        <f t="shared" si="7"/>
        <v>0.56010678583082485</v>
      </c>
      <c r="T20" s="41">
        <v>0.03</v>
      </c>
      <c r="U20">
        <v>2E-3</v>
      </c>
      <c r="V20" s="40">
        <f t="shared" si="4"/>
        <v>0.68524146121242313</v>
      </c>
      <c r="X20" s="39">
        <f t="shared" si="5"/>
        <v>1075.6046353729992</v>
      </c>
    </row>
    <row r="21" spans="3:24" x14ac:dyDescent="0.3">
      <c r="J21" s="33">
        <v>13</v>
      </c>
      <c r="K21" s="32">
        <v>1.5</v>
      </c>
      <c r="L21" s="31">
        <f t="shared" si="0"/>
        <v>8.3000000000000001E-3</v>
      </c>
      <c r="O21" s="43">
        <f t="shared" si="6"/>
        <v>116778.47556772284</v>
      </c>
      <c r="P21" s="43">
        <f t="shared" si="1"/>
        <v>1751.6771335158426</v>
      </c>
      <c r="Q21" s="14">
        <f t="shared" si="2"/>
        <v>123242.99832236464</v>
      </c>
      <c r="S21" s="42">
        <f t="shared" si="7"/>
        <v>0.55545789950842905</v>
      </c>
      <c r="T21" s="41">
        <v>0.03</v>
      </c>
      <c r="U21">
        <v>2E-3</v>
      </c>
      <c r="V21" s="40">
        <f t="shared" si="4"/>
        <v>0.66399366396552628</v>
      </c>
      <c r="X21" s="39">
        <f t="shared" si="5"/>
        <v>981.12624906691121</v>
      </c>
    </row>
    <row r="22" spans="3:24" x14ac:dyDescent="0.3">
      <c r="E22" s="14"/>
      <c r="J22" s="33">
        <v>14</v>
      </c>
      <c r="K22" s="32">
        <v>1.6</v>
      </c>
      <c r="L22" s="31">
        <f t="shared" si="0"/>
        <v>8.8999999999999999E-3</v>
      </c>
      <c r="O22" s="43">
        <f t="shared" si="6"/>
        <v>123242.99832236464</v>
      </c>
      <c r="P22" s="43">
        <f t="shared" si="1"/>
        <v>1848.6449748354696</v>
      </c>
      <c r="Q22" s="14">
        <f t="shared" si="2"/>
        <v>129487.31023736445</v>
      </c>
      <c r="S22" s="42">
        <f t="shared" si="7"/>
        <v>0.550514324202804</v>
      </c>
      <c r="T22" s="41">
        <v>0.03</v>
      </c>
      <c r="U22">
        <v>2E-3</v>
      </c>
      <c r="V22" s="40">
        <f t="shared" si="4"/>
        <v>0.64340471314488978</v>
      </c>
      <c r="X22" s="39">
        <f t="shared" si="5"/>
        <v>1026.8444546589226</v>
      </c>
    </row>
    <row r="23" spans="3:24" x14ac:dyDescent="0.3">
      <c r="E23" s="14"/>
      <c r="J23" s="33">
        <v>15</v>
      </c>
      <c r="K23" s="32">
        <v>1.82</v>
      </c>
      <c r="L23" s="31">
        <f t="shared" si="0"/>
        <v>9.4999999999999998E-3</v>
      </c>
      <c r="M23" s="1"/>
      <c r="N23" s="1"/>
      <c r="O23" s="43">
        <f t="shared" si="6"/>
        <v>129487.31023736445</v>
      </c>
      <c r="P23" s="43">
        <f t="shared" si="1"/>
        <v>1942.3096535604666</v>
      </c>
      <c r="Q23" s="14">
        <f t="shared" si="2"/>
        <v>145082.43816407703</v>
      </c>
      <c r="R23" s="1"/>
      <c r="S23" s="42">
        <f t="shared" si="7"/>
        <v>0.54528443812287741</v>
      </c>
      <c r="T23" s="41">
        <v>0.03</v>
      </c>
      <c r="U23">
        <v>2E-3</v>
      </c>
      <c r="V23" s="40">
        <f t="shared" si="4"/>
        <v>0.62345417940396297</v>
      </c>
      <c r="X23" s="39">
        <f t="shared" si="5"/>
        <v>1069.2692863224227</v>
      </c>
    </row>
    <row r="24" spans="3:24" x14ac:dyDescent="0.3">
      <c r="E24" s="14"/>
      <c r="J24" s="33">
        <v>16</v>
      </c>
      <c r="K24" s="32">
        <v>1.74</v>
      </c>
      <c r="L24" s="31">
        <f t="shared" si="0"/>
        <v>1.0200000000000001E-2</v>
      </c>
      <c r="M24" s="1"/>
      <c r="N24" s="1"/>
      <c r="O24" s="43">
        <f t="shared" si="6"/>
        <v>145082.43816407703</v>
      </c>
      <c r="P24" s="43">
        <f t="shared" si="1"/>
        <v>2176.2365724611554</v>
      </c>
      <c r="Q24" s="14">
        <f t="shared" si="2"/>
        <v>136624.61031286351</v>
      </c>
      <c r="R24" s="1"/>
      <c r="S24" s="42">
        <f t="shared" si="7"/>
        <v>0.53972253685402405</v>
      </c>
      <c r="T24" s="41">
        <v>0.03</v>
      </c>
      <c r="U24">
        <v>2E-3</v>
      </c>
      <c r="V24" s="40">
        <f t="shared" si="4"/>
        <v>0.60412226686430515</v>
      </c>
      <c r="X24" s="39">
        <f t="shared" si="5"/>
        <v>1186.6679366369378</v>
      </c>
    </row>
    <row r="25" spans="3:24" x14ac:dyDescent="0.3">
      <c r="E25" s="14"/>
      <c r="J25" s="33">
        <v>17</v>
      </c>
      <c r="K25" s="32">
        <v>1.95</v>
      </c>
      <c r="L25" s="31">
        <f t="shared" si="0"/>
        <v>1.09E-2</v>
      </c>
      <c r="O25" s="43">
        <f t="shared" si="6"/>
        <v>136624.61031286351</v>
      </c>
      <c r="P25" s="43">
        <f t="shared" si="1"/>
        <v>2049.3691546929526</v>
      </c>
      <c r="Q25" s="14">
        <f t="shared" si="2"/>
        <v>150817.08060829458</v>
      </c>
      <c r="R25" s="43"/>
      <c r="S25" s="42">
        <f t="shared" si="7"/>
        <v>0.53383956120231513</v>
      </c>
      <c r="T25" s="41">
        <v>0.03</v>
      </c>
      <c r="U25">
        <v>2E-3</v>
      </c>
      <c r="V25" s="40">
        <f t="shared" si="4"/>
        <v>0.58538979347316389</v>
      </c>
      <c r="X25" s="39">
        <f t="shared" si="5"/>
        <v>1106.0907191212673</v>
      </c>
    </row>
    <row r="26" spans="3:24" x14ac:dyDescent="0.3">
      <c r="J26" s="33">
        <v>18</v>
      </c>
      <c r="K26" s="32">
        <v>2.1</v>
      </c>
      <c r="L26" s="31">
        <f t="shared" si="0"/>
        <v>1.17E-2</v>
      </c>
      <c r="O26" s="43">
        <f t="shared" si="6"/>
        <v>150817.08060829458</v>
      </c>
      <c r="P26" s="43">
        <f t="shared" si="1"/>
        <v>2262.2562091244185</v>
      </c>
      <c r="Q26" s="14">
        <f t="shared" si="2"/>
        <v>159982.11858372172</v>
      </c>
      <c r="R26" s="43"/>
      <c r="S26" s="42">
        <f t="shared" si="7"/>
        <v>0.52759363833624806</v>
      </c>
      <c r="T26" s="41">
        <v>0.03</v>
      </c>
      <c r="U26">
        <v>2E-3</v>
      </c>
      <c r="V26" s="40">
        <f t="shared" si="4"/>
        <v>0.56723817197012005</v>
      </c>
      <c r="X26" s="39">
        <f t="shared" si="5"/>
        <v>1207.6818620061924</v>
      </c>
    </row>
    <row r="27" spans="3:24" x14ac:dyDescent="0.3">
      <c r="J27" s="33">
        <v>19</v>
      </c>
      <c r="K27" s="32">
        <v>2.2000000000000002</v>
      </c>
      <c r="L27" s="31">
        <f t="shared" si="0"/>
        <v>1.2500000000000001E-2</v>
      </c>
      <c r="O27" s="43">
        <f t="shared" si="6"/>
        <v>159982.11858372172</v>
      </c>
      <c r="P27" s="43">
        <f t="shared" si="1"/>
        <v>2399.7317787558259</v>
      </c>
      <c r="Q27" s="14">
        <f t="shared" si="2"/>
        <v>165086.30998615478</v>
      </c>
      <c r="R27" s="43"/>
      <c r="S27" s="42">
        <f t="shared" si="7"/>
        <v>0.52099871785704499</v>
      </c>
      <c r="T27" s="41">
        <v>0.03</v>
      </c>
      <c r="U27">
        <v>2E-3</v>
      </c>
      <c r="V27" s="40">
        <f t="shared" si="4"/>
        <v>0.54964939144391478</v>
      </c>
      <c r="X27" s="39">
        <f t="shared" si="5"/>
        <v>1266.0832201849025</v>
      </c>
    </row>
    <row r="28" spans="3:24" x14ac:dyDescent="0.3">
      <c r="J28" s="33">
        <v>20</v>
      </c>
      <c r="K28" s="32">
        <v>2.4</v>
      </c>
      <c r="L28" s="31">
        <f t="shared" si="0"/>
        <v>1.34E-2</v>
      </c>
      <c r="N28" s="14">
        <f>M8*1.04^20</f>
        <v>219112.31430334214</v>
      </c>
      <c r="O28" s="43">
        <f t="shared" si="6"/>
        <v>165086.30998615478</v>
      </c>
      <c r="P28" s="43">
        <f t="shared" si="1"/>
        <v>2476.2946497923217</v>
      </c>
      <c r="Q28" s="14">
        <f t="shared" si="2"/>
        <v>177392.74400330451</v>
      </c>
      <c r="R28" s="43">
        <f>MAX(0,N28-Q28)</f>
        <v>41719.570300037623</v>
      </c>
      <c r="S28" s="42">
        <f t="shared" si="7"/>
        <v>0.51401733503776059</v>
      </c>
      <c r="T28" s="41">
        <v>0.03</v>
      </c>
      <c r="U28">
        <v>2E-3</v>
      </c>
      <c r="V28" s="40">
        <f t="shared" si="4"/>
        <v>0.53260599946115772</v>
      </c>
      <c r="W28" s="39">
        <f>S28*R28</f>
        <v>21444.582344545845</v>
      </c>
      <c r="X28" s="39">
        <f t="shared" si="5"/>
        <v>1290.14633757806</v>
      </c>
    </row>
    <row r="29" spans="3:24" x14ac:dyDescent="0.3">
      <c r="O29" s="43"/>
      <c r="R29" s="43"/>
      <c r="T29" s="14"/>
    </row>
    <row r="30" spans="3:24" x14ac:dyDescent="0.3">
      <c r="C30" t="s">
        <v>189</v>
      </c>
      <c r="M30" s="19"/>
      <c r="N30" s="19" t="s">
        <v>235</v>
      </c>
      <c r="O30" s="19" t="s">
        <v>5</v>
      </c>
      <c r="P30" s="19"/>
      <c r="Q30" s="19" t="s">
        <v>5</v>
      </c>
      <c r="R30" s="19" t="s">
        <v>235</v>
      </c>
      <c r="S30" s="19"/>
      <c r="T30" s="19" t="s">
        <v>234</v>
      </c>
      <c r="U30" s="19" t="s">
        <v>233</v>
      </c>
      <c r="V30" s="19" t="s">
        <v>232</v>
      </c>
      <c r="W30" s="19" t="s">
        <v>231</v>
      </c>
      <c r="X30" s="19" t="s">
        <v>231</v>
      </c>
    </row>
    <row r="31" spans="3:24" x14ac:dyDescent="0.3">
      <c r="D31" t="s">
        <v>230</v>
      </c>
      <c r="J31" s="19" t="s">
        <v>64</v>
      </c>
      <c r="M31" s="19"/>
      <c r="N31" s="19" t="s">
        <v>229</v>
      </c>
      <c r="O31" s="19" t="s">
        <v>228</v>
      </c>
      <c r="P31" s="19" t="s">
        <v>227</v>
      </c>
      <c r="Q31" s="19" t="s">
        <v>226</v>
      </c>
      <c r="R31" s="19" t="s">
        <v>225</v>
      </c>
      <c r="S31" s="19" t="s">
        <v>224</v>
      </c>
      <c r="T31" s="19" t="s">
        <v>62</v>
      </c>
      <c r="U31" s="19" t="s">
        <v>62</v>
      </c>
      <c r="V31" s="19" t="s">
        <v>62</v>
      </c>
      <c r="W31" s="19" t="s">
        <v>144</v>
      </c>
      <c r="X31" s="19" t="s">
        <v>223</v>
      </c>
    </row>
    <row r="32" spans="3:24" x14ac:dyDescent="0.3">
      <c r="D32" t="s">
        <v>222</v>
      </c>
      <c r="J32">
        <v>1</v>
      </c>
      <c r="M32" s="28"/>
      <c r="N32" s="28"/>
      <c r="O32" s="43"/>
      <c r="P32" s="43"/>
      <c r="R32" s="43"/>
      <c r="S32" s="42">
        <v>1</v>
      </c>
      <c r="T32" s="43"/>
      <c r="V32">
        <v>1</v>
      </c>
    </row>
    <row r="33" spans="4:24" x14ac:dyDescent="0.3">
      <c r="D33" t="s">
        <v>221</v>
      </c>
      <c r="J33">
        <v>2</v>
      </c>
      <c r="O33" s="43">
        <f>(O9-P9)*0.95</f>
        <v>93575</v>
      </c>
      <c r="P33" s="43">
        <f t="shared" ref="P33:P51" si="8">0.015*O33</f>
        <v>1403.625</v>
      </c>
      <c r="Q33" s="14">
        <f t="shared" ref="Q33:Q51" si="9">(O33-P33)*(K10/K9)</f>
        <v>72969.005208333328</v>
      </c>
      <c r="R33" s="43"/>
      <c r="S33" s="42">
        <f t="shared" ref="S33:S41" si="10">S32*(1-L10)*0.95</f>
        <v>0.94619999999999993</v>
      </c>
      <c r="T33" s="41">
        <v>2.5000000000000001E-2</v>
      </c>
      <c r="U33">
        <v>2E-3</v>
      </c>
      <c r="V33" s="40">
        <f t="shared" ref="V33:V51" si="11">V32/(1+(T33+U33))</f>
        <v>0.97370983446932824</v>
      </c>
      <c r="X33" s="39">
        <f t="shared" ref="X33:X51" si="12">S32*P33</f>
        <v>1403.625</v>
      </c>
    </row>
    <row r="34" spans="4:24" x14ac:dyDescent="0.3">
      <c r="J34">
        <v>3</v>
      </c>
      <c r="O34" s="43">
        <f t="shared" ref="O34:O51" si="13">Q33</f>
        <v>72969.005208333328</v>
      </c>
      <c r="P34" s="43">
        <f t="shared" si="8"/>
        <v>1094.5350781249999</v>
      </c>
      <c r="Q34" s="14">
        <f t="shared" si="9"/>
        <v>79440.203828124999</v>
      </c>
      <c r="R34" s="43"/>
      <c r="S34" s="42">
        <f t="shared" si="10"/>
        <v>0.89502477299999994</v>
      </c>
      <c r="T34" s="41">
        <v>2.5000000000000001E-2</v>
      </c>
      <c r="U34">
        <v>2E-3</v>
      </c>
      <c r="V34" s="40">
        <f t="shared" si="11"/>
        <v>0.94811084174228655</v>
      </c>
      <c r="X34" s="39">
        <f t="shared" si="12"/>
        <v>1035.6490909218749</v>
      </c>
    </row>
    <row r="35" spans="4:24" x14ac:dyDescent="0.3">
      <c r="D35" t="s">
        <v>220</v>
      </c>
      <c r="F35" s="45">
        <f>W51*V51</f>
        <v>28586.933976179465</v>
      </c>
      <c r="J35">
        <v>4</v>
      </c>
      <c r="O35" s="43">
        <f t="shared" si="13"/>
        <v>79440.203828124999</v>
      </c>
      <c r="P35" s="43">
        <f t="shared" si="8"/>
        <v>1191.6030574218748</v>
      </c>
      <c r="Q35" s="14">
        <f t="shared" si="9"/>
        <v>87936.522770885422</v>
      </c>
      <c r="R35" s="43"/>
      <c r="S35" s="42">
        <f t="shared" si="10"/>
        <v>0.84644730344542496</v>
      </c>
      <c r="T35" s="41">
        <v>2.5000000000000001E-2</v>
      </c>
      <c r="U35">
        <v>2E-3</v>
      </c>
      <c r="V35" s="40">
        <f t="shared" si="11"/>
        <v>0.92318485077145729</v>
      </c>
      <c r="X35" s="39">
        <f t="shared" si="12"/>
        <v>1066.5142559751193</v>
      </c>
    </row>
    <row r="36" spans="4:24" x14ac:dyDescent="0.3">
      <c r="D36" t="s">
        <v>219</v>
      </c>
      <c r="F36" s="45">
        <f>SUMPRODUCT(X33:X51,V32:V50)</f>
        <v>15451.63028320081</v>
      </c>
      <c r="J36">
        <v>5</v>
      </c>
      <c r="O36" s="43">
        <f t="shared" si="13"/>
        <v>87936.522770885422</v>
      </c>
      <c r="P36" s="43">
        <f t="shared" si="8"/>
        <v>1319.0478415632813</v>
      </c>
      <c r="Q36" s="14">
        <f t="shared" si="9"/>
        <v>95426.031701795597</v>
      </c>
      <c r="R36" s="43"/>
      <c r="S36" s="42">
        <f t="shared" si="10"/>
        <v>0.80018472607561519</v>
      </c>
      <c r="T36" s="41">
        <v>2.5000000000000001E-2</v>
      </c>
      <c r="U36">
        <v>2E-3</v>
      </c>
      <c r="V36" s="40">
        <f t="shared" si="11"/>
        <v>0.89891416822926717</v>
      </c>
      <c r="X36" s="39">
        <f t="shared" si="12"/>
        <v>1116.5044886067476</v>
      </c>
    </row>
    <row r="37" spans="4:24" x14ac:dyDescent="0.3">
      <c r="D37" t="s">
        <v>218</v>
      </c>
      <c r="F37" s="44">
        <f>F35-0.185*F36</f>
        <v>25728.382373787317</v>
      </c>
      <c r="J37">
        <v>6</v>
      </c>
      <c r="O37" s="43">
        <f t="shared" si="13"/>
        <v>95426.031701795597</v>
      </c>
      <c r="P37" s="43">
        <f t="shared" si="8"/>
        <v>1431.3904755269339</v>
      </c>
      <c r="Q37" s="14">
        <f t="shared" si="9"/>
        <v>101224.99824367394</v>
      </c>
      <c r="R37" s="43"/>
      <c r="S37" s="42">
        <f t="shared" si="10"/>
        <v>0.75622257722502084</v>
      </c>
      <c r="T37" s="41">
        <v>2.5000000000000001E-2</v>
      </c>
      <c r="U37">
        <v>2E-3</v>
      </c>
      <c r="V37" s="40">
        <f t="shared" si="11"/>
        <v>0.87528156594865358</v>
      </c>
      <c r="X37" s="39">
        <f t="shared" si="12"/>
        <v>1145.3767955667643</v>
      </c>
    </row>
    <row r="38" spans="4:24" x14ac:dyDescent="0.3">
      <c r="J38">
        <v>7</v>
      </c>
      <c r="O38" s="43">
        <f t="shared" si="13"/>
        <v>101224.99824367394</v>
      </c>
      <c r="P38" s="43">
        <f t="shared" si="8"/>
        <v>1518.374973655109</v>
      </c>
      <c r="Q38" s="14">
        <f t="shared" si="9"/>
        <v>89023.770776802528</v>
      </c>
      <c r="R38" s="43"/>
      <c r="S38" s="42">
        <f t="shared" si="10"/>
        <v>0.71438834425293263</v>
      </c>
      <c r="T38" s="41">
        <v>2.5000000000000001E-2</v>
      </c>
      <c r="U38">
        <v>2E-3</v>
      </c>
      <c r="V38" s="40">
        <f t="shared" si="11"/>
        <v>0.85227026869391787</v>
      </c>
      <c r="X38" s="39">
        <f t="shared" si="12"/>
        <v>1148.2294357714397</v>
      </c>
    </row>
    <row r="39" spans="4:24" x14ac:dyDescent="0.3">
      <c r="J39">
        <v>8</v>
      </c>
      <c r="O39" s="43">
        <f t="shared" si="13"/>
        <v>89023.770776802528</v>
      </c>
      <c r="P39" s="43">
        <f t="shared" si="8"/>
        <v>1335.356561652038</v>
      </c>
      <c r="Q39" s="14">
        <f t="shared" si="9"/>
        <v>112241.17019539264</v>
      </c>
      <c r="R39" s="43"/>
      <c r="S39" s="42">
        <f t="shared" si="10"/>
        <v>0.67459691347804429</v>
      </c>
      <c r="T39" s="41">
        <v>2.5000000000000001E-2</v>
      </c>
      <c r="U39">
        <v>2E-3</v>
      </c>
      <c r="V39" s="40">
        <f t="shared" si="11"/>
        <v>0.82986394225308469</v>
      </c>
      <c r="X39" s="39">
        <f t="shared" si="12"/>
        <v>953.96316306588858</v>
      </c>
    </row>
    <row r="40" spans="4:24" x14ac:dyDescent="0.3">
      <c r="J40">
        <v>9</v>
      </c>
      <c r="O40" s="43">
        <f t="shared" si="13"/>
        <v>112241.17019539264</v>
      </c>
      <c r="P40" s="43">
        <f t="shared" si="8"/>
        <v>1683.6175529308896</v>
      </c>
      <c r="Q40" s="14">
        <f t="shared" si="9"/>
        <v>89828.011522000161</v>
      </c>
      <c r="R40" s="43"/>
      <c r="S40" s="42">
        <f t="shared" si="10"/>
        <v>0.63676551857019559</v>
      </c>
      <c r="T40" s="41">
        <v>2.5000000000000001E-2</v>
      </c>
      <c r="U40">
        <v>2E-3</v>
      </c>
      <c r="V40" s="40">
        <f t="shared" si="11"/>
        <v>0.8080466818433153</v>
      </c>
      <c r="X40" s="39">
        <f t="shared" si="12"/>
        <v>1135.7632046846359</v>
      </c>
    </row>
    <row r="41" spans="4:24" x14ac:dyDescent="0.3">
      <c r="J41">
        <v>10</v>
      </c>
      <c r="O41" s="43">
        <f t="shared" si="13"/>
        <v>89828.011522000161</v>
      </c>
      <c r="P41" s="43">
        <f t="shared" si="8"/>
        <v>1347.4201728300025</v>
      </c>
      <c r="Q41" s="14">
        <f t="shared" si="9"/>
        <v>91883.691016445955</v>
      </c>
      <c r="S41" s="42">
        <f t="shared" si="10"/>
        <v>0.60081373739172228</v>
      </c>
      <c r="T41" s="41">
        <v>2.5000000000000001E-2</v>
      </c>
      <c r="U41">
        <v>2E-3</v>
      </c>
      <c r="V41" s="40">
        <f t="shared" si="11"/>
        <v>0.78680300082114452</v>
      </c>
      <c r="X41" s="39">
        <f t="shared" si="12"/>
        <v>857.99070508403906</v>
      </c>
    </row>
    <row r="42" spans="4:24" x14ac:dyDescent="0.3">
      <c r="J42">
        <v>11</v>
      </c>
      <c r="O42" s="43">
        <f t="shared" si="13"/>
        <v>91883.691016445955</v>
      </c>
      <c r="P42" s="43">
        <f t="shared" si="8"/>
        <v>1378.2553652466893</v>
      </c>
      <c r="Q42" s="14">
        <f t="shared" si="9"/>
        <v>100561.59516799917</v>
      </c>
      <c r="S42" s="42">
        <f t="shared" ref="S42:S51" si="14">S41*(1-L19)</f>
        <v>0.5964277971087627</v>
      </c>
      <c r="T42" s="41">
        <v>2.5000000000000001E-2</v>
      </c>
      <c r="U42">
        <v>2E-3</v>
      </c>
      <c r="V42" s="40">
        <f t="shared" si="11"/>
        <v>0.7661178196895273</v>
      </c>
      <c r="X42" s="39">
        <f t="shared" si="12"/>
        <v>828.07475707405661</v>
      </c>
    </row>
    <row r="43" spans="4:24" x14ac:dyDescent="0.3">
      <c r="J43">
        <v>12</v>
      </c>
      <c r="O43" s="43">
        <f t="shared" si="13"/>
        <v>100561.59516799917</v>
      </c>
      <c r="P43" s="43">
        <f t="shared" si="8"/>
        <v>1508.4239275199875</v>
      </c>
      <c r="Q43" s="14">
        <f t="shared" si="9"/>
        <v>92449.626491113886</v>
      </c>
      <c r="S43" s="42">
        <f t="shared" si="14"/>
        <v>0.59177566029131434</v>
      </c>
      <c r="T43" s="41">
        <v>2.5000000000000001E-2</v>
      </c>
      <c r="U43">
        <v>2E-3</v>
      </c>
      <c r="V43" s="40">
        <f t="shared" si="11"/>
        <v>0.74597645539389223</v>
      </c>
      <c r="X43" s="39">
        <f t="shared" si="12"/>
        <v>899.66596019689405</v>
      </c>
    </row>
    <row r="44" spans="4:24" x14ac:dyDescent="0.3">
      <c r="J44">
        <v>13</v>
      </c>
      <c r="O44" s="43">
        <f t="shared" si="13"/>
        <v>92449.626491113886</v>
      </c>
      <c r="P44" s="43">
        <f t="shared" si="8"/>
        <v>1386.7443973667082</v>
      </c>
      <c r="Q44" s="14">
        <f t="shared" si="9"/>
        <v>97567.373671871974</v>
      </c>
      <c r="S44" s="42">
        <f t="shared" si="14"/>
        <v>0.58686392231089646</v>
      </c>
      <c r="T44" s="41">
        <v>2.5000000000000001E-2</v>
      </c>
      <c r="U44">
        <v>2E-3</v>
      </c>
      <c r="V44" s="40">
        <f t="shared" si="11"/>
        <v>0.72636461089960302</v>
      </c>
      <c r="X44" s="39">
        <f t="shared" si="12"/>
        <v>820.64158140696452</v>
      </c>
    </row>
    <row r="45" spans="4:24" x14ac:dyDescent="0.3">
      <c r="J45">
        <v>14</v>
      </c>
      <c r="O45" s="43">
        <f t="shared" si="13"/>
        <v>97567.373671871974</v>
      </c>
      <c r="P45" s="43">
        <f t="shared" si="8"/>
        <v>1463.5106050780796</v>
      </c>
      <c r="Q45" s="14">
        <f t="shared" si="9"/>
        <v>102510.78727124682</v>
      </c>
      <c r="S45" s="42">
        <f t="shared" si="14"/>
        <v>0.58164083340232942</v>
      </c>
      <c r="T45" s="41">
        <v>2.5000000000000001E-2</v>
      </c>
      <c r="U45">
        <v>2E-3</v>
      </c>
      <c r="V45" s="40">
        <f t="shared" si="11"/>
        <v>0.70726836504343049</v>
      </c>
      <c r="X45" s="39">
        <f t="shared" si="12"/>
        <v>858.88157403971513</v>
      </c>
    </row>
    <row r="46" spans="4:24" x14ac:dyDescent="0.3">
      <c r="J46">
        <v>15</v>
      </c>
      <c r="O46" s="43">
        <f t="shared" si="13"/>
        <v>102510.78727124682</v>
      </c>
      <c r="P46" s="43">
        <f t="shared" si="8"/>
        <v>1537.6618090687023</v>
      </c>
      <c r="Q46" s="14">
        <f t="shared" si="9"/>
        <v>114856.93021322762</v>
      </c>
      <c r="S46" s="42">
        <f t="shared" si="14"/>
        <v>0.57611524548500737</v>
      </c>
      <c r="T46" s="41">
        <v>2.5000000000000001E-2</v>
      </c>
      <c r="U46">
        <v>2E-3</v>
      </c>
      <c r="V46" s="40">
        <f t="shared" si="11"/>
        <v>0.68867416265183112</v>
      </c>
      <c r="X46" s="39">
        <f t="shared" si="12"/>
        <v>894.36689611765348</v>
      </c>
    </row>
    <row r="47" spans="4:24" x14ac:dyDescent="0.3">
      <c r="J47">
        <v>16</v>
      </c>
      <c r="M47" s="1"/>
      <c r="N47" s="1"/>
      <c r="O47" s="43">
        <f t="shared" si="13"/>
        <v>114856.93021322762</v>
      </c>
      <c r="P47" s="43">
        <f t="shared" si="8"/>
        <v>1722.8539531984143</v>
      </c>
      <c r="Q47" s="14">
        <f t="shared" si="9"/>
        <v>108161.14983101693</v>
      </c>
      <c r="R47" s="1"/>
      <c r="S47" s="42">
        <f t="shared" si="14"/>
        <v>0.57023886998106033</v>
      </c>
      <c r="T47" s="41">
        <v>2.5000000000000001E-2</v>
      </c>
      <c r="U47">
        <v>2E-3</v>
      </c>
      <c r="V47" s="40">
        <f t="shared" si="11"/>
        <v>0.67056880491901771</v>
      </c>
      <c r="X47" s="39">
        <f t="shared" si="12"/>
        <v>992.56242818171984</v>
      </c>
    </row>
    <row r="48" spans="4:24" x14ac:dyDescent="0.3">
      <c r="J48">
        <v>17</v>
      </c>
      <c r="M48" s="1"/>
      <c r="N48" s="1"/>
      <c r="O48" s="43">
        <f t="shared" si="13"/>
        <v>108161.14983101693</v>
      </c>
      <c r="P48" s="43">
        <f t="shared" si="8"/>
        <v>1622.4172474652539</v>
      </c>
      <c r="Q48" s="14">
        <f t="shared" si="9"/>
        <v>119396.85548156651</v>
      </c>
      <c r="R48" s="1"/>
      <c r="S48" s="42">
        <f t="shared" si="14"/>
        <v>0.56402326629826671</v>
      </c>
      <c r="T48" s="41">
        <v>2.5000000000000001E-2</v>
      </c>
      <c r="U48">
        <v>2E-3</v>
      </c>
      <c r="V48" s="40">
        <f t="shared" si="11"/>
        <v>0.65293944003799198</v>
      </c>
      <c r="X48" s="39">
        <f t="shared" si="12"/>
        <v>925.16537783236868</v>
      </c>
    </row>
    <row r="49" spans="10:24" x14ac:dyDescent="0.3">
      <c r="J49">
        <v>18</v>
      </c>
      <c r="O49" s="43">
        <f t="shared" si="13"/>
        <v>119396.85548156651</v>
      </c>
      <c r="P49" s="43">
        <f t="shared" si="8"/>
        <v>1790.9528322234976</v>
      </c>
      <c r="Q49" s="14">
        <f t="shared" si="9"/>
        <v>126652.51054544635</v>
      </c>
      <c r="R49" s="43"/>
      <c r="S49" s="42">
        <f t="shared" si="14"/>
        <v>0.55742419408257693</v>
      </c>
      <c r="T49" s="41">
        <v>2.5000000000000001E-2</v>
      </c>
      <c r="U49">
        <v>2E-3</v>
      </c>
      <c r="V49" s="40">
        <f t="shared" si="11"/>
        <v>0.63577355407788905</v>
      </c>
      <c r="X49" s="39">
        <f t="shared" si="12"/>
        <v>1010.1390662168287</v>
      </c>
    </row>
    <row r="50" spans="10:24" x14ac:dyDescent="0.3">
      <c r="J50">
        <v>19</v>
      </c>
      <c r="O50" s="43">
        <f t="shared" si="13"/>
        <v>126652.51054544635</v>
      </c>
      <c r="P50" s="43">
        <f t="shared" si="8"/>
        <v>1899.7876581816952</v>
      </c>
      <c r="Q50" s="14">
        <f t="shared" si="9"/>
        <v>130693.32873903916</v>
      </c>
      <c r="R50" s="43"/>
      <c r="S50" s="42">
        <f t="shared" si="14"/>
        <v>0.5504563916565447</v>
      </c>
      <c r="T50" s="41">
        <v>2.5000000000000001E-2</v>
      </c>
      <c r="U50">
        <v>2E-3</v>
      </c>
      <c r="V50" s="40">
        <f t="shared" si="11"/>
        <v>0.61905896210115785</v>
      </c>
      <c r="X50" s="39">
        <f t="shared" si="12"/>
        <v>1058.9876042899575</v>
      </c>
    </row>
    <row r="51" spans="10:24" x14ac:dyDescent="0.3">
      <c r="J51">
        <v>20</v>
      </c>
      <c r="N51" s="14">
        <f>N28</f>
        <v>219112.31430334214</v>
      </c>
      <c r="O51" s="43">
        <f t="shared" si="13"/>
        <v>130693.32873903916</v>
      </c>
      <c r="P51" s="43">
        <f t="shared" si="8"/>
        <v>1960.3999310855875</v>
      </c>
      <c r="Q51" s="14">
        <f t="shared" si="9"/>
        <v>140435.92233594935</v>
      </c>
      <c r="R51" s="43">
        <f>MAX(0,N51-Q51)</f>
        <v>78676.391967392789</v>
      </c>
      <c r="S51" s="42">
        <f t="shared" si="14"/>
        <v>0.54308027600834696</v>
      </c>
      <c r="T51" s="41">
        <v>2.5000000000000001E-2</v>
      </c>
      <c r="U51">
        <v>2E-3</v>
      </c>
      <c r="V51" s="40">
        <f t="shared" si="11"/>
        <v>0.60278379951427252</v>
      </c>
      <c r="W51" s="18">
        <f>V51*R51</f>
        <v>47424.854482179217</v>
      </c>
      <c r="X51" s="39">
        <f t="shared" si="12"/>
        <v>1079.1146722691115</v>
      </c>
    </row>
    <row r="52" spans="10:24" x14ac:dyDescent="0.3">
      <c r="O52" s="43"/>
      <c r="P52" s="43"/>
      <c r="Q52" s="14"/>
      <c r="R52" s="43"/>
      <c r="S52" s="42"/>
      <c r="T52" s="41"/>
      <c r="V52" s="40"/>
      <c r="W52" s="39"/>
      <c r="X52" s="3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052A0-6968-41D9-A6B6-503244B09E91}">
  <sheetPr>
    <tabColor theme="5" tint="0.39997558519241921"/>
  </sheetPr>
  <dimension ref="A1:I31"/>
  <sheetViews>
    <sheetView zoomScale="115" zoomScaleNormal="115" workbookViewId="0"/>
  </sheetViews>
  <sheetFormatPr defaultRowHeight="14.4" x14ac:dyDescent="0.3"/>
  <cols>
    <col min="1" max="16" width="12.6640625" customWidth="1"/>
  </cols>
  <sheetData>
    <row r="1" spans="1:9" x14ac:dyDescent="0.3">
      <c r="A1" s="67" t="s">
        <v>562</v>
      </c>
    </row>
    <row r="3" spans="1:9" x14ac:dyDescent="0.3">
      <c r="A3" s="7" t="s">
        <v>23</v>
      </c>
    </row>
    <row r="4" spans="1:9" x14ac:dyDescent="0.3">
      <c r="A4" t="s">
        <v>263</v>
      </c>
      <c r="B4" s="29"/>
      <c r="C4" s="29"/>
      <c r="D4" s="29"/>
      <c r="E4" s="29"/>
      <c r="F4" s="29"/>
    </row>
    <row r="5" spans="1:9" x14ac:dyDescent="0.3">
      <c r="A5" s="29"/>
      <c r="B5" s="29"/>
      <c r="C5" s="29"/>
      <c r="D5" s="29"/>
      <c r="E5" s="29"/>
      <c r="F5" s="29"/>
    </row>
    <row r="6" spans="1:9" x14ac:dyDescent="0.3">
      <c r="A6" s="29" t="s">
        <v>262</v>
      </c>
      <c r="B6" s="29"/>
      <c r="C6" s="29"/>
      <c r="D6" s="29"/>
      <c r="E6" s="29"/>
      <c r="F6" s="29"/>
      <c r="H6" s="38"/>
      <c r="I6" s="37" t="s">
        <v>215</v>
      </c>
    </row>
    <row r="7" spans="1:9" x14ac:dyDescent="0.3">
      <c r="A7" s="29" t="s">
        <v>261</v>
      </c>
      <c r="B7" s="29"/>
      <c r="C7" s="29"/>
      <c r="D7" s="29"/>
      <c r="E7" s="29"/>
      <c r="F7" s="29"/>
      <c r="H7" s="36" t="s">
        <v>64</v>
      </c>
      <c r="I7" s="35" t="s">
        <v>62</v>
      </c>
    </row>
    <row r="8" spans="1:9" x14ac:dyDescent="0.3">
      <c r="A8" s="29" t="s">
        <v>260</v>
      </c>
      <c r="B8" s="29"/>
      <c r="C8" s="29"/>
      <c r="D8" s="29"/>
      <c r="E8" s="29"/>
      <c r="F8" s="29"/>
      <c r="H8" s="33">
        <v>1</v>
      </c>
      <c r="I8" s="31">
        <f t="shared" ref="I8:I26" si="0">ROUND(1-EXP(-0.00016*1.07^(85+H8)*0.07/LN(1.07)),4)</f>
        <v>5.4199999999999998E-2</v>
      </c>
    </row>
    <row r="9" spans="1:9" x14ac:dyDescent="0.3">
      <c r="A9" s="29"/>
      <c r="B9" s="29"/>
      <c r="C9" s="29"/>
      <c r="D9" s="29"/>
      <c r="E9" s="29"/>
      <c r="F9" s="29"/>
      <c r="H9" s="33">
        <v>2</v>
      </c>
      <c r="I9" s="31">
        <f t="shared" si="0"/>
        <v>5.79E-2</v>
      </c>
    </row>
    <row r="10" spans="1:9" x14ac:dyDescent="0.3">
      <c r="A10" s="29" t="s">
        <v>259</v>
      </c>
      <c r="B10" s="29"/>
      <c r="C10" s="29"/>
      <c r="D10" s="29"/>
      <c r="E10" s="29"/>
      <c r="F10" s="29"/>
      <c r="H10" s="33">
        <v>3</v>
      </c>
      <c r="I10" s="31">
        <f t="shared" si="0"/>
        <v>6.1800000000000001E-2</v>
      </c>
    </row>
    <row r="11" spans="1:9" x14ac:dyDescent="0.3">
      <c r="A11" s="29" t="s">
        <v>258</v>
      </c>
      <c r="B11" s="29"/>
      <c r="C11" s="29"/>
      <c r="D11" s="29"/>
      <c r="E11" s="29"/>
      <c r="F11" s="29"/>
      <c r="H11" s="33">
        <v>4</v>
      </c>
      <c r="I11" s="31">
        <f t="shared" si="0"/>
        <v>6.6000000000000003E-2</v>
      </c>
    </row>
    <row r="12" spans="1:9" x14ac:dyDescent="0.3">
      <c r="A12" s="29"/>
      <c r="B12" s="29"/>
      <c r="C12" s="29"/>
      <c r="D12" s="29"/>
      <c r="E12" s="29"/>
      <c r="F12" s="29"/>
      <c r="H12" s="33">
        <v>5</v>
      </c>
      <c r="I12" s="31">
        <f t="shared" si="0"/>
        <v>7.0400000000000004E-2</v>
      </c>
    </row>
    <row r="13" spans="1:9" x14ac:dyDescent="0.3">
      <c r="A13" s="29" t="s">
        <v>257</v>
      </c>
      <c r="B13" s="29"/>
      <c r="C13" s="29"/>
      <c r="D13" s="29"/>
      <c r="E13" s="29"/>
      <c r="F13" s="29"/>
      <c r="H13" s="33">
        <v>6</v>
      </c>
      <c r="I13" s="31">
        <f t="shared" si="0"/>
        <v>7.5200000000000003E-2</v>
      </c>
    </row>
    <row r="14" spans="1:9" x14ac:dyDescent="0.3">
      <c r="A14" s="29"/>
      <c r="B14" s="29"/>
      <c r="C14" s="29"/>
      <c r="D14" s="29"/>
      <c r="E14" s="29"/>
      <c r="F14" s="29"/>
      <c r="H14" s="33">
        <v>7</v>
      </c>
      <c r="I14" s="31">
        <f t="shared" si="0"/>
        <v>8.0199999999999994E-2</v>
      </c>
    </row>
    <row r="15" spans="1:9" x14ac:dyDescent="0.3">
      <c r="A15" s="29" t="s">
        <v>256</v>
      </c>
      <c r="B15" s="29"/>
      <c r="C15" s="29"/>
      <c r="D15" s="29"/>
      <c r="E15" s="29"/>
      <c r="F15" s="29"/>
      <c r="H15" s="33">
        <v>8</v>
      </c>
      <c r="I15" s="31">
        <f t="shared" si="0"/>
        <v>8.5599999999999996E-2</v>
      </c>
    </row>
    <row r="16" spans="1:9" x14ac:dyDescent="0.3">
      <c r="A16" s="29"/>
      <c r="B16" s="29"/>
      <c r="C16" s="29"/>
      <c r="D16" s="29"/>
      <c r="E16" s="29"/>
      <c r="F16" s="29"/>
      <c r="H16" s="33">
        <v>9</v>
      </c>
      <c r="I16" s="31">
        <f t="shared" si="0"/>
        <v>9.1300000000000006E-2</v>
      </c>
    </row>
    <row r="17" spans="1:9" x14ac:dyDescent="0.3">
      <c r="A17" s="29" t="s">
        <v>162</v>
      </c>
      <c r="B17" s="29" t="s">
        <v>154</v>
      </c>
      <c r="C17" s="29" t="s">
        <v>255</v>
      </c>
      <c r="D17" s="29"/>
      <c r="E17" s="29"/>
      <c r="F17" s="29"/>
      <c r="H17" s="33">
        <v>10</v>
      </c>
      <c r="I17" s="31">
        <f t="shared" si="0"/>
        <v>9.7299999999999998E-2</v>
      </c>
    </row>
    <row r="18" spans="1:9" x14ac:dyDescent="0.3">
      <c r="A18" s="29"/>
      <c r="B18" s="29" t="s">
        <v>151</v>
      </c>
      <c r="C18" s="29" t="s">
        <v>254</v>
      </c>
      <c r="D18" s="29"/>
      <c r="E18" s="29"/>
      <c r="F18" s="29"/>
      <c r="H18" s="33">
        <v>11</v>
      </c>
      <c r="I18" s="31">
        <f t="shared" si="0"/>
        <v>0.1038</v>
      </c>
    </row>
    <row r="19" spans="1:9" x14ac:dyDescent="0.3">
      <c r="A19" s="29"/>
      <c r="B19" s="29"/>
      <c r="C19" s="29" t="s">
        <v>253</v>
      </c>
      <c r="D19" s="29"/>
      <c r="E19" s="29"/>
      <c r="F19" s="29"/>
      <c r="H19" s="33">
        <v>12</v>
      </c>
      <c r="I19" s="31">
        <f t="shared" si="0"/>
        <v>0.1106</v>
      </c>
    </row>
    <row r="20" spans="1:9" x14ac:dyDescent="0.3">
      <c r="A20" s="29"/>
      <c r="B20" s="29"/>
      <c r="C20" s="29"/>
      <c r="D20" s="29"/>
      <c r="E20" s="29"/>
      <c r="F20" s="29"/>
      <c r="H20" s="33">
        <v>13</v>
      </c>
      <c r="I20" s="31">
        <f t="shared" si="0"/>
        <v>0.1179</v>
      </c>
    </row>
    <row r="21" spans="1:9" x14ac:dyDescent="0.3">
      <c r="A21" s="29"/>
      <c r="B21" s="29"/>
      <c r="C21" s="29" t="s">
        <v>252</v>
      </c>
      <c r="D21" s="29"/>
      <c r="E21" s="29"/>
      <c r="F21" s="29"/>
      <c r="H21" s="33">
        <v>14</v>
      </c>
      <c r="I21" s="31">
        <f t="shared" si="0"/>
        <v>0.12559999999999999</v>
      </c>
    </row>
    <row r="22" spans="1:9" x14ac:dyDescent="0.3">
      <c r="A22" s="29"/>
      <c r="B22" s="29"/>
      <c r="C22" s="29"/>
      <c r="D22" s="29"/>
      <c r="E22" s="29"/>
      <c r="F22" s="29"/>
      <c r="H22" s="33">
        <v>15</v>
      </c>
      <c r="I22" s="31">
        <f t="shared" si="0"/>
        <v>0.1338</v>
      </c>
    </row>
    <row r="23" spans="1:9" x14ac:dyDescent="0.3">
      <c r="A23" s="29"/>
      <c r="B23" s="29" t="s">
        <v>149</v>
      </c>
      <c r="C23" s="29" t="s">
        <v>251</v>
      </c>
      <c r="D23" s="29"/>
      <c r="E23" s="29"/>
      <c r="F23" s="29"/>
      <c r="H23" s="33">
        <v>16</v>
      </c>
      <c r="I23" s="31">
        <f t="shared" si="0"/>
        <v>0.14249999999999999</v>
      </c>
    </row>
    <row r="24" spans="1:9" x14ac:dyDescent="0.3">
      <c r="A24" s="29"/>
      <c r="B24" s="29"/>
      <c r="C24" s="29"/>
      <c r="D24" s="29"/>
      <c r="E24" s="29"/>
      <c r="F24" s="29"/>
      <c r="H24" s="33">
        <v>17</v>
      </c>
      <c r="I24" s="31">
        <f t="shared" si="0"/>
        <v>0.15160000000000001</v>
      </c>
    </row>
    <row r="25" spans="1:9" x14ac:dyDescent="0.3">
      <c r="A25" s="29" t="s">
        <v>159</v>
      </c>
      <c r="B25" s="29" t="s">
        <v>250</v>
      </c>
      <c r="C25" s="29"/>
      <c r="D25" s="29"/>
      <c r="E25" s="29"/>
      <c r="F25" s="29"/>
      <c r="H25" s="33">
        <v>18</v>
      </c>
      <c r="I25" s="31">
        <f t="shared" si="0"/>
        <v>0.16139999999999999</v>
      </c>
    </row>
    <row r="26" spans="1:9" x14ac:dyDescent="0.3">
      <c r="A26" s="29"/>
      <c r="B26" s="29"/>
      <c r="C26" s="29"/>
      <c r="D26" s="29"/>
      <c r="E26" s="29"/>
      <c r="F26" s="29"/>
      <c r="H26" s="33">
        <v>19</v>
      </c>
      <c r="I26" s="31">
        <f t="shared" si="0"/>
        <v>0.1716</v>
      </c>
    </row>
    <row r="27" spans="1:9" x14ac:dyDescent="0.3">
      <c r="A27" s="29"/>
      <c r="B27" s="29" t="s">
        <v>154</v>
      </c>
      <c r="C27" s="29" t="s">
        <v>249</v>
      </c>
      <c r="D27" s="29"/>
      <c r="E27" s="29"/>
      <c r="F27" s="29"/>
      <c r="H27" s="33">
        <v>20</v>
      </c>
      <c r="I27" s="31">
        <v>1</v>
      </c>
    </row>
    <row r="28" spans="1:9" x14ac:dyDescent="0.3">
      <c r="A28" s="29"/>
      <c r="B28" s="29" t="s">
        <v>151</v>
      </c>
      <c r="C28" s="29" t="s">
        <v>248</v>
      </c>
      <c r="D28" s="29"/>
      <c r="E28" s="29"/>
      <c r="F28" s="29"/>
    </row>
    <row r="29" spans="1:9" x14ac:dyDescent="0.3">
      <c r="A29" s="29"/>
      <c r="B29" s="29" t="s">
        <v>149</v>
      </c>
      <c r="C29" s="29" t="s">
        <v>247</v>
      </c>
      <c r="D29" s="29"/>
      <c r="E29" s="29"/>
      <c r="F29" s="29"/>
    </row>
    <row r="30" spans="1:9" x14ac:dyDescent="0.3">
      <c r="A30" s="29"/>
      <c r="B30" s="29"/>
      <c r="C30" s="29" t="s">
        <v>246</v>
      </c>
      <c r="D30" s="29"/>
      <c r="E30" s="29"/>
      <c r="F30" s="29"/>
    </row>
    <row r="31" spans="1:9" x14ac:dyDescent="0.3">
      <c r="A31" s="29"/>
      <c r="B31" s="29"/>
      <c r="C31" s="29" t="s">
        <v>245</v>
      </c>
      <c r="D31" s="29"/>
      <c r="E31" s="29"/>
      <c r="F31" s="2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D552A-FCE9-4FF4-9DBE-63D867C86D39}">
  <sheetPr>
    <tabColor theme="9" tint="0.59999389629810485"/>
  </sheetPr>
  <dimension ref="A1:R55"/>
  <sheetViews>
    <sheetView zoomScale="115" zoomScaleNormal="115" workbookViewId="0"/>
  </sheetViews>
  <sheetFormatPr defaultRowHeight="14.4" x14ac:dyDescent="0.3"/>
  <cols>
    <col min="1" max="12" width="12.6640625" customWidth="1"/>
    <col min="13" max="13" width="13.88671875" customWidth="1"/>
    <col min="14" max="119" width="12.6640625" customWidth="1"/>
  </cols>
  <sheetData>
    <row r="1" spans="1:18" x14ac:dyDescent="0.3">
      <c r="A1" s="67" t="s">
        <v>562</v>
      </c>
    </row>
    <row r="3" spans="1:18" x14ac:dyDescent="0.3">
      <c r="A3" s="7" t="s">
        <v>23</v>
      </c>
    </row>
    <row r="4" spans="1:18" x14ac:dyDescent="0.3">
      <c r="A4" t="s">
        <v>263</v>
      </c>
    </row>
    <row r="5" spans="1:18" x14ac:dyDescent="0.3">
      <c r="H5" t="s">
        <v>293</v>
      </c>
      <c r="M5" t="s">
        <v>292</v>
      </c>
      <c r="O5" s="12" t="s">
        <v>288</v>
      </c>
      <c r="R5" t="s">
        <v>291</v>
      </c>
    </row>
    <row r="6" spans="1:18" x14ac:dyDescent="0.3">
      <c r="A6" t="s">
        <v>193</v>
      </c>
      <c r="D6" s="38"/>
      <c r="E6" s="37" t="s">
        <v>215</v>
      </c>
      <c r="F6" s="19"/>
      <c r="G6" s="19" t="s">
        <v>282</v>
      </c>
      <c r="H6" s="19"/>
      <c r="I6" s="19" t="s">
        <v>286</v>
      </c>
      <c r="J6" s="19" t="s">
        <v>59</v>
      </c>
      <c r="K6" s="19" t="s">
        <v>59</v>
      </c>
      <c r="L6" s="19" t="s">
        <v>285</v>
      </c>
      <c r="M6" s="19" t="s">
        <v>284</v>
      </c>
      <c r="N6" s="19" t="s">
        <v>283</v>
      </c>
      <c r="O6" s="19" t="s">
        <v>282</v>
      </c>
      <c r="P6" s="19" t="s">
        <v>281</v>
      </c>
      <c r="Q6" s="19" t="s">
        <v>111</v>
      </c>
      <c r="R6" s="19" t="s">
        <v>111</v>
      </c>
    </row>
    <row r="7" spans="1:18" x14ac:dyDescent="0.3">
      <c r="D7" s="36" t="s">
        <v>64</v>
      </c>
      <c r="E7" s="35" t="s">
        <v>62</v>
      </c>
      <c r="F7" s="19" t="s">
        <v>224</v>
      </c>
      <c r="G7" s="19" t="s">
        <v>280</v>
      </c>
      <c r="H7" s="19" t="s">
        <v>174</v>
      </c>
      <c r="I7" s="19" t="s">
        <v>279</v>
      </c>
      <c r="J7" s="19" t="s">
        <v>275</v>
      </c>
      <c r="K7" s="19" t="s">
        <v>68</v>
      </c>
      <c r="L7" s="19" t="s">
        <v>278</v>
      </c>
      <c r="M7" s="19" t="s">
        <v>277</v>
      </c>
      <c r="N7" s="19" t="s">
        <v>9</v>
      </c>
      <c r="O7" s="19" t="s">
        <v>276</v>
      </c>
      <c r="P7" s="19" t="s">
        <v>275</v>
      </c>
      <c r="Q7" s="19" t="s">
        <v>59</v>
      </c>
      <c r="R7" s="19" t="s">
        <v>274</v>
      </c>
    </row>
    <row r="8" spans="1:18" x14ac:dyDescent="0.3">
      <c r="D8" s="33">
        <v>0</v>
      </c>
      <c r="E8" s="31"/>
      <c r="F8">
        <v>1</v>
      </c>
      <c r="H8" s="14">
        <f t="shared" ref="H8:H26" si="0">(H9+G9)/1.05</f>
        <v>9448992.8299971428</v>
      </c>
      <c r="I8" s="14">
        <f t="shared" ref="I8:I26" si="1">H8/1.05^D8</f>
        <v>9448992.8299971428</v>
      </c>
      <c r="J8" s="46"/>
      <c r="M8" s="14">
        <f>50000*200-H8</f>
        <v>551007.17000285722</v>
      </c>
      <c r="N8" s="15">
        <f>0.03*200*5000</f>
        <v>30000</v>
      </c>
      <c r="O8" s="14"/>
    </row>
    <row r="9" spans="1:18" x14ac:dyDescent="0.3">
      <c r="D9" s="33">
        <v>1</v>
      </c>
      <c r="E9" s="31">
        <f t="shared" ref="E9:E27" si="2">ROUND(1-EXP(-0.00016*1.07^(85+D9)*0.07/LN(1.07)),4)</f>
        <v>5.4199999999999998E-2</v>
      </c>
      <c r="F9">
        <f t="shared" ref="F9:F28" si="3">F8*(1-E9)</f>
        <v>0.94579999999999997</v>
      </c>
      <c r="G9" s="15">
        <f t="shared" ref="G9:G27" si="4">200*7000*F9</f>
        <v>1324120</v>
      </c>
      <c r="H9" s="14">
        <f t="shared" si="0"/>
        <v>8597322.4714970011</v>
      </c>
      <c r="I9" s="14">
        <f t="shared" si="1"/>
        <v>8187926.1633304767</v>
      </c>
      <c r="J9" s="46">
        <f>$M$8/$I$29</f>
        <v>9.5606791424068076E-3</v>
      </c>
      <c r="K9" s="14">
        <f t="shared" ref="K9:K27" si="5">J9*H8</f>
        <v>90338.788666505163</v>
      </c>
      <c r="L9" s="14">
        <f t="shared" ref="L9:L26" si="6">(M8-K9)*0.05</f>
        <v>23033.419066817605</v>
      </c>
      <c r="M9" s="14">
        <f t="shared" ref="M9:M26" si="7">M8-K9+L9</f>
        <v>483701.80040316971</v>
      </c>
      <c r="O9" s="14">
        <f>SUM(G9:G$27)</f>
        <v>13042213.016703682</v>
      </c>
      <c r="P9" s="46">
        <f t="shared" ref="P9:P27" si="8">G9/O9</f>
        <v>0.10152571486941263</v>
      </c>
      <c r="Q9" s="14">
        <f>P9*N8</f>
        <v>3045.771446082379</v>
      </c>
      <c r="R9" s="14">
        <f>N8-Q9</f>
        <v>26954.228553917623</v>
      </c>
    </row>
    <row r="10" spans="1:18" x14ac:dyDescent="0.3">
      <c r="D10" s="33">
        <v>2</v>
      </c>
      <c r="E10" s="31">
        <f t="shared" si="2"/>
        <v>5.79E-2</v>
      </c>
      <c r="F10">
        <f t="shared" si="3"/>
        <v>0.89103818000000001</v>
      </c>
      <c r="G10" s="15">
        <f t="shared" si="4"/>
        <v>1247453.452</v>
      </c>
      <c r="H10" s="14">
        <f t="shared" si="0"/>
        <v>7779735.1430718517</v>
      </c>
      <c r="I10" s="14">
        <f t="shared" si="1"/>
        <v>7056449.1093622232</v>
      </c>
      <c r="J10" s="46">
        <f t="shared" ref="J10:J27" si="9">J9</f>
        <v>9.5606791424068076E-3</v>
      </c>
      <c r="K10" s="14">
        <f t="shared" si="5"/>
        <v>82196.241633786718</v>
      </c>
      <c r="L10" s="14">
        <f t="shared" si="6"/>
        <v>20075.277938469153</v>
      </c>
      <c r="M10" s="14">
        <f t="shared" si="7"/>
        <v>421580.83670785214</v>
      </c>
      <c r="O10" s="14">
        <f>SUM(G10:G$27)</f>
        <v>11718093.016703678</v>
      </c>
      <c r="P10" s="46">
        <f t="shared" si="8"/>
        <v>0.1064553293971813</v>
      </c>
      <c r="Q10" s="14">
        <f t="shared" ref="Q10:Q27" si="10">P10*R9</f>
        <v>2869.4212793542106</v>
      </c>
      <c r="R10" s="14">
        <f t="shared" ref="R10:R27" si="11">R9-Q10</f>
        <v>24084.807274563413</v>
      </c>
    </row>
    <row r="11" spans="1:18" x14ac:dyDescent="0.3">
      <c r="D11" s="33">
        <v>3</v>
      </c>
      <c r="E11" s="31">
        <f t="shared" si="2"/>
        <v>6.1800000000000001E-2</v>
      </c>
      <c r="F11">
        <f t="shared" si="3"/>
        <v>0.83597202047600006</v>
      </c>
      <c r="G11" s="15">
        <f t="shared" si="4"/>
        <v>1170360.8286664002</v>
      </c>
      <c r="H11" s="14">
        <f t="shared" si="0"/>
        <v>6998361.0715590445</v>
      </c>
      <c r="I11" s="14">
        <f t="shared" si="1"/>
        <v>6045447.4217117317</v>
      </c>
      <c r="J11" s="46">
        <f t="shared" si="9"/>
        <v>9.5606791424068076E-3</v>
      </c>
      <c r="K11" s="14">
        <f t="shared" si="5"/>
        <v>74379.551515816289</v>
      </c>
      <c r="L11" s="14">
        <f t="shared" si="6"/>
        <v>17360.064259601793</v>
      </c>
      <c r="M11" s="14">
        <f t="shared" si="7"/>
        <v>364561.34945163765</v>
      </c>
      <c r="O11" s="14">
        <f>SUM(G11:G$27)</f>
        <v>10470639.564703679</v>
      </c>
      <c r="P11" s="46">
        <f t="shared" si="8"/>
        <v>0.11177548624743647</v>
      </c>
      <c r="Q11" s="14">
        <f t="shared" si="10"/>
        <v>2692.0910442901204</v>
      </c>
      <c r="R11" s="14">
        <f t="shared" si="11"/>
        <v>21392.71623027329</v>
      </c>
    </row>
    <row r="12" spans="1:18" x14ac:dyDescent="0.3">
      <c r="D12" s="33">
        <v>4</v>
      </c>
      <c r="E12" s="31">
        <f t="shared" si="2"/>
        <v>6.6000000000000003E-2</v>
      </c>
      <c r="F12">
        <f t="shared" si="3"/>
        <v>0.78079786712458399</v>
      </c>
      <c r="G12" s="15">
        <f t="shared" si="4"/>
        <v>1093117.0139744177</v>
      </c>
      <c r="H12" s="14">
        <f t="shared" si="0"/>
        <v>6255162.1111625787</v>
      </c>
      <c r="I12" s="14">
        <f t="shared" si="1"/>
        <v>5146137.3490778664</v>
      </c>
      <c r="J12" s="46">
        <f t="shared" si="9"/>
        <v>9.5606791424068076E-3</v>
      </c>
      <c r="K12" s="14">
        <f t="shared" si="5"/>
        <v>66909.084727886308</v>
      </c>
      <c r="L12" s="14">
        <f t="shared" si="6"/>
        <v>14882.613236187568</v>
      </c>
      <c r="M12" s="14">
        <f t="shared" si="7"/>
        <v>312534.87795993889</v>
      </c>
      <c r="O12" s="14">
        <f>SUM(G12:G$27)</f>
        <v>9300278.7360372767</v>
      </c>
      <c r="P12" s="46">
        <f t="shared" si="8"/>
        <v>0.1175359411260162</v>
      </c>
      <c r="Q12" s="14">
        <f t="shared" si="10"/>
        <v>2514.4130353669725</v>
      </c>
      <c r="R12" s="14">
        <f t="shared" si="11"/>
        <v>18878.303194906319</v>
      </c>
    </row>
    <row r="13" spans="1:18" x14ac:dyDescent="0.3">
      <c r="D13" s="33">
        <v>5</v>
      </c>
      <c r="E13" s="31">
        <f t="shared" si="2"/>
        <v>7.0400000000000004E-2</v>
      </c>
      <c r="F13">
        <f t="shared" si="3"/>
        <v>0.72582969727901325</v>
      </c>
      <c r="G13" s="15">
        <f t="shared" si="4"/>
        <v>1016161.5761906186</v>
      </c>
      <c r="H13" s="14">
        <f t="shared" si="0"/>
        <v>5551758.6405300889</v>
      </c>
      <c r="I13" s="14">
        <f t="shared" si="1"/>
        <v>4349948.1647726838</v>
      </c>
      <c r="J13" s="46">
        <f t="shared" si="9"/>
        <v>9.5606791424068076E-3</v>
      </c>
      <c r="K13" s="14">
        <f t="shared" si="5"/>
        <v>59803.597928565396</v>
      </c>
      <c r="L13" s="14">
        <f t="shared" si="6"/>
        <v>12636.564001568675</v>
      </c>
      <c r="M13" s="14">
        <f t="shared" si="7"/>
        <v>265367.84403294214</v>
      </c>
      <c r="O13" s="14">
        <f>SUM(G13:G$27)</f>
        <v>8207161.7220628625</v>
      </c>
      <c r="P13" s="46">
        <f t="shared" si="8"/>
        <v>0.12381400666919078</v>
      </c>
      <c r="Q13" s="14">
        <f t="shared" si="10"/>
        <v>2337.3983576771366</v>
      </c>
      <c r="R13" s="14">
        <f t="shared" si="11"/>
        <v>16540.904837229184</v>
      </c>
    </row>
    <row r="14" spans="1:18" x14ac:dyDescent="0.3">
      <c r="D14" s="33">
        <v>6</v>
      </c>
      <c r="E14" s="31">
        <f t="shared" si="2"/>
        <v>7.5200000000000003E-2</v>
      </c>
      <c r="F14">
        <f t="shared" si="3"/>
        <v>0.67124730404363142</v>
      </c>
      <c r="G14" s="15">
        <f t="shared" si="4"/>
        <v>939746.22566108394</v>
      </c>
      <c r="H14" s="14">
        <f t="shared" si="0"/>
        <v>4889600.3468955094</v>
      </c>
      <c r="I14" s="14">
        <f t="shared" si="1"/>
        <v>3648695.0622532247</v>
      </c>
      <c r="J14" s="46">
        <f t="shared" si="9"/>
        <v>9.5606791424068076E-3</v>
      </c>
      <c r="K14" s="14">
        <f t="shared" si="5"/>
        <v>53078.583038192795</v>
      </c>
      <c r="L14" s="14">
        <f t="shared" si="6"/>
        <v>10614.463049737467</v>
      </c>
      <c r="M14" s="14">
        <f t="shared" si="7"/>
        <v>222903.72404448682</v>
      </c>
      <c r="O14" s="14">
        <f>SUM(G14:G$27)</f>
        <v>7191000.1458722446</v>
      </c>
      <c r="P14" s="46">
        <f t="shared" si="8"/>
        <v>0.13068366104824988</v>
      </c>
      <c r="Q14" s="14">
        <f t="shared" si="10"/>
        <v>2161.6260011798154</v>
      </c>
      <c r="R14" s="14">
        <f t="shared" si="11"/>
        <v>14379.278836049369</v>
      </c>
    </row>
    <row r="15" spans="1:18" x14ac:dyDescent="0.3">
      <c r="D15" s="33">
        <v>7</v>
      </c>
      <c r="E15" s="31">
        <f t="shared" si="2"/>
        <v>8.0199999999999994E-2</v>
      </c>
      <c r="F15">
        <f t="shared" si="3"/>
        <v>0.61741327025933213</v>
      </c>
      <c r="G15" s="15">
        <f t="shared" si="4"/>
        <v>864378.57836306503</v>
      </c>
      <c r="H15" s="14">
        <f t="shared" si="0"/>
        <v>4269701.7858772203</v>
      </c>
      <c r="I15" s="14">
        <f t="shared" si="1"/>
        <v>3034397.3444461781</v>
      </c>
      <c r="J15" s="46">
        <f t="shared" si="9"/>
        <v>9.5606791424068076E-3</v>
      </c>
      <c r="K15" s="14">
        <f t="shared" si="5"/>
        <v>46747.900051268989</v>
      </c>
      <c r="L15" s="14">
        <f t="shared" si="6"/>
        <v>8807.7911996608927</v>
      </c>
      <c r="M15" s="14">
        <f t="shared" si="7"/>
        <v>184963.61519287873</v>
      </c>
      <c r="O15" s="14">
        <f>SUM(G15:G$27)</f>
        <v>6251253.9202111606</v>
      </c>
      <c r="P15" s="46">
        <f t="shared" si="8"/>
        <v>0.13827283124245052</v>
      </c>
      <c r="Q15" s="14">
        <f t="shared" si="10"/>
        <v>1988.2635958851947</v>
      </c>
      <c r="R15" s="14">
        <f t="shared" si="11"/>
        <v>12391.015240164174</v>
      </c>
    </row>
    <row r="16" spans="1:18" x14ac:dyDescent="0.3">
      <c r="D16" s="33">
        <v>8</v>
      </c>
      <c r="E16" s="31">
        <f t="shared" si="2"/>
        <v>8.5599999999999996E-2</v>
      </c>
      <c r="F16">
        <f t="shared" si="3"/>
        <v>0.56456269432513329</v>
      </c>
      <c r="G16" s="15">
        <f t="shared" si="4"/>
        <v>790387.77205518656</v>
      </c>
      <c r="H16" s="14">
        <f t="shared" si="0"/>
        <v>3692799.1031158948</v>
      </c>
      <c r="I16" s="14">
        <f t="shared" si="1"/>
        <v>2499431.7890530704</v>
      </c>
      <c r="J16" s="46">
        <f t="shared" si="9"/>
        <v>9.5606791424068076E-3</v>
      </c>
      <c r="K16" s="14">
        <f t="shared" si="5"/>
        <v>40821.248808533441</v>
      </c>
      <c r="L16" s="14">
        <f t="shared" si="6"/>
        <v>7207.1183192172648</v>
      </c>
      <c r="M16" s="14">
        <f t="shared" si="7"/>
        <v>151349.48470356254</v>
      </c>
      <c r="O16" s="14">
        <f>SUM(G16:G$27)</f>
        <v>5386875.3418480959</v>
      </c>
      <c r="P16" s="46">
        <f t="shared" si="8"/>
        <v>0.14672471922916733</v>
      </c>
      <c r="Q16" s="14">
        <f t="shared" si="10"/>
        <v>1818.0682320774217</v>
      </c>
      <c r="R16" s="14">
        <f t="shared" si="11"/>
        <v>10572.947008086752</v>
      </c>
    </row>
    <row r="17" spans="1:18" x14ac:dyDescent="0.3">
      <c r="D17" s="33">
        <v>9</v>
      </c>
      <c r="E17" s="31">
        <f t="shared" si="2"/>
        <v>9.1300000000000006E-2</v>
      </c>
      <c r="F17">
        <f t="shared" si="3"/>
        <v>0.51301812033324856</v>
      </c>
      <c r="G17" s="15">
        <f t="shared" si="4"/>
        <v>718225.36846654804</v>
      </c>
      <c r="H17" s="14">
        <f t="shared" si="0"/>
        <v>3159213.6898051417</v>
      </c>
      <c r="I17" s="14">
        <f t="shared" si="1"/>
        <v>2036457.3126857209</v>
      </c>
      <c r="J17" s="46">
        <f t="shared" si="9"/>
        <v>9.5606791424068076E-3</v>
      </c>
      <c r="K17" s="14">
        <f t="shared" si="5"/>
        <v>35305.667362258704</v>
      </c>
      <c r="L17" s="14">
        <f t="shared" si="6"/>
        <v>5802.1908670651919</v>
      </c>
      <c r="M17" s="14">
        <f t="shared" si="7"/>
        <v>121846.00820836902</v>
      </c>
      <c r="O17" s="14">
        <f>SUM(G17:G$27)</f>
        <v>4596487.5697929086</v>
      </c>
      <c r="P17" s="46">
        <f t="shared" si="8"/>
        <v>0.15625526177565779</v>
      </c>
      <c r="Q17" s="14">
        <f t="shared" si="10"/>
        <v>1652.0786024887534</v>
      </c>
      <c r="R17" s="14">
        <f t="shared" si="11"/>
        <v>8920.8684055979993</v>
      </c>
    </row>
    <row r="18" spans="1:18" x14ac:dyDescent="0.3">
      <c r="D18" s="33">
        <v>10</v>
      </c>
      <c r="E18" s="31">
        <f t="shared" si="2"/>
        <v>9.7299999999999998E-2</v>
      </c>
      <c r="F18">
        <f t="shared" si="3"/>
        <v>0.46310145722482349</v>
      </c>
      <c r="G18" s="15">
        <f t="shared" si="4"/>
        <v>648342.04011475283</v>
      </c>
      <c r="H18" s="14">
        <f t="shared" si="0"/>
        <v>2668832.3341806461</v>
      </c>
      <c r="I18" s="14">
        <f t="shared" si="1"/>
        <v>1638431.5414316196</v>
      </c>
      <c r="J18" s="46">
        <f t="shared" si="9"/>
        <v>9.5606791424068076E-3</v>
      </c>
      <c r="K18" s="14">
        <f t="shared" si="5"/>
        <v>30204.228430526069</v>
      </c>
      <c r="L18" s="14">
        <f t="shared" si="6"/>
        <v>4582.0889888921474</v>
      </c>
      <c r="M18" s="14">
        <f t="shared" si="7"/>
        <v>96223.868766735104</v>
      </c>
      <c r="O18" s="14">
        <f>SUM(G18:G$27)</f>
        <v>3878262.20132636</v>
      </c>
      <c r="P18" s="46">
        <f t="shared" si="8"/>
        <v>0.16717333858783989</v>
      </c>
      <c r="Q18" s="14">
        <f t="shared" si="10"/>
        <v>1491.3313544665978</v>
      </c>
      <c r="R18" s="14">
        <f t="shared" si="11"/>
        <v>7429.5370511314013</v>
      </c>
    </row>
    <row r="19" spans="1:18" x14ac:dyDescent="0.3">
      <c r="D19" s="33">
        <v>11</v>
      </c>
      <c r="E19" s="31">
        <f t="shared" si="2"/>
        <v>0.1038</v>
      </c>
      <c r="F19">
        <f t="shared" si="3"/>
        <v>0.41503152596488679</v>
      </c>
      <c r="G19" s="15">
        <f t="shared" si="4"/>
        <v>581044.13635084149</v>
      </c>
      <c r="H19" s="14">
        <f t="shared" si="0"/>
        <v>2221229.8145388374</v>
      </c>
      <c r="I19" s="14">
        <f t="shared" si="1"/>
        <v>1298707.0688621667</v>
      </c>
      <c r="J19" s="46">
        <f t="shared" si="9"/>
        <v>9.5606791424068076E-3</v>
      </c>
      <c r="K19" s="14">
        <f t="shared" si="5"/>
        <v>25515.849631981779</v>
      </c>
      <c r="L19" s="14">
        <f t="shared" si="6"/>
        <v>3535.4009567376665</v>
      </c>
      <c r="M19" s="14">
        <f t="shared" si="7"/>
        <v>74243.420091490989</v>
      </c>
      <c r="O19" s="14">
        <f>SUM(G19:G$27)</f>
        <v>3229920.161211607</v>
      </c>
      <c r="P19" s="46">
        <f t="shared" si="8"/>
        <v>0.17989427210265171</v>
      </c>
      <c r="Q19" s="14">
        <f t="shared" si="10"/>
        <v>1336.531159872965</v>
      </c>
      <c r="R19" s="14">
        <f t="shared" si="11"/>
        <v>6093.0058912584363</v>
      </c>
    </row>
    <row r="20" spans="1:18" x14ac:dyDescent="0.3">
      <c r="D20" s="33">
        <v>12</v>
      </c>
      <c r="E20" s="31">
        <f t="shared" si="2"/>
        <v>0.1106</v>
      </c>
      <c r="F20">
        <f t="shared" si="3"/>
        <v>0.36912903919317031</v>
      </c>
      <c r="G20" s="15">
        <f t="shared" si="4"/>
        <v>516780.65487043845</v>
      </c>
      <c r="H20" s="14">
        <f t="shared" si="0"/>
        <v>1815510.650395341</v>
      </c>
      <c r="I20" s="14">
        <f t="shared" si="1"/>
        <v>1010944.2632400035</v>
      </c>
      <c r="J20" s="46">
        <f t="shared" si="9"/>
        <v>9.5606791424068076E-3</v>
      </c>
      <c r="K20" s="14">
        <f t="shared" si="5"/>
        <v>21236.465558353604</v>
      </c>
      <c r="L20" s="14">
        <f t="shared" si="6"/>
        <v>2650.3477266568693</v>
      </c>
      <c r="M20" s="14">
        <f t="shared" si="7"/>
        <v>55657.302259794247</v>
      </c>
      <c r="O20" s="14">
        <f>SUM(G20:G$27)</f>
        <v>2648876.0248607658</v>
      </c>
      <c r="P20" s="46">
        <f t="shared" si="8"/>
        <v>0.19509431548333872</v>
      </c>
      <c r="Q20" s="14">
        <f t="shared" si="10"/>
        <v>1188.7108135910148</v>
      </c>
      <c r="R20" s="14">
        <f t="shared" si="11"/>
        <v>4904.2950776674215</v>
      </c>
    </row>
    <row r="21" spans="1:18" x14ac:dyDescent="0.3">
      <c r="D21" s="33">
        <v>13</v>
      </c>
      <c r="E21" s="31">
        <f t="shared" si="2"/>
        <v>0.1179</v>
      </c>
      <c r="F21">
        <f t="shared" si="3"/>
        <v>0.32560872547229552</v>
      </c>
      <c r="G21" s="15">
        <f t="shared" si="4"/>
        <v>455852.21566121373</v>
      </c>
      <c r="H21" s="14">
        <f t="shared" si="0"/>
        <v>1450433.9672538943</v>
      </c>
      <c r="I21" s="14">
        <f t="shared" si="1"/>
        <v>769196.10053589835</v>
      </c>
      <c r="J21" s="46">
        <f t="shared" si="9"/>
        <v>9.5606791424068076E-3</v>
      </c>
      <c r="K21" s="14">
        <f t="shared" si="5"/>
        <v>17357.514808052154</v>
      </c>
      <c r="L21" s="14">
        <f t="shared" si="6"/>
        <v>1914.9893725871048</v>
      </c>
      <c r="M21" s="14">
        <f t="shared" si="7"/>
        <v>40214.776824329201</v>
      </c>
      <c r="O21" s="14">
        <f>SUM(G21:G$27)</f>
        <v>2132095.3699903274</v>
      </c>
      <c r="P21" s="46">
        <f t="shared" si="8"/>
        <v>0.21380479601307975</v>
      </c>
      <c r="Q21" s="14">
        <f t="shared" si="10"/>
        <v>1048.5618086686343</v>
      </c>
      <c r="R21" s="14">
        <f t="shared" si="11"/>
        <v>3855.733268998787</v>
      </c>
    </row>
    <row r="22" spans="1:18" x14ac:dyDescent="0.3">
      <c r="D22" s="33">
        <v>14</v>
      </c>
      <c r="E22" s="31">
        <f t="shared" si="2"/>
        <v>0.12559999999999999</v>
      </c>
      <c r="F22">
        <f t="shared" si="3"/>
        <v>0.28471226955297524</v>
      </c>
      <c r="G22" s="15">
        <f t="shared" si="4"/>
        <v>398597.17737416533</v>
      </c>
      <c r="H22" s="14">
        <f t="shared" si="0"/>
        <v>1124358.4882424239</v>
      </c>
      <c r="I22" s="14">
        <f t="shared" si="1"/>
        <v>567877.44008973718</v>
      </c>
      <c r="J22" s="46">
        <f t="shared" si="9"/>
        <v>9.5606791424068076E-3</v>
      </c>
      <c r="K22" s="14">
        <f t="shared" si="5"/>
        <v>13867.133778162666</v>
      </c>
      <c r="L22" s="14">
        <f t="shared" si="6"/>
        <v>1317.382152308327</v>
      </c>
      <c r="M22" s="14">
        <f t="shared" si="7"/>
        <v>27665.025198474865</v>
      </c>
      <c r="O22" s="14">
        <f>SUM(G22:G$27)</f>
        <v>1676243.1543291139</v>
      </c>
      <c r="P22" s="46">
        <f t="shared" si="8"/>
        <v>0.23779197925118248</v>
      </c>
      <c r="Q22" s="14">
        <f t="shared" si="10"/>
        <v>916.86244549985361</v>
      </c>
      <c r="R22" s="14">
        <f t="shared" si="11"/>
        <v>2938.8708234989335</v>
      </c>
    </row>
    <row r="23" spans="1:18" x14ac:dyDescent="0.3">
      <c r="D23" s="33">
        <v>15</v>
      </c>
      <c r="E23" s="31">
        <f t="shared" si="2"/>
        <v>0.1338</v>
      </c>
      <c r="F23">
        <f t="shared" si="3"/>
        <v>0.24661776788678713</v>
      </c>
      <c r="G23" s="15">
        <f t="shared" si="4"/>
        <v>345264.875041502</v>
      </c>
      <c r="H23" s="14">
        <f t="shared" si="0"/>
        <v>835311.5376130431</v>
      </c>
      <c r="I23" s="14">
        <f t="shared" si="1"/>
        <v>401799.13182453229</v>
      </c>
      <c r="J23" s="46">
        <f t="shared" si="9"/>
        <v>9.5606791424068076E-3</v>
      </c>
      <c r="K23" s="14">
        <f t="shared" si="5"/>
        <v>10749.630747127392</v>
      </c>
      <c r="L23" s="14">
        <f t="shared" si="6"/>
        <v>845.76972256737361</v>
      </c>
      <c r="M23" s="14">
        <f t="shared" si="7"/>
        <v>17761.164173914844</v>
      </c>
      <c r="O23" s="14">
        <f>SUM(G23:G$27)</f>
        <v>1277645.9769549484</v>
      </c>
      <c r="P23" s="46">
        <f t="shared" si="8"/>
        <v>0.27023516785485602</v>
      </c>
      <c r="Q23" s="14">
        <f t="shared" si="10"/>
        <v>794.18625029197324</v>
      </c>
      <c r="R23" s="14">
        <f t="shared" si="11"/>
        <v>2144.6845732069605</v>
      </c>
    </row>
    <row r="24" spans="1:18" x14ac:dyDescent="0.3">
      <c r="D24" s="33">
        <v>16</v>
      </c>
      <c r="E24" s="31">
        <f t="shared" si="2"/>
        <v>0.14249999999999999</v>
      </c>
      <c r="F24">
        <f t="shared" si="3"/>
        <v>0.21147473596291996</v>
      </c>
      <c r="G24" s="15">
        <f t="shared" si="4"/>
        <v>296064.63034808793</v>
      </c>
      <c r="H24" s="14">
        <f t="shared" si="0"/>
        <v>581012.48414560745</v>
      </c>
      <c r="I24" s="14">
        <f t="shared" si="1"/>
        <v>266168.51340794854</v>
      </c>
      <c r="J24" s="46">
        <f t="shared" si="9"/>
        <v>9.5606791424068076E-3</v>
      </c>
      <c r="K24" s="14">
        <f t="shared" si="5"/>
        <v>7986.1455950687805</v>
      </c>
      <c r="L24" s="14">
        <f t="shared" si="6"/>
        <v>488.75092894230312</v>
      </c>
      <c r="M24" s="14">
        <f t="shared" si="7"/>
        <v>10263.769507788365</v>
      </c>
      <c r="O24" s="14">
        <f>SUM(G24:G$27)</f>
        <v>932381.10191344644</v>
      </c>
      <c r="P24" s="46">
        <f t="shared" si="8"/>
        <v>0.31753606946826751</v>
      </c>
      <c r="Q24" s="14">
        <f t="shared" si="10"/>
        <v>681.01470962536712</v>
      </c>
      <c r="R24" s="14">
        <f t="shared" si="11"/>
        <v>1463.6698635815933</v>
      </c>
    </row>
    <row r="25" spans="1:18" x14ac:dyDescent="0.3">
      <c r="D25" s="33">
        <v>17</v>
      </c>
      <c r="E25" s="31">
        <f t="shared" si="2"/>
        <v>0.15160000000000001</v>
      </c>
      <c r="F25">
        <f t="shared" si="3"/>
        <v>0.17941516599094132</v>
      </c>
      <c r="G25" s="15">
        <f t="shared" si="4"/>
        <v>251181.23238731784</v>
      </c>
      <c r="H25" s="14">
        <f t="shared" si="0"/>
        <v>358881.87596556993</v>
      </c>
      <c r="I25" s="14">
        <f t="shared" si="1"/>
        <v>156578.9737273487</v>
      </c>
      <c r="J25" s="46">
        <f t="shared" si="9"/>
        <v>9.5606791424068076E-3</v>
      </c>
      <c r="K25" s="14">
        <f t="shared" si="5"/>
        <v>5554.8739386488751</v>
      </c>
      <c r="L25" s="14">
        <f t="shared" si="6"/>
        <v>235.44477845697452</v>
      </c>
      <c r="M25" s="14">
        <f t="shared" si="7"/>
        <v>4944.3403475964651</v>
      </c>
      <c r="O25" s="14">
        <f>SUM(G25:G$27)</f>
        <v>636316.47156535857</v>
      </c>
      <c r="P25" s="46">
        <f t="shared" si="8"/>
        <v>0.39474262196828586</v>
      </c>
      <c r="Q25" s="14">
        <f t="shared" si="10"/>
        <v>577.77287964616141</v>
      </c>
      <c r="R25" s="14">
        <f t="shared" si="11"/>
        <v>885.89698393543188</v>
      </c>
    </row>
    <row r="26" spans="1:18" x14ac:dyDescent="0.3">
      <c r="D26" s="33">
        <v>18</v>
      </c>
      <c r="E26" s="31">
        <f t="shared" si="2"/>
        <v>0.16139999999999999</v>
      </c>
      <c r="F26">
        <f t="shared" si="3"/>
        <v>0.15045755820000339</v>
      </c>
      <c r="G26" s="15">
        <f t="shared" si="4"/>
        <v>210640.58148000474</v>
      </c>
      <c r="H26" s="14">
        <f t="shared" si="0"/>
        <v>166185.38828384376</v>
      </c>
      <c r="I26" s="14">
        <f t="shared" si="1"/>
        <v>69053.461369109718</v>
      </c>
      <c r="J26" s="46">
        <f t="shared" si="9"/>
        <v>9.5606791424068076E-3</v>
      </c>
      <c r="K26" s="14">
        <f t="shared" si="5"/>
        <v>3431.1544661318512</v>
      </c>
      <c r="L26" s="14">
        <f t="shared" si="6"/>
        <v>75.659294073230697</v>
      </c>
      <c r="M26" s="14">
        <f t="shared" si="7"/>
        <v>1588.8451755378446</v>
      </c>
      <c r="O26" s="14">
        <f>SUM(G26:G$27)</f>
        <v>385135.23917804065</v>
      </c>
      <c r="P26" s="46">
        <f t="shared" si="8"/>
        <v>0.54692627433821928</v>
      </c>
      <c r="Q26" s="14">
        <f t="shared" si="10"/>
        <v>484.52033687127107</v>
      </c>
      <c r="R26" s="14">
        <f t="shared" si="11"/>
        <v>401.37664706416081</v>
      </c>
    </row>
    <row r="27" spans="1:18" x14ac:dyDescent="0.3">
      <c r="D27" s="33">
        <v>19</v>
      </c>
      <c r="E27" s="31">
        <f t="shared" si="2"/>
        <v>0.1716</v>
      </c>
      <c r="F27">
        <f t="shared" si="3"/>
        <v>0.12463904121288281</v>
      </c>
      <c r="G27" s="15">
        <f t="shared" si="4"/>
        <v>174494.65769803594</v>
      </c>
      <c r="H27">
        <v>0</v>
      </c>
      <c r="J27" s="46">
        <f t="shared" si="9"/>
        <v>9.5606791424068076E-3</v>
      </c>
      <c r="K27" s="14">
        <f t="shared" si="5"/>
        <v>1588.8451755381216</v>
      </c>
      <c r="L27" s="14">
        <v>0</v>
      </c>
      <c r="M27" s="14">
        <v>0</v>
      </c>
      <c r="O27" s="14">
        <f>SUM(G27:G$27)</f>
        <v>174494.65769803594</v>
      </c>
      <c r="P27" s="46">
        <f t="shared" si="8"/>
        <v>1</v>
      </c>
      <c r="Q27" s="14">
        <f t="shared" si="10"/>
        <v>401.37664706416081</v>
      </c>
      <c r="R27" s="14">
        <f t="shared" si="11"/>
        <v>0</v>
      </c>
    </row>
    <row r="28" spans="1:18" x14ac:dyDescent="0.3">
      <c r="D28" s="33">
        <v>20</v>
      </c>
      <c r="E28" s="31">
        <v>1</v>
      </c>
      <c r="F28">
        <f t="shared" si="3"/>
        <v>0</v>
      </c>
      <c r="G28" s="15"/>
    </row>
    <row r="29" spans="1:18" x14ac:dyDescent="0.3">
      <c r="H29" t="s">
        <v>264</v>
      </c>
      <c r="I29" s="14">
        <f>SUM(I8:I26)</f>
        <v>57632639.041178674</v>
      </c>
    </row>
    <row r="31" spans="1:18" x14ac:dyDescent="0.3">
      <c r="H31" t="s">
        <v>290</v>
      </c>
      <c r="M31" t="s">
        <v>289</v>
      </c>
      <c r="O31" s="12" t="s">
        <v>288</v>
      </c>
      <c r="R31" t="s">
        <v>287</v>
      </c>
    </row>
    <row r="32" spans="1:18" x14ac:dyDescent="0.3">
      <c r="A32" t="s">
        <v>189</v>
      </c>
      <c r="D32" s="38"/>
      <c r="E32" s="37" t="s">
        <v>215</v>
      </c>
      <c r="F32" s="19"/>
      <c r="G32" s="19" t="s">
        <v>282</v>
      </c>
      <c r="H32" s="19"/>
      <c r="I32" s="19" t="s">
        <v>286</v>
      </c>
      <c r="J32" s="19" t="s">
        <v>59</v>
      </c>
      <c r="K32" s="19" t="s">
        <v>59</v>
      </c>
      <c r="L32" s="19" t="s">
        <v>285</v>
      </c>
      <c r="M32" s="19" t="s">
        <v>284</v>
      </c>
      <c r="N32" s="19" t="s">
        <v>283</v>
      </c>
      <c r="O32" s="19" t="s">
        <v>282</v>
      </c>
      <c r="P32" s="19" t="s">
        <v>281</v>
      </c>
      <c r="Q32" s="19" t="s">
        <v>111</v>
      </c>
      <c r="R32" s="19" t="s">
        <v>111</v>
      </c>
    </row>
    <row r="33" spans="2:18" x14ac:dyDescent="0.3">
      <c r="D33" s="36" t="s">
        <v>64</v>
      </c>
      <c r="E33" s="35" t="s">
        <v>62</v>
      </c>
      <c r="F33" s="19" t="s">
        <v>224</v>
      </c>
      <c r="G33" s="19" t="s">
        <v>280</v>
      </c>
      <c r="H33" s="19" t="s">
        <v>174</v>
      </c>
      <c r="I33" s="19" t="s">
        <v>279</v>
      </c>
      <c r="J33" s="19" t="s">
        <v>275</v>
      </c>
      <c r="K33" s="19" t="s">
        <v>68</v>
      </c>
      <c r="L33" s="19" t="s">
        <v>278</v>
      </c>
      <c r="M33" s="19" t="s">
        <v>277</v>
      </c>
      <c r="N33" s="19" t="s">
        <v>9</v>
      </c>
      <c r="O33" s="19" t="s">
        <v>276</v>
      </c>
      <c r="P33" s="19" t="s">
        <v>275</v>
      </c>
      <c r="Q33" s="19" t="s">
        <v>59</v>
      </c>
      <c r="R33" s="19" t="s">
        <v>274</v>
      </c>
    </row>
    <row r="34" spans="2:18" x14ac:dyDescent="0.3">
      <c r="B34" t="s">
        <v>273</v>
      </c>
      <c r="D34" s="33">
        <v>0</v>
      </c>
      <c r="E34" s="31"/>
      <c r="F34">
        <v>1</v>
      </c>
      <c r="H34" s="14">
        <f t="shared" ref="H34:H52" si="12">(H35+G35)/1.05</f>
        <v>9537743.7354442514</v>
      </c>
      <c r="I34" s="14">
        <f t="shared" ref="I34:I52" si="13">H34/1.05^D34</f>
        <v>9537743.7354442514</v>
      </c>
      <c r="J34" s="46"/>
      <c r="M34" s="14">
        <f>50000*200-H34</f>
        <v>462256.26455574855</v>
      </c>
      <c r="N34" s="15">
        <f>0.03*200*5000</f>
        <v>30000</v>
      </c>
      <c r="O34" s="14"/>
    </row>
    <row r="35" spans="2:18" x14ac:dyDescent="0.3">
      <c r="B35" t="s">
        <v>272</v>
      </c>
      <c r="D35" s="33">
        <v>1</v>
      </c>
      <c r="E35" s="31">
        <f>ROUND(1-EXP(-0.00016*1.07^(85+D35)*0.07/LN(1.07)),4)</f>
        <v>5.4199999999999998E-2</v>
      </c>
      <c r="F35">
        <f t="shared" ref="F35:F54" si="14">F34*(1-E35)</f>
        <v>0.94579999999999997</v>
      </c>
      <c r="G35" s="15">
        <f t="shared" ref="G35:G53" si="15">200*7000*F35</f>
        <v>1324120</v>
      </c>
      <c r="H35" s="14">
        <f t="shared" si="12"/>
        <v>8690510.9222164638</v>
      </c>
      <c r="I35" s="14">
        <f t="shared" si="13"/>
        <v>8276677.0687775845</v>
      </c>
      <c r="J35" s="46">
        <f>$M$34/$I$55</f>
        <v>7.9271320829191177E-3</v>
      </c>
      <c r="K35" s="14">
        <f t="shared" ref="K35:K53" si="16">J35*H34</f>
        <v>75606.95436390095</v>
      </c>
      <c r="L35" s="14">
        <f t="shared" ref="L35:L52" si="17">(M34-K35)*0.05</f>
        <v>19332.465509592381</v>
      </c>
      <c r="M35" s="14">
        <f t="shared" ref="M35:M52" si="18">M34-K35+L35</f>
        <v>405981.77570144</v>
      </c>
      <c r="O35" s="14">
        <f>SUM(G35:G$53)</f>
        <v>13173905.136575246</v>
      </c>
      <c r="P35" s="46">
        <f t="shared" ref="P35:P53" si="19">G35/O35</f>
        <v>0.10051081940189413</v>
      </c>
      <c r="Q35" s="14">
        <f>P35*N34</f>
        <v>3015.3245820568241</v>
      </c>
      <c r="R35" s="14">
        <f>N34-Q35</f>
        <v>26984.675417943177</v>
      </c>
    </row>
    <row r="36" spans="2:18" x14ac:dyDescent="0.3">
      <c r="B36" t="s">
        <v>271</v>
      </c>
      <c r="D36" s="33">
        <v>2</v>
      </c>
      <c r="E36" s="31">
        <f>ROUND(1-EXP(-0.00016*1.07^(85+D36)*0.07/LN(1.07)),4)</f>
        <v>5.79E-2</v>
      </c>
      <c r="F36">
        <f t="shared" si="14"/>
        <v>0.89103818000000001</v>
      </c>
      <c r="G36" s="15">
        <f t="shared" si="15"/>
        <v>1247453.452</v>
      </c>
      <c r="H36" s="14">
        <f t="shared" si="12"/>
        <v>7877583.0163272871</v>
      </c>
      <c r="I36" s="14">
        <f t="shared" si="13"/>
        <v>7145200.01480933</v>
      </c>
      <c r="J36" s="46">
        <f t="shared" ref="J36:J53" si="20">J35</f>
        <v>7.9271320829191177E-3</v>
      </c>
      <c r="K36" s="14">
        <f t="shared" si="16"/>
        <v>68890.827948461141</v>
      </c>
      <c r="L36" s="14">
        <f t="shared" si="17"/>
        <v>16854.547387648945</v>
      </c>
      <c r="M36" s="14">
        <f t="shared" si="18"/>
        <v>353945.49514062784</v>
      </c>
      <c r="O36" s="14">
        <f>SUM(G36:G$53)</f>
        <v>11849785.136575246</v>
      </c>
      <c r="P36" s="46">
        <f t="shared" si="19"/>
        <v>0.10527224229151985</v>
      </c>
      <c r="Q36" s="14">
        <f t="shared" ref="Q36:Q53" si="21">P36*R35</f>
        <v>2840.737288755734</v>
      </c>
      <c r="R36" s="14">
        <f t="shared" ref="R36:R53" si="22">R35-Q36</f>
        <v>24143.938129187445</v>
      </c>
    </row>
    <row r="37" spans="2:18" x14ac:dyDescent="0.3">
      <c r="B37" t="s">
        <v>270</v>
      </c>
      <c r="D37" s="33">
        <v>3</v>
      </c>
      <c r="E37" s="31">
        <v>0.05</v>
      </c>
      <c r="F37">
        <f t="shared" si="14"/>
        <v>0.84648627099999996</v>
      </c>
      <c r="G37" s="15">
        <f t="shared" si="15"/>
        <v>1185080.7793999999</v>
      </c>
      <c r="H37" s="14">
        <f t="shared" si="12"/>
        <v>7086381.3877436519</v>
      </c>
      <c r="I37" s="14">
        <f t="shared" si="13"/>
        <v>6121482.6802666243</v>
      </c>
      <c r="J37" s="46">
        <f t="shared" si="20"/>
        <v>7.9271320829191177E-3</v>
      </c>
      <c r="K37" s="14">
        <f t="shared" si="16"/>
        <v>62446.641064586795</v>
      </c>
      <c r="L37" s="14">
        <f t="shared" si="17"/>
        <v>14574.942703802051</v>
      </c>
      <c r="M37" s="14">
        <f t="shared" si="18"/>
        <v>306073.79677984305</v>
      </c>
      <c r="O37" s="14">
        <f>SUM(G37:G$53)</f>
        <v>10602331.684575245</v>
      </c>
      <c r="P37" s="46">
        <f t="shared" si="19"/>
        <v>0.11177548624743644</v>
      </c>
      <c r="Q37" s="14">
        <f t="shared" si="21"/>
        <v>2698.7004243179476</v>
      </c>
      <c r="R37" s="14">
        <f t="shared" si="22"/>
        <v>21445.237704869498</v>
      </c>
    </row>
    <row r="38" spans="2:18" x14ac:dyDescent="0.3">
      <c r="B38" t="s">
        <v>269</v>
      </c>
      <c r="D38" s="33">
        <v>4</v>
      </c>
      <c r="E38" s="31">
        <f t="shared" ref="E38:E53" si="23">ROUND(1-EXP(-0.00016*1.07^(85+D38)*0.07/LN(1.07)),4)</f>
        <v>6.6000000000000003E-2</v>
      </c>
      <c r="F38">
        <f t="shared" si="14"/>
        <v>0.79061817711399995</v>
      </c>
      <c r="G38" s="15">
        <f t="shared" si="15"/>
        <v>1106865.4479596</v>
      </c>
      <c r="H38" s="14">
        <f t="shared" si="12"/>
        <v>6333835.0091712344</v>
      </c>
      <c r="I38" s="14">
        <f t="shared" si="13"/>
        <v>5210861.7369686374</v>
      </c>
      <c r="J38" s="46">
        <f t="shared" si="20"/>
        <v>7.9271320829191177E-3</v>
      </c>
      <c r="K38" s="14">
        <f t="shared" si="16"/>
        <v>56174.681250583606</v>
      </c>
      <c r="L38" s="14">
        <f t="shared" si="17"/>
        <v>12494.955776462972</v>
      </c>
      <c r="M38" s="14">
        <f t="shared" si="18"/>
        <v>262394.07130572241</v>
      </c>
      <c r="O38" s="14">
        <f>SUM(G38:G$53)</f>
        <v>9417250.9051752482</v>
      </c>
      <c r="P38" s="46">
        <f t="shared" si="19"/>
        <v>0.11753594112601612</v>
      </c>
      <c r="Q38" s="14">
        <f t="shared" si="21"/>
        <v>2520.5861963129623</v>
      </c>
      <c r="R38" s="14">
        <f t="shared" si="22"/>
        <v>18924.651508556537</v>
      </c>
    </row>
    <row r="39" spans="2:18" x14ac:dyDescent="0.3">
      <c r="B39" t="s">
        <v>268</v>
      </c>
      <c r="D39" s="33">
        <v>5</v>
      </c>
      <c r="E39" s="31">
        <f t="shared" si="23"/>
        <v>7.0400000000000004E-2</v>
      </c>
      <c r="F39">
        <f t="shared" si="14"/>
        <v>0.7349586574451743</v>
      </c>
      <c r="G39" s="15">
        <f t="shared" si="15"/>
        <v>1028942.1204232441</v>
      </c>
      <c r="H39" s="14">
        <f t="shared" si="12"/>
        <v>5621584.6392065519</v>
      </c>
      <c r="I39" s="14">
        <f t="shared" si="13"/>
        <v>4404658.6618354842</v>
      </c>
      <c r="J39" s="46">
        <f t="shared" si="20"/>
        <v>7.9271320829191177E-3</v>
      </c>
      <c r="K39" s="14">
        <f t="shared" si="16"/>
        <v>50209.146709117595</v>
      </c>
      <c r="L39" s="14">
        <f t="shared" si="17"/>
        <v>10609.246229830242</v>
      </c>
      <c r="M39" s="14">
        <f t="shared" si="18"/>
        <v>222794.17082643503</v>
      </c>
      <c r="O39" s="14">
        <f>SUM(G39:G$53)</f>
        <v>8310385.4572156481</v>
      </c>
      <c r="P39" s="46">
        <f t="shared" si="19"/>
        <v>0.12381400666919075</v>
      </c>
      <c r="Q39" s="14">
        <f t="shared" si="21"/>
        <v>2343.1369280925296</v>
      </c>
      <c r="R39" s="14">
        <f t="shared" si="22"/>
        <v>16581.514580464009</v>
      </c>
    </row>
    <row r="40" spans="2:18" x14ac:dyDescent="0.3">
      <c r="B40" t="s">
        <v>267</v>
      </c>
      <c r="D40" s="33">
        <v>6</v>
      </c>
      <c r="E40" s="31">
        <f t="shared" si="23"/>
        <v>7.5200000000000003E-2</v>
      </c>
      <c r="F40">
        <f t="shared" si="14"/>
        <v>0.67968976640529721</v>
      </c>
      <c r="G40" s="15">
        <f t="shared" si="15"/>
        <v>951565.67296741612</v>
      </c>
      <c r="H40" s="14">
        <f t="shared" si="12"/>
        <v>4951098.1981994631</v>
      </c>
      <c r="I40" s="14">
        <f t="shared" si="13"/>
        <v>3694585.7057563048</v>
      </c>
      <c r="J40" s="46">
        <f t="shared" si="20"/>
        <v>7.9271320829191177E-3</v>
      </c>
      <c r="K40" s="14">
        <f t="shared" si="16"/>
        <v>44563.04395029955</v>
      </c>
      <c r="L40" s="14">
        <f t="shared" si="17"/>
        <v>8911.5563438067747</v>
      </c>
      <c r="M40" s="14">
        <f t="shared" si="18"/>
        <v>187142.68321994224</v>
      </c>
      <c r="O40" s="14">
        <f>SUM(G40:G$53)</f>
        <v>7281443.3367924057</v>
      </c>
      <c r="P40" s="46">
        <f t="shared" si="19"/>
        <v>0.13068366104824986</v>
      </c>
      <c r="Q40" s="14">
        <f t="shared" si="21"/>
        <v>2166.9330310999712</v>
      </c>
      <c r="R40" s="14">
        <f t="shared" si="22"/>
        <v>14414.581549364037</v>
      </c>
    </row>
    <row r="41" spans="2:18" x14ac:dyDescent="0.3">
      <c r="B41" t="s">
        <v>266</v>
      </c>
      <c r="D41" s="33">
        <v>7</v>
      </c>
      <c r="E41" s="31">
        <f t="shared" si="23"/>
        <v>8.0199999999999994E-2</v>
      </c>
      <c r="F41">
        <f t="shared" si="14"/>
        <v>0.62517864713959237</v>
      </c>
      <c r="G41" s="15">
        <f t="shared" si="15"/>
        <v>875250.10599542933</v>
      </c>
      <c r="H41" s="14">
        <f t="shared" si="12"/>
        <v>4323403.0021140063</v>
      </c>
      <c r="I41" s="14">
        <f t="shared" si="13"/>
        <v>3072561.7962309425</v>
      </c>
      <c r="J41" s="46">
        <f t="shared" si="20"/>
        <v>7.9271320829191177E-3</v>
      </c>
      <c r="K41" s="14">
        <f t="shared" si="16"/>
        <v>39248.009372630004</v>
      </c>
      <c r="L41" s="14">
        <f t="shared" si="17"/>
        <v>7394.7336923656112</v>
      </c>
      <c r="M41" s="14">
        <f t="shared" si="18"/>
        <v>155289.40753967784</v>
      </c>
      <c r="O41" s="14">
        <f>SUM(G41:G$53)</f>
        <v>6329877.6638249885</v>
      </c>
      <c r="P41" s="46">
        <f t="shared" si="19"/>
        <v>0.13827283124245049</v>
      </c>
      <c r="Q41" s="14">
        <f t="shared" si="21"/>
        <v>1993.1450020057539</v>
      </c>
      <c r="R41" s="14">
        <f t="shared" si="22"/>
        <v>12421.436547358282</v>
      </c>
    </row>
    <row r="42" spans="2:18" x14ac:dyDescent="0.3">
      <c r="B42" t="s">
        <v>265</v>
      </c>
      <c r="D42" s="33">
        <v>8</v>
      </c>
      <c r="E42" s="31">
        <f t="shared" si="23"/>
        <v>8.5599999999999996E-2</v>
      </c>
      <c r="F42">
        <f t="shared" si="14"/>
        <v>0.5716633549444432</v>
      </c>
      <c r="G42" s="15">
        <f t="shared" si="15"/>
        <v>800328.69692222052</v>
      </c>
      <c r="H42" s="14">
        <f t="shared" si="12"/>
        <v>3739244.4552974864</v>
      </c>
      <c r="I42" s="14">
        <f t="shared" si="13"/>
        <v>2530867.8315928564</v>
      </c>
      <c r="J42" s="46">
        <f t="shared" si="20"/>
        <v>7.9271320829191177E-3</v>
      </c>
      <c r="K42" s="14">
        <f t="shared" si="16"/>
        <v>34272.186645446767</v>
      </c>
      <c r="L42" s="14">
        <f t="shared" si="17"/>
        <v>6050.8610447115534</v>
      </c>
      <c r="M42" s="14">
        <f t="shared" si="18"/>
        <v>127068.08193894262</v>
      </c>
      <c r="O42" s="14">
        <f>SUM(G42:G$53)</f>
        <v>5454627.5578295588</v>
      </c>
      <c r="P42" s="46">
        <f t="shared" si="19"/>
        <v>0.1467247192291673</v>
      </c>
      <c r="Q42" s="14">
        <f t="shared" si="21"/>
        <v>1822.5317898340611</v>
      </c>
      <c r="R42" s="14">
        <f t="shared" si="22"/>
        <v>10598.90475752422</v>
      </c>
    </row>
    <row r="43" spans="2:18" x14ac:dyDescent="0.3">
      <c r="D43" s="33">
        <v>9</v>
      </c>
      <c r="E43" s="31">
        <f t="shared" si="23"/>
        <v>9.1300000000000006E-2</v>
      </c>
      <c r="F43">
        <f t="shared" si="14"/>
        <v>0.51947049063801554</v>
      </c>
      <c r="G43" s="15">
        <f t="shared" si="15"/>
        <v>727258.68689322181</v>
      </c>
      <c r="H43" s="14">
        <f t="shared" si="12"/>
        <v>3198947.9911691388</v>
      </c>
      <c r="I43" s="14">
        <f t="shared" si="13"/>
        <v>2062070.3976246384</v>
      </c>
      <c r="J43" s="46">
        <f t="shared" si="20"/>
        <v>7.9271320829191177E-3</v>
      </c>
      <c r="K43" s="14">
        <f t="shared" si="16"/>
        <v>29641.484687466123</v>
      </c>
      <c r="L43" s="14">
        <f t="shared" si="17"/>
        <v>4871.3298625738244</v>
      </c>
      <c r="M43" s="14">
        <f t="shared" si="18"/>
        <v>102297.92711405031</v>
      </c>
      <c r="O43" s="14">
        <f>SUM(G43:G$53)</f>
        <v>4654298.8609073386</v>
      </c>
      <c r="P43" s="46">
        <f t="shared" si="19"/>
        <v>0.15625526177565774</v>
      </c>
      <c r="Q43" s="14">
        <f t="shared" si="21"/>
        <v>1656.1346374222112</v>
      </c>
      <c r="R43" s="14">
        <f t="shared" si="22"/>
        <v>8942.77012010201</v>
      </c>
    </row>
    <row r="44" spans="2:18" x14ac:dyDescent="0.3">
      <c r="D44" s="33">
        <v>10</v>
      </c>
      <c r="E44" s="31">
        <f t="shared" si="23"/>
        <v>9.7299999999999998E-2</v>
      </c>
      <c r="F44">
        <f t="shared" si="14"/>
        <v>0.46892601189893668</v>
      </c>
      <c r="G44" s="15">
        <f t="shared" si="15"/>
        <v>656496.41665851139</v>
      </c>
      <c r="H44" s="14">
        <f t="shared" si="12"/>
        <v>2702398.9740690845</v>
      </c>
      <c r="I44" s="14">
        <f t="shared" si="13"/>
        <v>1659038.5465359618</v>
      </c>
      <c r="J44" s="46">
        <f t="shared" si="20"/>
        <v>7.9271320829191177E-3</v>
      </c>
      <c r="K44" s="14">
        <f t="shared" si="16"/>
        <v>25358.483252386544</v>
      </c>
      <c r="L44" s="14">
        <f t="shared" si="17"/>
        <v>3846.9721930831884</v>
      </c>
      <c r="M44" s="14">
        <f t="shared" si="18"/>
        <v>80786.416054746951</v>
      </c>
      <c r="O44" s="14">
        <f>SUM(G44:G$53)</f>
        <v>3927040.1740141152</v>
      </c>
      <c r="P44" s="46">
        <f t="shared" si="19"/>
        <v>0.16717333858783989</v>
      </c>
      <c r="Q44" s="14">
        <f t="shared" si="21"/>
        <v>1494.9927372010309</v>
      </c>
      <c r="R44" s="14">
        <f t="shared" si="22"/>
        <v>7447.7773829009793</v>
      </c>
    </row>
    <row r="45" spans="2:18" x14ac:dyDescent="0.3">
      <c r="D45" s="33">
        <v>11</v>
      </c>
      <c r="E45" s="31">
        <f t="shared" si="23"/>
        <v>0.1038</v>
      </c>
      <c r="F45">
        <f t="shared" si="14"/>
        <v>0.42025149186382704</v>
      </c>
      <c r="G45" s="15">
        <f t="shared" si="15"/>
        <v>588352.08860935783</v>
      </c>
      <c r="H45" s="14">
        <f t="shared" si="12"/>
        <v>2249166.834163181</v>
      </c>
      <c r="I45" s="14">
        <f t="shared" si="13"/>
        <v>1315041.2656353216</v>
      </c>
      <c r="J45" s="46">
        <f t="shared" si="20"/>
        <v>7.9271320829191177E-3</v>
      </c>
      <c r="K45" s="14">
        <f t="shared" si="16"/>
        <v>21422.27360819075</v>
      </c>
      <c r="L45" s="14">
        <f t="shared" si="17"/>
        <v>2968.2071223278103</v>
      </c>
      <c r="M45" s="14">
        <f t="shared" si="18"/>
        <v>62332.349568884012</v>
      </c>
      <c r="O45" s="14">
        <f>SUM(G45:G$53)</f>
        <v>3270543.7573556039</v>
      </c>
      <c r="P45" s="46">
        <f t="shared" si="19"/>
        <v>0.17989427210265169</v>
      </c>
      <c r="Q45" s="14">
        <f t="shared" si="21"/>
        <v>1339.8124910795639</v>
      </c>
      <c r="R45" s="14">
        <f t="shared" si="22"/>
        <v>6107.9648918214152</v>
      </c>
    </row>
    <row r="46" spans="2:18" x14ac:dyDescent="0.3">
      <c r="D46" s="33">
        <v>12</v>
      </c>
      <c r="E46" s="31">
        <f t="shared" si="23"/>
        <v>0.1106</v>
      </c>
      <c r="F46">
        <f t="shared" si="14"/>
        <v>0.37377167686368779</v>
      </c>
      <c r="G46" s="15">
        <f t="shared" si="15"/>
        <v>523280.34760916291</v>
      </c>
      <c r="H46" s="14">
        <f t="shared" si="12"/>
        <v>1838344.8282621773</v>
      </c>
      <c r="I46" s="14">
        <f t="shared" si="13"/>
        <v>1023659.1878895798</v>
      </c>
      <c r="J46" s="46">
        <f t="shared" si="20"/>
        <v>7.9271320829191177E-3</v>
      </c>
      <c r="K46" s="14">
        <f t="shared" si="16"/>
        <v>17829.442570932573</v>
      </c>
      <c r="L46" s="14">
        <f t="shared" si="17"/>
        <v>2225.145349897572</v>
      </c>
      <c r="M46" s="14">
        <f t="shared" si="18"/>
        <v>46728.052347849014</v>
      </c>
      <c r="O46" s="14">
        <f>SUM(G46:G$53)</f>
        <v>2682191.6687462465</v>
      </c>
      <c r="P46" s="46">
        <f t="shared" si="19"/>
        <v>0.19509431548333869</v>
      </c>
      <c r="Q46" s="14">
        <f t="shared" si="21"/>
        <v>1191.6292295661638</v>
      </c>
      <c r="R46" s="14">
        <f t="shared" si="22"/>
        <v>4916.335662255251</v>
      </c>
    </row>
    <row r="47" spans="2:18" x14ac:dyDescent="0.3">
      <c r="D47" s="33">
        <v>13</v>
      </c>
      <c r="E47" s="31">
        <f t="shared" si="23"/>
        <v>0.1179</v>
      </c>
      <c r="F47">
        <f t="shared" si="14"/>
        <v>0.32970399616145901</v>
      </c>
      <c r="G47" s="15">
        <f t="shared" si="15"/>
        <v>461585.59462604264</v>
      </c>
      <c r="H47" s="14">
        <f t="shared" si="12"/>
        <v>1468676.4750492435</v>
      </c>
      <c r="I47" s="14">
        <f t="shared" si="13"/>
        <v>778870.49190908531</v>
      </c>
      <c r="J47" s="46">
        <f t="shared" si="20"/>
        <v>7.9271320829191177E-3</v>
      </c>
      <c r="K47" s="14">
        <f t="shared" si="16"/>
        <v>14572.802267585541</v>
      </c>
      <c r="L47" s="14">
        <f t="shared" si="17"/>
        <v>1607.7625040131738</v>
      </c>
      <c r="M47" s="14">
        <f t="shared" si="18"/>
        <v>33763.01258427665</v>
      </c>
      <c r="O47" s="14">
        <f>SUM(G47:G$53)</f>
        <v>2158911.3211370837</v>
      </c>
      <c r="P47" s="46">
        <f t="shared" si="19"/>
        <v>0.21380479601307972</v>
      </c>
      <c r="Q47" s="14">
        <f t="shared" si="21"/>
        <v>1051.1361434003131</v>
      </c>
      <c r="R47" s="14">
        <f t="shared" si="22"/>
        <v>3865.1995188549381</v>
      </c>
    </row>
    <row r="48" spans="2:18" x14ac:dyDescent="0.3">
      <c r="D48" s="33">
        <v>14</v>
      </c>
      <c r="E48" s="31">
        <f t="shared" si="23"/>
        <v>0.12559999999999999</v>
      </c>
      <c r="F48">
        <f t="shared" si="14"/>
        <v>0.28829317424357981</v>
      </c>
      <c r="G48" s="15">
        <f t="shared" si="15"/>
        <v>403610.44394101173</v>
      </c>
      <c r="H48" s="14">
        <f t="shared" si="12"/>
        <v>1138499.8548606939</v>
      </c>
      <c r="I48" s="14">
        <f t="shared" si="13"/>
        <v>575019.79118018597</v>
      </c>
      <c r="J48" s="46">
        <f t="shared" si="20"/>
        <v>7.9271320829191177E-3</v>
      </c>
      <c r="K48" s="14">
        <f t="shared" si="16"/>
        <v>11642.392404791417</v>
      </c>
      <c r="L48" s="14">
        <f t="shared" si="17"/>
        <v>1106.0310089742616</v>
      </c>
      <c r="M48" s="14">
        <f t="shared" si="18"/>
        <v>23226.651188459495</v>
      </c>
      <c r="O48" s="14">
        <f>SUM(G48:G$53)</f>
        <v>1697325.7265110412</v>
      </c>
      <c r="P48" s="46">
        <f t="shared" si="19"/>
        <v>0.23779197925118248</v>
      </c>
      <c r="Q48" s="14">
        <f t="shared" si="21"/>
        <v>919.11344378923388</v>
      </c>
      <c r="R48" s="14">
        <f t="shared" si="22"/>
        <v>2946.0860750657043</v>
      </c>
    </row>
    <row r="49" spans="4:18" x14ac:dyDescent="0.3">
      <c r="D49" s="33">
        <v>15</v>
      </c>
      <c r="E49" s="31">
        <f t="shared" si="23"/>
        <v>0.1338</v>
      </c>
      <c r="F49">
        <f t="shared" si="14"/>
        <v>0.24971954752978881</v>
      </c>
      <c r="G49" s="15">
        <f t="shared" si="15"/>
        <v>349607.36654170434</v>
      </c>
      <c r="H49" s="14">
        <f t="shared" si="12"/>
        <v>845817.48106202448</v>
      </c>
      <c r="I49" s="14">
        <f t="shared" si="13"/>
        <v>406852.67025506916</v>
      </c>
      <c r="J49" s="46">
        <f t="shared" si="20"/>
        <v>7.9271320829191177E-3</v>
      </c>
      <c r="K49" s="14">
        <f t="shared" si="16"/>
        <v>9025.0387258649662</v>
      </c>
      <c r="L49" s="14">
        <f t="shared" si="17"/>
        <v>710.08062312972652</v>
      </c>
      <c r="M49" s="14">
        <f t="shared" si="18"/>
        <v>14911.693085724255</v>
      </c>
      <c r="O49" s="14">
        <f>SUM(G49:G$53)</f>
        <v>1293715.2825700294</v>
      </c>
      <c r="P49" s="46">
        <f t="shared" si="19"/>
        <v>0.27023516785485602</v>
      </c>
      <c r="Q49" s="14">
        <f t="shared" si="21"/>
        <v>796.13606501023457</v>
      </c>
      <c r="R49" s="14">
        <f t="shared" si="22"/>
        <v>2149.9500100554696</v>
      </c>
    </row>
    <row r="50" spans="4:18" x14ac:dyDescent="0.3">
      <c r="D50" s="33">
        <v>16</v>
      </c>
      <c r="E50" s="31">
        <f t="shared" si="23"/>
        <v>0.14249999999999999</v>
      </c>
      <c r="F50">
        <f t="shared" si="14"/>
        <v>0.21413451200679393</v>
      </c>
      <c r="G50" s="15">
        <f t="shared" si="15"/>
        <v>299788.31680951151</v>
      </c>
      <c r="H50" s="14">
        <f t="shared" si="12"/>
        <v>588320.03830561426</v>
      </c>
      <c r="I50" s="14">
        <f t="shared" si="13"/>
        <v>269516.18816622382</v>
      </c>
      <c r="J50" s="46">
        <f t="shared" si="20"/>
        <v>7.9271320829191177E-3</v>
      </c>
      <c r="K50" s="14">
        <f t="shared" si="16"/>
        <v>6704.9068904206079</v>
      </c>
      <c r="L50" s="14">
        <f t="shared" si="17"/>
        <v>410.33930976518241</v>
      </c>
      <c r="M50" s="14">
        <f t="shared" si="18"/>
        <v>8617.1255050688305</v>
      </c>
      <c r="O50" s="14">
        <f>SUM(G50:G$53)</f>
        <v>944107.9160283251</v>
      </c>
      <c r="P50" s="46">
        <f t="shared" si="19"/>
        <v>0.31753606946826751</v>
      </c>
      <c r="Q50" s="14">
        <f t="shared" si="21"/>
        <v>682.68667574627602</v>
      </c>
      <c r="R50" s="14">
        <f t="shared" si="22"/>
        <v>1467.2633343091936</v>
      </c>
    </row>
    <row r="51" spans="4:18" x14ac:dyDescent="0.3">
      <c r="D51" s="33">
        <v>17</v>
      </c>
      <c r="E51" s="31">
        <f t="shared" si="23"/>
        <v>0.15160000000000001</v>
      </c>
      <c r="F51">
        <f t="shared" si="14"/>
        <v>0.18167171998656398</v>
      </c>
      <c r="G51" s="15">
        <f t="shared" si="15"/>
        <v>254340.40798118958</v>
      </c>
      <c r="H51" s="14">
        <f t="shared" si="12"/>
        <v>363395.63223970542</v>
      </c>
      <c r="I51" s="14">
        <f t="shared" si="13"/>
        <v>158548.31063843673</v>
      </c>
      <c r="J51" s="46">
        <f t="shared" si="20"/>
        <v>7.9271320829191177E-3</v>
      </c>
      <c r="K51" s="14">
        <f t="shared" si="16"/>
        <v>4663.6906506766391</v>
      </c>
      <c r="L51" s="14">
        <f t="shared" si="17"/>
        <v>197.6717427196096</v>
      </c>
      <c r="M51" s="14">
        <f t="shared" si="18"/>
        <v>4151.1065971118014</v>
      </c>
      <c r="O51" s="14">
        <f>SUM(G51:G$53)</f>
        <v>644319.59921881359</v>
      </c>
      <c r="P51" s="46">
        <f t="shared" si="19"/>
        <v>0.39474262196828586</v>
      </c>
      <c r="Q51" s="14">
        <f t="shared" si="21"/>
        <v>579.19137570314069</v>
      </c>
      <c r="R51" s="14">
        <f t="shared" si="22"/>
        <v>888.07195860605293</v>
      </c>
    </row>
    <row r="52" spans="4:18" x14ac:dyDescent="0.3">
      <c r="D52" s="33">
        <v>18</v>
      </c>
      <c r="E52" s="31">
        <f t="shared" si="23"/>
        <v>0.16139999999999999</v>
      </c>
      <c r="F52">
        <f t="shared" si="14"/>
        <v>0.15234990438073256</v>
      </c>
      <c r="G52" s="15">
        <f t="shared" si="15"/>
        <v>213289.86613302559</v>
      </c>
      <c r="H52" s="14">
        <f t="shared" si="12"/>
        <v>168275.54771866516</v>
      </c>
      <c r="I52" s="14">
        <f t="shared" si="13"/>
        <v>69921.965786244153</v>
      </c>
      <c r="J52" s="46">
        <f t="shared" si="20"/>
        <v>7.9271320829191177E-3</v>
      </c>
      <c r="K52" s="14">
        <f t="shared" si="16"/>
        <v>2880.6851751200456</v>
      </c>
      <c r="L52" s="14">
        <f t="shared" si="17"/>
        <v>63.521071099587793</v>
      </c>
      <c r="M52" s="14">
        <f t="shared" si="18"/>
        <v>1333.9424930913435</v>
      </c>
      <c r="O52" s="14">
        <f>SUM(G52:G$53)</f>
        <v>389979.19123762404</v>
      </c>
      <c r="P52" s="46">
        <f t="shared" si="19"/>
        <v>0.54692627433821916</v>
      </c>
      <c r="Q52" s="14">
        <f t="shared" si="21"/>
        <v>485.70988766465371</v>
      </c>
      <c r="R52" s="14">
        <f t="shared" si="22"/>
        <v>402.36207094139922</v>
      </c>
    </row>
    <row r="53" spans="4:18" x14ac:dyDescent="0.3">
      <c r="D53" s="33">
        <v>19</v>
      </c>
      <c r="E53" s="31">
        <f t="shared" si="23"/>
        <v>0.1716</v>
      </c>
      <c r="F53">
        <f t="shared" si="14"/>
        <v>0.12620666078899886</v>
      </c>
      <c r="G53" s="15">
        <f t="shared" si="15"/>
        <v>176689.32510459842</v>
      </c>
      <c r="H53">
        <v>0</v>
      </c>
      <c r="J53" s="46">
        <f t="shared" si="20"/>
        <v>7.9271320829191177E-3</v>
      </c>
      <c r="K53" s="14">
        <f t="shared" si="16"/>
        <v>1333.9424930914174</v>
      </c>
      <c r="L53" s="14">
        <v>0</v>
      </c>
      <c r="M53" s="14">
        <v>0</v>
      </c>
      <c r="O53" s="14">
        <f>SUM(G$53:G53)</f>
        <v>176689.32510459842</v>
      </c>
      <c r="P53" s="46">
        <f t="shared" si="19"/>
        <v>1</v>
      </c>
      <c r="Q53" s="14">
        <f t="shared" si="21"/>
        <v>402.36207094139922</v>
      </c>
      <c r="R53" s="14">
        <f t="shared" si="22"/>
        <v>0</v>
      </c>
    </row>
    <row r="54" spans="4:18" x14ac:dyDescent="0.3">
      <c r="D54" s="33">
        <v>20</v>
      </c>
      <c r="E54" s="31">
        <v>1</v>
      </c>
      <c r="F54">
        <f t="shared" si="14"/>
        <v>0</v>
      </c>
      <c r="G54" s="15"/>
    </row>
    <row r="55" spans="4:18" x14ac:dyDescent="0.3">
      <c r="H55" t="s">
        <v>264</v>
      </c>
      <c r="I55" s="14">
        <f>SUM(I34:I52)</f>
        <v>58313178.047302768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E0E69CE-998C-4CC3-8233-16719C7B80F3}"/>
</file>

<file path=customXml/itemProps2.xml><?xml version="1.0" encoding="utf-8"?>
<ds:datastoreItem xmlns:ds="http://schemas.openxmlformats.org/officeDocument/2006/customXml" ds:itemID="{FF63E961-24AD-40DB-ABD7-AA9B0417B2B0}"/>
</file>

<file path=customXml/itemProps3.xml><?xml version="1.0" encoding="utf-8"?>
<ds:datastoreItem xmlns:ds="http://schemas.openxmlformats.org/officeDocument/2006/customXml" ds:itemID="{B7A0C855-C718-40ED-9F3A-088F6C1FCC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vt:lpstr>
      <vt:lpstr>Q US GAAP Ch 4 1b</vt:lpstr>
      <vt:lpstr>A US GAAP Ch 4 1b</vt:lpstr>
      <vt:lpstr>Q US GAAP Ch 5 1b</vt:lpstr>
      <vt:lpstr>A US GAAP Ch 5 1b</vt:lpstr>
      <vt:lpstr>Q US GAAP Ch 11 1b</vt:lpstr>
      <vt:lpstr>A US GAAP Ch 11 1b</vt:lpstr>
      <vt:lpstr>Q US GAAP Ch 12 1b</vt:lpstr>
      <vt:lpstr>A US GAAP Ch 12 1b</vt:lpstr>
      <vt:lpstr>Q1 ILA 201-102-25 4c</vt:lpstr>
      <vt:lpstr>A1 ILA 201-102-25 4c</vt:lpstr>
      <vt:lpstr>Q2 ILA 201-102-25 4c</vt:lpstr>
      <vt:lpstr>A2 ILA 201-102-25 4c</vt:lpstr>
      <vt:lpstr>Q ILA201-100-25 3a</vt:lpstr>
      <vt:lpstr>A ILA201-100-25 3a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2025-06-27T02:49:29Z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