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richData/richValueRel.xml" ContentType="application/vnd.ms-excel.richvaluerel+xml"/>
  <Override PartName="/docMetadata/LabelInfo.xml" ContentType="application/vnd.ms-office.classificationlabels+xml"/>
  <Override PartName="/xl/richData/rdRichValueTypes.xml" ContentType="application/vnd.ms-excel.rdrichvaluetypes+xml"/>
  <Override PartName="/docProps/app.xml" ContentType="application/vnd.openxmlformats-officedocument.extended-properties+xml"/>
  <Override PartName="/xl/richData/rdrichvaluestructure.xml" ContentType="application/vnd.ms-excel.rdrichvaluestructure+xml"/>
  <Override PartName="/xl/richData/rdrichvalue.xml" ContentType="application/vnd.ms-excel.rdrichvalue+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959" documentId="8_{D68AB50C-7F62-4BFF-8E6A-3FF3DD0FB501}" xr6:coauthVersionLast="47" xr6:coauthVersionMax="47" xr10:uidLastSave="{43DD0066-EE32-4197-B6D4-D50DE197A483}"/>
  <bookViews>
    <workbookView xWindow="28680" yWindow="-120" windowWidth="38640" windowHeight="21120" tabRatio="818" xr2:uid="{00000000-000D-0000-FFFF-FFFF00000000}"/>
  </bookViews>
  <sheets>
    <sheet name="Cover " sheetId="95" r:id="rId1"/>
    <sheet name="Q1 Hardy LO 1" sheetId="59" r:id="rId2"/>
    <sheet name="A1 Hardy LO 1" sheetId="60" r:id="rId3"/>
    <sheet name="Q2 Hardy LO 1" sheetId="57" r:id="rId4"/>
    <sheet name="A2 Hardy LO 1" sheetId="58" r:id="rId5"/>
    <sheet name="Q Friedland 34 LO 6" sheetId="25" r:id="rId6"/>
    <sheet name="A Friedland 34 LO 6" sheetId="26" r:id="rId7"/>
    <sheet name="Q Clark LO 7" sheetId="22" r:id="rId8"/>
    <sheet name="A Clark LO 7" sheetId="23" r:id="rId9"/>
    <sheet name="Q Mango LO 8d" sheetId="31" r:id="rId10"/>
    <sheet name="A Mango LO 8d" sheetId="32" r:id="rId11"/>
  </sheets>
  <externalReferences>
    <externalReference r:id="rId12"/>
    <externalReference r:id="rId13"/>
  </externalReferences>
  <definedNames>
    <definedName name="Allocations">#REF!</definedName>
    <definedName name="Non_Fac">'[1]User Input'!$C$74</definedName>
    <definedName name="To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60" l="1"/>
  <c r="D21" i="60"/>
  <c r="E21" i="60"/>
  <c r="D31" i="60" s="1"/>
  <c r="F21" i="60"/>
  <c r="E31" i="60" s="1"/>
  <c r="G21" i="60"/>
  <c r="C22" i="60"/>
  <c r="D22" i="60"/>
  <c r="E22" i="60"/>
  <c r="D32" i="60" s="1"/>
  <c r="F22" i="60"/>
  <c r="C23" i="60"/>
  <c r="B33" i="60" s="1"/>
  <c r="D23" i="60"/>
  <c r="C33" i="60" s="1"/>
  <c r="E23" i="60"/>
  <c r="D33" i="60" s="1"/>
  <c r="C24" i="60"/>
  <c r="B34" i="60" s="1"/>
  <c r="D24" i="60"/>
  <c r="C34" i="60" s="1"/>
  <c r="C25" i="60"/>
  <c r="B35" i="60" s="1"/>
  <c r="B31" i="60"/>
  <c r="C31" i="60"/>
  <c r="B32" i="60"/>
  <c r="C32" i="60"/>
  <c r="G48" i="60"/>
  <c r="F29" i="58"/>
  <c r="F33" i="58" s="1"/>
  <c r="G29" i="58"/>
  <c r="G33" i="58" s="1"/>
  <c r="D36" i="60" l="1"/>
  <c r="E32" i="60"/>
  <c r="E36" i="60" s="1"/>
  <c r="C36" i="60"/>
  <c r="B36" i="60"/>
  <c r="F31" i="60"/>
  <c r="F36" i="60" s="1"/>
  <c r="F37" i="60" s="1"/>
  <c r="E37" i="60"/>
  <c r="C37" i="60"/>
  <c r="C42" i="60" s="1"/>
  <c r="B37" i="60"/>
  <c r="C52" i="60" s="1"/>
  <c r="D52" i="60" s="1"/>
  <c r="D37" i="60"/>
  <c r="E50" i="60" s="1"/>
  <c r="F50" i="60" s="1"/>
  <c r="G50" i="60" s="1"/>
  <c r="F49" i="60"/>
  <c r="G49" i="60" s="1"/>
  <c r="E42" i="60"/>
  <c r="H29" i="58"/>
  <c r="D42" i="60" l="1"/>
  <c r="E52" i="60"/>
  <c r="F52" i="60" s="1"/>
  <c r="G52" i="60" s="1"/>
  <c r="D51" i="60"/>
  <c r="E51" i="60" s="1"/>
  <c r="F51" i="60" s="1"/>
  <c r="G51" i="60" s="1"/>
  <c r="B42" i="60"/>
  <c r="F42" i="60"/>
  <c r="C57" i="60" l="1"/>
  <c r="B62" i="60"/>
  <c r="B57" i="60"/>
  <c r="C62" i="60"/>
  <c r="C17" i="32" l="1"/>
  <c r="C18" i="32" s="1"/>
  <c r="B23" i="32"/>
  <c r="C23" i="32"/>
  <c r="E23" i="32"/>
  <c r="B36" i="32"/>
  <c r="C36" i="32"/>
  <c r="E36" i="32"/>
  <c r="B38" i="32"/>
  <c r="C38" i="32"/>
  <c r="E38" i="32"/>
  <c r="C44" i="26"/>
  <c r="I31" i="26"/>
  <c r="C37" i="26" s="1"/>
  <c r="F30" i="26"/>
  <c r="I20" i="26"/>
  <c r="C26" i="26" s="1"/>
  <c r="I18" i="26"/>
  <c r="H40" i="26" s="1"/>
  <c r="G15" i="26"/>
  <c r="H15" i="25"/>
  <c r="E39" i="32" l="1"/>
  <c r="C39" i="32"/>
  <c r="B39" i="32"/>
  <c r="D39" i="32" s="1"/>
  <c r="I19" i="26"/>
  <c r="C23" i="26" s="1"/>
  <c r="D23" i="32"/>
  <c r="D36" i="32"/>
  <c r="B25" i="32"/>
  <c r="B27" i="32" s="1"/>
  <c r="E25" i="32"/>
  <c r="E27" i="32" s="1"/>
  <c r="C25" i="32"/>
  <c r="C27" i="32" s="1"/>
  <c r="E23" i="26"/>
  <c r="G23" i="26" s="1"/>
  <c r="E26" i="26" s="1"/>
  <c r="G26" i="26" s="1"/>
  <c r="H30" i="26"/>
  <c r="J30" i="26" s="1"/>
  <c r="C34" i="26" s="1"/>
  <c r="E34" i="26"/>
  <c r="B71" i="23"/>
  <c r="B70" i="23"/>
  <c r="B65" i="23"/>
  <c r="F56" i="23"/>
  <c r="B67" i="23" s="1"/>
  <c r="C68" i="23" s="1"/>
  <c r="F55" i="23"/>
  <c r="B69" i="23" s="1"/>
  <c r="F54" i="23"/>
  <c r="B66" i="23" s="1"/>
  <c r="D47" i="23"/>
  <c r="D44" i="23"/>
  <c r="F36" i="23"/>
  <c r="C35" i="23"/>
  <c r="C31" i="23"/>
  <c r="B27" i="23"/>
  <c r="B26" i="23"/>
  <c r="B25" i="23"/>
  <c r="B24" i="23"/>
  <c r="B23" i="23"/>
  <c r="E8" i="23"/>
  <c r="D45" i="23" s="1"/>
  <c r="D6" i="23"/>
  <c r="F21" i="23" s="1"/>
  <c r="I27" i="22"/>
  <c r="F26" i="22"/>
  <c r="F25" i="22"/>
  <c r="F8" i="22"/>
  <c r="D6" i="22"/>
  <c r="D27" i="32" l="1"/>
  <c r="G34" i="26"/>
  <c r="E37" i="26" s="1"/>
  <c r="G37" i="26" s="1"/>
  <c r="C27" i="23"/>
  <c r="C23" i="23"/>
  <c r="C24" i="23"/>
  <c r="C25" i="23"/>
  <c r="B78" i="23"/>
  <c r="C26" i="23"/>
  <c r="C28" i="23" l="1"/>
  <c r="C32" i="23" s="1"/>
  <c r="C33" i="23" s="1"/>
  <c r="E37" i="23" s="1"/>
  <c r="D46" i="23" s="1"/>
  <c r="D49" i="23" s="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<sst xmlns="http://schemas.openxmlformats.org/spreadsheetml/2006/main" count="381" uniqueCount="201">
  <si>
    <t>N/A</t>
  </si>
  <si>
    <t>Source:</t>
  </si>
  <si>
    <t>Basics of Reinsurance Pricing, Clark, Actuarial Study Note, 2014.</t>
  </si>
  <si>
    <t>An Application of Game Theory: Property Catastrophe Risk Load, Mango, 1998.</t>
  </si>
  <si>
    <t xml:space="preserve">In the year 2026, an insurer purchases a </t>
  </si>
  <si>
    <t xml:space="preserve"> quota-share reinsurance  treaty applicable to ground-up losses and a catastrophe cover for </t>
  </si>
  <si>
    <t>in excess of</t>
  </si>
  <si>
    <t>The quota-share treaty inures to the benefit of the catastrophe cover.</t>
  </si>
  <si>
    <t xml:space="preserve">The catasrophe cover has a reinstatement provision which is </t>
  </si>
  <si>
    <t>pro-rata as to amount.</t>
  </si>
  <si>
    <t>The annual premium for the catastrophe cover is</t>
  </si>
  <si>
    <t>During the year 2026, the following covered losses occurred from a single catastrophic event. The losses are expressed as ground-up amounts.</t>
  </si>
  <si>
    <t>Loss A</t>
  </si>
  <si>
    <t>Loss B</t>
  </si>
  <si>
    <t>Loss C</t>
  </si>
  <si>
    <t>Loss D</t>
  </si>
  <si>
    <t>Loss E</t>
  </si>
  <si>
    <t>A profit commission of</t>
  </si>
  <si>
    <t>This commission applies after a margin on the annual premium of</t>
  </si>
  <si>
    <t xml:space="preserve">An additional premium also applies at a percentage of </t>
  </si>
  <si>
    <t>applied to the sum of (Loss + Margin - Annual Premium)</t>
  </si>
  <si>
    <t xml:space="preserve">The expected loss amount for the catastrophe cover is </t>
  </si>
  <si>
    <t xml:space="preserve">If a loss is known to occur within the catastrophe layer, the expected loss amount is </t>
  </si>
  <si>
    <t xml:space="preserve">Since the quota-share treaty inures to the benefit of the catastrophe treaty, it will pay </t>
  </si>
  <si>
    <t>of each loss first.</t>
  </si>
  <si>
    <t>Times Quota-Share %</t>
  </si>
  <si>
    <t>Total from Quota-Share</t>
  </si>
  <si>
    <t xml:space="preserve">This leaves the insurer with a post-quota-share total loss of </t>
  </si>
  <si>
    <t>Original Total:</t>
  </si>
  <si>
    <t>Less Quota-Share Loss:</t>
  </si>
  <si>
    <t>Remaining Loss:</t>
  </si>
  <si>
    <t xml:space="preserve">Of this remaining loss, the first </t>
  </si>
  <si>
    <t>is retained by the insurer.</t>
  </si>
  <si>
    <t xml:space="preserve">The catastrophe cover will pay the remainder of the loss within its layer, up to </t>
  </si>
  <si>
    <t>Here, the remaining loss in the catastrophe-cover  layer is</t>
  </si>
  <si>
    <t>We use the following formula:</t>
  </si>
  <si>
    <t>Reinstatement premium = annual premium × pro-rata provision × recoverable from catastrophe treaty / catastrophe-cover layer</t>
  </si>
  <si>
    <t>Here, the annual premium is</t>
  </si>
  <si>
    <t>The pro-rata provision is</t>
  </si>
  <si>
    <t xml:space="preserve">The catastrophe-treaty recoverable is </t>
  </si>
  <si>
    <t>The catastrophe-cover layer is</t>
  </si>
  <si>
    <t>Thus, the reinstatement premium is</t>
  </si>
  <si>
    <t>Let P be the annual premium, C be the profit commission, L be the loss, M be the margin, and A be the additional premium percentage.</t>
  </si>
  <si>
    <t>The general formula to solve for A would be:</t>
  </si>
  <si>
    <t>We are given the following:</t>
  </si>
  <si>
    <t>C =</t>
  </si>
  <si>
    <t>M =</t>
  </si>
  <si>
    <t xml:space="preserve">Pr(L=0) = </t>
  </si>
  <si>
    <t xml:space="preserve">Pr(L&gt;0) = </t>
  </si>
  <si>
    <t xml:space="preserve">1 - Pr(L=0) = </t>
  </si>
  <si>
    <t xml:space="preserve">A = </t>
  </si>
  <si>
    <t xml:space="preserve">E(L) = </t>
  </si>
  <si>
    <t>We rearrange the above formula to solve for P:</t>
  </si>
  <si>
    <t xml:space="preserve">Thus, P = </t>
  </si>
  <si>
    <t>P - C*(1-M)*Pr(L=0) + A*[E(L ç L &gt; 0) + M*P - P]*Pr(L&gt;0)] = E(L) + M*P</t>
  </si>
  <si>
    <t xml:space="preserve">E(L ç L &gt; 0) = </t>
  </si>
  <si>
    <t>P - M*P + A*(Pr(L&gt;0))[M*P - P] = E(L) + C*(1-M)*Pr(L=0) - A*[E(L ç L &gt; 0)*Pr(L&gt;0)</t>
  </si>
  <si>
    <t>P - M*P + A*(Pr(L&gt;0))(M-1)*P = E(L) + C*(1-M)*Pr(L=0) - A*[E(L ç L &gt; 0)*Pr(L&gt;0)</t>
  </si>
  <si>
    <t>P*[1-M+A*(Pr(L&gt;0))(M-1)] = E(L) + C*(1-M)*Pr(L=0) - A*[E(L ç L &gt; 0)*Pr(L&gt;0)</t>
  </si>
  <si>
    <t>P = [E(L) + C*(1-M)*Pr(L=0) - A*[E(L ç L &gt; 0)*Pr(L&gt;0)]/[1-M+A*(Pr(L&gt;0))(M-1)]</t>
  </si>
  <si>
    <t>Assume that the value of a property being insured at the time of loss  is</t>
  </si>
  <si>
    <t>.</t>
  </si>
  <si>
    <t>The applicable insurance policy has a required coinsurance percentage of</t>
  </si>
  <si>
    <t>A deductible applies to this property insurance policy in the amount of</t>
  </si>
  <si>
    <t xml:space="preserve">A loss occurs in the amount of </t>
  </si>
  <si>
    <t>in each of the following scenarios:</t>
  </si>
  <si>
    <t>The amount of coverage needed to fulfill the required coinsurance</t>
  </si>
  <si>
    <t>percentage and avoid a penalty is (Value of Property)*(Required Coinsurance %) =</t>
  </si>
  <si>
    <t>The ratio of the limit selected by the insured to this required percentage is</t>
  </si>
  <si>
    <t>To calculate the amount that the insurer will pay, we multiple the coinsurance apportionment ratio by the amount of loss after the deductible:</t>
  </si>
  <si>
    <t>(i) Insurer Pays:</t>
  </si>
  <si>
    <t>*</t>
  </si>
  <si>
    <t>=</t>
  </si>
  <si>
    <t>(ii) Coinsurance Penalty:</t>
  </si>
  <si>
    <t>-</t>
  </si>
  <si>
    <t xml:space="preserve">In this case, the coinsurance apportionment ratio is </t>
  </si>
  <si>
    <t>/</t>
  </si>
  <si>
    <t>The value of the property, multiplied by the required coinsurance percentage, is</t>
  </si>
  <si>
    <t>In this case, we note that the limit of coverage exceeds the value of the property, multiplied by the required coinsurance percentage.</t>
  </si>
  <si>
    <t>Fundamentals of General Insurance Actuarial Analysis, Friedland, 2nd Ed., Chapter 34</t>
  </si>
  <si>
    <t>The risk-load multiplier λ for the Marginal Surplus Method is</t>
  </si>
  <si>
    <t>Variance of Losses</t>
  </si>
  <si>
    <t>X + Y</t>
  </si>
  <si>
    <t>Y</t>
  </si>
  <si>
    <t>X</t>
  </si>
  <si>
    <t>Account</t>
  </si>
  <si>
    <t>You are given the following information for Accounts X and Y, which are being combined into a portfolio (X+Y).</t>
  </si>
  <si>
    <t>Problem PCRL-1.</t>
  </si>
  <si>
    <t>(X + Y)</t>
  </si>
  <si>
    <t>Portfolio</t>
  </si>
  <si>
    <t>Account X + Account Y</t>
  </si>
  <si>
    <t>Account Y</t>
  </si>
  <si>
    <t>Account X</t>
  </si>
  <si>
    <t>Renewal Scenario: Each Account Renewed: Marginal Surplus (MS) Method</t>
  </si>
  <si>
    <t xml:space="preserve">For the Marginal Surplus (MS) method, we use the originally provided risk-load multiplier of 0.48. </t>
  </si>
  <si>
    <t>Renewal Scenario: Each Account Renewed: Marginal Variance (MV) Method</t>
  </si>
  <si>
    <t xml:space="preserve">Thus, (MV risk-load multiplier) = </t>
  </si>
  <si>
    <t xml:space="preserve">SD(X+Y) = √(Var(X+Y)) = </t>
  </si>
  <si>
    <t>(MV risk-load multiplier) = (MS risk-load multiplier)/SD(X + Y)</t>
  </si>
  <si>
    <t>First, we need to calculate the risk-load multiplier for the Marginal Variance (MV) method.</t>
  </si>
  <si>
    <t>Q</t>
  </si>
  <si>
    <t>Table 2: Fitted ODP model</t>
  </si>
  <si>
    <t>AY6</t>
  </si>
  <si>
    <t>AY5</t>
  </si>
  <si>
    <t>AY4</t>
  </si>
  <si>
    <t>AY3</t>
  </si>
  <si>
    <t>AY2</t>
  </si>
  <si>
    <t>AY1</t>
  </si>
  <si>
    <t>DY6</t>
  </si>
  <si>
    <t>DY5</t>
  </si>
  <si>
    <t>DY4</t>
  </si>
  <si>
    <t>DY3</t>
  </si>
  <si>
    <t>DY2</t>
  </si>
  <si>
    <t>DY1</t>
  </si>
  <si>
    <t>Cumulative claim payments as of the end of year</t>
  </si>
  <si>
    <t>Table 1: Development triangle</t>
  </si>
  <si>
    <t xml:space="preserve">As an actuary working in the loss reserving department of an insurance company, you are given one development triangle (Table 1) from your manager. You assume that there will be no more developments for the cumulative claim payment beyond DY6. Your team decide to fit an overdispersed Poisson (ODP) model to the development triangle, for which the fitted model is shown in Table 2. (a) Estimate the unpaid claims for AY3; (b) Estimate the standard deviations of the incremental claim payments for AY3 during DY5 and DY6 using ODP model. </t>
  </si>
  <si>
    <t>Question on overdispersed Poisson model</t>
  </si>
  <si>
    <t>Estimated SD (for part (b))</t>
  </si>
  <si>
    <t>Total unpaid</t>
  </si>
  <si>
    <t>Estimated incremental claim payments (for part (a))</t>
  </si>
  <si>
    <t>phi</t>
  </si>
  <si>
    <t>b6</t>
  </si>
  <si>
    <t>b5</t>
  </si>
  <si>
    <t>b4</t>
  </si>
  <si>
    <t>b3</t>
  </si>
  <si>
    <t>b2</t>
  </si>
  <si>
    <t>a6</t>
  </si>
  <si>
    <t>a5</t>
  </si>
  <si>
    <t>a4</t>
  </si>
  <si>
    <t>a3</t>
  </si>
  <si>
    <t>a2</t>
  </si>
  <si>
    <t>c</t>
  </si>
  <si>
    <t>SD</t>
  </si>
  <si>
    <t>Estimate</t>
  </si>
  <si>
    <t>Parameter</t>
  </si>
  <si>
    <t>Useful parameters</t>
  </si>
  <si>
    <t>(a) Recall that the mean and variance for the incremental claim payment of the AYi and DYj under the ODP model are respectively E[Xij]=exp(c+ai+bj) and V[Xij]=phi*exp(c+ai+bj), where phi is the dispersion parameter. The estimated ultimate cumulative claim payment is calculated as follows. (b) When calculating the SDs of the incremental claim payments, use the delta method (to consider the SDs of the estimated parameters).</t>
  </si>
  <si>
    <t>Outstanding Claim Reserves, Version 1.3a, SOA, 2022</t>
  </si>
  <si>
    <t>Incremental claim payments as of the end of year</t>
  </si>
  <si>
    <t xml:space="preserve">Your actuarial team is presented a loss development triangle as shown in Table 1. You estimate the age-to-age (ATA) development factor using the mean, while your another team member estimates the ATA development factor using the simple average. Compare the estimated process variances for AY3 and AY5 under the different estimated ATA factors. </t>
  </si>
  <si>
    <t>Question on Mack model</t>
  </si>
  <si>
    <t>Variance</t>
  </si>
  <si>
    <t>AY</t>
  </si>
  <si>
    <t>Table 7a: Process variance (based on Simple average)</t>
  </si>
  <si>
    <t>Table 6a: Process variance (based on Mean)</t>
  </si>
  <si>
    <t>Table 5a: Projected development triangle</t>
  </si>
  <si>
    <t>sigma</t>
  </si>
  <si>
    <t>DY</t>
  </si>
  <si>
    <t>Table 4a: Estimated sigma (based on Mean)</t>
  </si>
  <si>
    <t>Mean</t>
  </si>
  <si>
    <t>Simple</t>
  </si>
  <si>
    <t>5-6</t>
  </si>
  <si>
    <t>4-5</t>
  </si>
  <si>
    <t>3-4</t>
  </si>
  <si>
    <t>2-3</t>
  </si>
  <si>
    <t>1-2</t>
  </si>
  <si>
    <t>Age-to-age development factors</t>
  </si>
  <si>
    <t>Table 3: Development factors</t>
  </si>
  <si>
    <t>Table 2: Development triangle</t>
  </si>
  <si>
    <t>Refer to Section 4.2.1 of the study note for the formula of process variance.</t>
  </si>
  <si>
    <t>Answer: for AY3, using mean-based ATA factors give slightly larger process variance, while for AY5, using mean-based ATA factors give slightly smaller process variance.</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</si>
  <si>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</si>
  <si>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</si>
  <si>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</si>
  <si>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</si>
  <si>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</si>
  <si>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</si>
  <si>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These guided examples have been developed by an actuarial subject matter expert (see tabs for details)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</si>
  <si>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t>education@soa.org</t>
  </si>
  <si>
    <t>Version 2025-1</t>
  </si>
  <si>
    <t>Updated: July 8, 2025</t>
  </si>
  <si>
    <t xml:space="preserve">Copyright © Society of Actuaries </t>
  </si>
  <si>
    <t>GI 301 - Further Topics in General Insurance</t>
  </si>
  <si>
    <r>
      <t xml:space="preserve">(a) </t>
    </r>
    <r>
      <rPr>
        <sz val="11"/>
        <color theme="1"/>
        <rFont val="Aptos"/>
        <family val="2"/>
      </rPr>
      <t xml:space="preserve">Calculate the renewal risk loads for accounts X and Y, the sums of the two accounts, and the combined portfolio (X+Y) using the Marginal Variance Method. </t>
    </r>
  </si>
  <si>
    <r>
      <t xml:space="preserve">(1) </t>
    </r>
    <r>
      <rPr>
        <sz val="11"/>
        <color theme="1"/>
        <rFont val="Aptos"/>
        <family val="2"/>
      </rPr>
      <t>Change in Variance</t>
    </r>
  </si>
  <si>
    <r>
      <t xml:space="preserve">(2) </t>
    </r>
    <r>
      <rPr>
        <sz val="11"/>
        <color theme="1"/>
        <rFont val="Aptos"/>
        <family val="2"/>
      </rPr>
      <t>Risk-Load Multiplier</t>
    </r>
  </si>
  <si>
    <r>
      <t xml:space="preserve">(3) </t>
    </r>
    <r>
      <rPr>
        <sz val="11"/>
        <color theme="1"/>
        <rFont val="Aptos"/>
        <family val="2"/>
      </rPr>
      <t>Risk Load = (1)*(2)</t>
    </r>
  </si>
  <si>
    <r>
      <rPr>
        <b/>
        <sz val="11"/>
        <color theme="1"/>
        <rFont val="Aptos"/>
        <family val="2"/>
      </rPr>
      <t>(b)</t>
    </r>
    <r>
      <rPr>
        <sz val="11"/>
        <color theme="1"/>
        <rFont val="Aptos"/>
        <family val="2"/>
      </rPr>
      <t xml:space="preserve"> Calculate the renewal risk loads for accounts X and Y, the sums of the two accounts, and the combined portfolio (X+Y) using the Marginal Surplus Method. </t>
    </r>
  </si>
  <si>
    <r>
      <t xml:space="preserve">(4) </t>
    </r>
    <r>
      <rPr>
        <sz val="11"/>
        <color theme="1"/>
        <rFont val="Aptos"/>
        <family val="2"/>
      </rPr>
      <t xml:space="preserve">Change in SD </t>
    </r>
  </si>
  <si>
    <r>
      <t xml:space="preserve">(5) </t>
    </r>
    <r>
      <rPr>
        <sz val="11"/>
        <color theme="1"/>
        <rFont val="Aptos"/>
        <family val="2"/>
      </rPr>
      <t>Risk-Load Multiplier</t>
    </r>
  </si>
  <si>
    <r>
      <t xml:space="preserve">(6) </t>
    </r>
    <r>
      <rPr>
        <sz val="11"/>
        <color theme="1"/>
        <rFont val="Aptos"/>
        <family val="2"/>
      </rPr>
      <t>Risk Load = (4)*(5)</t>
    </r>
  </si>
  <si>
    <r>
      <rPr>
        <b/>
        <sz val="11"/>
        <color theme="1"/>
        <rFont val="Aptos"/>
        <family val="2"/>
      </rPr>
      <t xml:space="preserve">(c) </t>
    </r>
    <r>
      <rPr>
        <sz val="11"/>
        <color theme="1"/>
        <rFont val="Aptos"/>
        <family val="2"/>
      </rPr>
      <t>Evaluate whether or not the Marginal Variance and Marginal Surplus Methods are renewal-additive for this situation.</t>
    </r>
  </si>
  <si>
    <r>
      <t xml:space="preserve">The risk loads are </t>
    </r>
    <r>
      <rPr>
        <b/>
        <sz val="11"/>
        <color theme="1"/>
        <rFont val="Aptos"/>
        <family val="2"/>
      </rPr>
      <t>not renewal-additive</t>
    </r>
    <r>
      <rPr>
        <sz val="11"/>
        <color theme="1"/>
        <rFont val="Aptos"/>
        <family val="2"/>
      </rPr>
      <t xml:space="preserve"> for either method.</t>
    </r>
  </si>
  <si>
    <r>
      <t xml:space="preserve">For the Marginal Variance method, we see that the sum of the account-specific renewal risk loads, 5,386.67, is greater than the portfolio risk load, 4,320. Thus, the Marginal Variance method is </t>
    </r>
    <r>
      <rPr>
        <b/>
        <sz val="11"/>
        <color theme="1"/>
        <rFont val="Aptos"/>
        <family val="2"/>
      </rPr>
      <t>superadditive</t>
    </r>
    <r>
      <rPr>
        <sz val="11"/>
        <color theme="1"/>
        <rFont val="Aptos"/>
        <family val="2"/>
      </rPr>
      <t>.</t>
    </r>
  </si>
  <si>
    <r>
      <t xml:space="preserve">For the Marginal Surplus method, we see that the sum of the account-specific renewal risk loads, 3,360, is less than the portfolio risk load, 4,320. Thus, the Marginal Surplus method is </t>
    </r>
    <r>
      <rPr>
        <b/>
        <sz val="11"/>
        <color theme="1"/>
        <rFont val="Aptos"/>
        <family val="2"/>
      </rPr>
      <t>subadditive</t>
    </r>
    <r>
      <rPr>
        <sz val="11"/>
        <color theme="1"/>
        <rFont val="Aptos"/>
        <family val="2"/>
      </rPr>
      <t>.</t>
    </r>
  </si>
  <si>
    <r>
      <t xml:space="preserve">(a) </t>
    </r>
    <r>
      <rPr>
        <sz val="11"/>
        <color theme="1"/>
        <rFont val="Aptos"/>
        <family val="2"/>
      </rPr>
      <t>Calculate how much each reinsurance treaty will pay for the losses that occurred in 2026.</t>
    </r>
  </si>
  <si>
    <r>
      <t xml:space="preserve">(b) </t>
    </r>
    <r>
      <rPr>
        <sz val="11"/>
        <color theme="1"/>
        <rFont val="Aptos"/>
        <family val="2"/>
      </rPr>
      <t>Calculate the reinstatement premium for the catastrophe cover, subsequent to the losses during the year 2026.</t>
    </r>
  </si>
  <si>
    <r>
      <rPr>
        <b/>
        <sz val="11"/>
        <color theme="1"/>
        <rFont val="Aptos"/>
        <family val="2"/>
      </rPr>
      <t>(c)</t>
    </r>
    <r>
      <rPr>
        <sz val="11"/>
        <color theme="1"/>
        <rFont val="Aptos"/>
        <family val="2"/>
      </rPr>
      <t xml:space="preserve"> Calculate the annual premium for a modified catastrophe cover on a finite-risk basis, which introduces the following elements:</t>
    </r>
  </si>
  <si>
    <r>
      <t xml:space="preserve">The annual probability of </t>
    </r>
    <r>
      <rPr>
        <i/>
        <sz val="11"/>
        <color theme="1"/>
        <rFont val="Aptos"/>
        <family val="2"/>
      </rPr>
      <t>no</t>
    </r>
    <r>
      <rPr>
        <sz val="11"/>
        <color theme="1"/>
        <rFont val="Aptos"/>
        <family val="2"/>
      </rPr>
      <t xml:space="preserve"> losses occurring in the catastrophe treaty layer is estimated at</t>
    </r>
  </si>
  <si>
    <r>
      <t xml:space="preserve">Calculate </t>
    </r>
    <r>
      <rPr>
        <b/>
        <sz val="11"/>
        <color theme="1"/>
        <rFont val="Aptos"/>
        <family val="2"/>
      </rPr>
      <t xml:space="preserve">(i) </t>
    </r>
    <r>
      <rPr>
        <sz val="11"/>
        <color theme="1"/>
        <rFont val="Aptos"/>
        <family val="2"/>
      </rPr>
      <t xml:space="preserve">the amount of loss paid by the insurer, as well as </t>
    </r>
    <r>
      <rPr>
        <b/>
        <sz val="11"/>
        <color theme="1"/>
        <rFont val="Aptos"/>
        <family val="2"/>
      </rPr>
      <t>(ii)</t>
    </r>
    <r>
      <rPr>
        <sz val="11"/>
        <color theme="1"/>
        <rFont val="Aptos"/>
        <family val="2"/>
      </rPr>
      <t xml:space="preserve"> the  coinsurance penalty that would apply,</t>
    </r>
  </si>
  <si>
    <r>
      <t xml:space="preserve">(a) Scenario 1: </t>
    </r>
    <r>
      <rPr>
        <sz val="11"/>
        <color theme="1"/>
        <rFont val="Aptos"/>
        <family val="2"/>
      </rPr>
      <t xml:space="preserve">The insured has purchased coverage with a limit of </t>
    </r>
  </si>
  <si>
    <r>
      <t xml:space="preserve">Ü This is called the </t>
    </r>
    <r>
      <rPr>
        <i/>
        <sz val="11"/>
        <color theme="1"/>
        <rFont val="Aptos"/>
        <family val="2"/>
      </rPr>
      <t>coinsurance apportionment ratio</t>
    </r>
    <r>
      <rPr>
        <sz val="11"/>
        <color theme="1"/>
        <rFont val="Aptos"/>
        <family val="2"/>
      </rPr>
      <t>.</t>
    </r>
  </si>
  <si>
    <r>
      <t xml:space="preserve">The amount of loss, </t>
    </r>
    <r>
      <rPr>
        <i/>
        <sz val="11"/>
        <color theme="1"/>
        <rFont val="Aptos"/>
        <family val="2"/>
      </rPr>
      <t xml:space="preserve">after </t>
    </r>
    <r>
      <rPr>
        <sz val="11"/>
        <color theme="1"/>
        <rFont val="Aptos"/>
        <family val="2"/>
      </rPr>
      <t>application of the deductible, is</t>
    </r>
  </si>
  <si>
    <r>
      <t xml:space="preserve">The coinsurance penalty is the difference between the amount of loss </t>
    </r>
    <r>
      <rPr>
        <i/>
        <sz val="11"/>
        <color theme="1"/>
        <rFont val="Aptos"/>
        <family val="2"/>
      </rPr>
      <t xml:space="preserve">after </t>
    </r>
    <r>
      <rPr>
        <sz val="11"/>
        <color theme="1"/>
        <rFont val="Aptos"/>
        <family val="2"/>
      </rPr>
      <t>the deductible and the amount paid by the insurer:</t>
    </r>
  </si>
  <si>
    <r>
      <t xml:space="preserve">(b) Scenario 2: </t>
    </r>
    <r>
      <rPr>
        <sz val="11"/>
        <color theme="1"/>
        <rFont val="Aptos"/>
        <family val="2"/>
      </rPr>
      <t xml:space="preserve">The insured has purchased coverage with a limit of </t>
    </r>
  </si>
  <si>
    <r>
      <t xml:space="preserve">(c) Scenario 3: </t>
    </r>
    <r>
      <rPr>
        <sz val="11"/>
        <color theme="1"/>
        <rFont val="Aptos"/>
        <family val="2"/>
      </rPr>
      <t>The insured has purchased coverage with a limit of</t>
    </r>
  </si>
  <si>
    <r>
      <t xml:space="preserve">Thus, </t>
    </r>
    <r>
      <rPr>
        <b/>
        <sz val="11"/>
        <color theme="1"/>
        <rFont val="Aptos"/>
        <family val="2"/>
      </rPr>
      <t>a coinsurance penalty will not apply</t>
    </r>
    <r>
      <rPr>
        <sz val="11"/>
        <color theme="1"/>
        <rFont val="Aptos"/>
        <family val="2"/>
      </rPr>
      <t>, and the insurer will pay the full loss after subtracting the deductible.</t>
    </r>
  </si>
  <si>
    <r>
      <t xml:space="preserve">Therefore, </t>
    </r>
    <r>
      <rPr>
        <b/>
        <sz val="11"/>
        <color theme="1"/>
        <rFont val="Aptos"/>
        <family val="2"/>
      </rPr>
      <t>(i) Insurer Pays:</t>
    </r>
  </si>
  <si>
    <r>
      <t xml:space="preserve">This guided example has been developed by </t>
    </r>
    <r>
      <rPr>
        <b/>
        <sz val="11"/>
        <color theme="1"/>
        <rFont val="Aptos"/>
        <family val="2"/>
      </rPr>
      <t>Gennady Stolyarov II (FSA, ACAS, MAAA, CPCU, Are, ARC, API, AIS, AIE, AIAF), ACTEX Learning</t>
    </r>
    <r>
      <rPr>
        <sz val="11"/>
        <color theme="1"/>
        <rFont val="Aptos"/>
        <family val="2"/>
      </rPr>
      <t xml:space="preserve"> with review and edits as appropriate by course curriculum volunteers and SOA staff.</t>
    </r>
  </si>
  <si>
    <r>
      <t xml:space="preserve">This guided example has been developed by </t>
    </r>
    <r>
      <rPr>
        <b/>
        <sz val="11"/>
        <color theme="1"/>
        <rFont val="Aptos"/>
        <family val="2"/>
      </rPr>
      <t>Wenjun Jiang (PhD), ACTEX Learning</t>
    </r>
    <r>
      <rPr>
        <sz val="11"/>
        <color theme="1"/>
        <rFont val="Aptos"/>
        <family val="2"/>
      </rPr>
      <t xml:space="preserve"> with review and edits as appropriate by course curriculum volunteers and SOA staff.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</si>
</sst>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3" formatCode="_(* #,##0.00_);_(* \(#,##0.00\);_(* &quot;-&quot;??_);_(@_)"/>
    <numFmt numFmtId="164" formatCode="0.000"/>
    <numFmt numFmtId="166" formatCode="&quot;$&quot;#,##0"/>
    <numFmt numFmtId="167" formatCode="&quot;$&quot;#,##0.00"/>
    <numFmt numFmtId="175" formatCode="_-* #,##0.00_-;\-* #,##0.00_-;_-* &quot;-&quot;??_-;_-@_-"/>
    <numFmt numFmtId="178" formatCode="_-&quot;$&quot;* #,##0.00_-;\-&quot;$&quot;* #,##0.00_-;_-&quot;$&quot;* &quot;-&quot;??_-;_-@_-"/>
  </numFmts>
  <fonts count="21">
    <font>
      <sz val="11"/>
      <color theme="1"/>
      <name val="Calibri"/>
      <family val="2"/>
      <scheme val="minor"/>
    </font>
    <font>
      <sz val="11"/>
      <color theme="1"/>
      <name val="Calibri"/>
      <family val="2"/>
      <scheme val="minor"/>
    </font>
    <font>
      <sz val="11"/>
      <color rgb="FF000000"/>
      <name val="Calibri"/>
      <family val="2"/>
    </font>
    <font>
      <sz val="11"/>
      <color theme="1"/>
      <name val="Calibri"/>
      <family val="2"/>
      <charset val="134"/>
      <scheme val="minor"/>
    </font>
    <font>
      <sz val="11"/>
      <name val="Calibri"/>
      <family val="2"/>
    </font>
    <font>
      <u/>
      <sz val="11"/>
      <color theme="10"/>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Aptos Narrow"/>
      <family val="2"/>
    </font>
    <font>
      <sz val="11"/>
      <color theme="1"/>
      <name val="Aptos Narrow"/>
      <family val="2"/>
    </font>
    <font>
      <sz val="10"/>
      <color theme="1"/>
      <name val="Calibri"/>
      <family val="2"/>
      <scheme val="minor"/>
    </font>
    <font>
      <sz val="11"/>
      <color rgb="FF000000"/>
      <name val="Aptos"/>
      <family val="2"/>
    </font>
    <font>
      <u/>
      <sz val="11"/>
      <color rgb="FF000000"/>
      <name val="Aptos"/>
      <family val="2"/>
    </font>
    <font>
      <b/>
      <sz val="11"/>
      <color rgb="FF000000"/>
      <name val="Aptos"/>
      <family val="2"/>
    </font>
    <font>
      <sz val="11"/>
      <color theme="1"/>
      <name val="Aptos"/>
      <family val="2"/>
    </font>
    <font>
      <u/>
      <sz val="11"/>
      <color theme="1"/>
      <name val="Aptos"/>
      <family val="2"/>
    </font>
    <font>
      <b/>
      <sz val="11"/>
      <color theme="1"/>
      <name val="Aptos"/>
      <family val="2"/>
    </font>
    <font>
      <i/>
      <sz val="11"/>
      <color theme="1"/>
      <name val="Aptos"/>
      <family val="2"/>
    </font>
    <font>
      <sz val="11"/>
      <color rgb="FFFF0000"/>
      <name val="Aptos"/>
      <family val="2"/>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s>
  <cellStyleXfs count="10">
    <xf numFmtId="0" fontId="0" fillId="0" borderId="0"/>
    <xf numFmtId="43" fontId="1" fillId="0" borderId="0" applyFont="0" applyFill="0" applyBorder="0" applyAlignment="0" applyProtection="0"/>
    <xf numFmtId="0" fontId="2" fillId="0" borderId="0"/>
    <xf numFmtId="0" fontId="3" fillId="0" borderId="0">
      <alignment vertical="center"/>
    </xf>
    <xf numFmtId="9" fontId="3" fillId="0" borderId="0" applyFont="0" applyFill="0" applyBorder="0" applyAlignment="0" applyProtection="0">
      <alignment vertical="center"/>
    </xf>
    <xf numFmtId="0" fontId="4" fillId="0" borderId="0"/>
    <xf numFmtId="9" fontId="4" fillId="0" borderId="0" applyFont="0" applyFill="0" applyBorder="0" applyAlignment="0" applyProtection="0"/>
    <xf numFmtId="175" fontId="4" fillId="0" borderId="0" applyFont="0" applyFill="0" applyBorder="0" applyAlignment="0" applyProtection="0"/>
    <xf numFmtId="178" fontId="4" fillId="0" borderId="0" applyFont="0" applyFill="0" applyBorder="0" applyAlignment="0" applyProtection="0"/>
    <xf numFmtId="0" fontId="5" fillId="0" borderId="0" applyNumberFormat="0" applyFill="0" applyBorder="0" applyAlignment="0" applyProtection="0"/>
  </cellStyleXfs>
  <cellXfs count="130">
    <xf numFmtId="0" fontId="0" fillId="0" borderId="0" xfId="0"/>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0" fillId="0" borderId="0" xfId="0" applyAlignment="1">
      <alignment horizontal="right" vertical="top" indent="1"/>
    </xf>
    <xf numFmtId="0" fontId="9" fillId="0" borderId="0" xfId="0" applyFont="1" applyAlignment="1">
      <alignment horizontal="left" wrapText="1"/>
    </xf>
    <xf numFmtId="0" fontId="9" fillId="0" borderId="0" xfId="0" applyFont="1"/>
    <xf numFmtId="0" fontId="5" fillId="0" borderId="0" xfId="9"/>
    <xf numFmtId="0" fontId="10" fillId="0" borderId="0" xfId="9" applyFont="1"/>
    <xf numFmtId="0" fontId="11" fillId="0" borderId="0" xfId="0" applyFont="1"/>
    <xf numFmtId="0" fontId="12" fillId="0" borderId="0" xfId="0" applyFont="1" applyAlignment="1">
      <alignment horizontal="left"/>
    </xf>
    <xf numFmtId="0" fontId="12" fillId="0" borderId="0" xfId="0" applyFont="1" applyAlignment="1">
      <alignment horizontal="center"/>
    </xf>
    <xf numFmtId="0" fontId="12" fillId="0" borderId="0" xfId="0" applyFont="1" applyAlignment="1">
      <alignment horizontal="right"/>
    </xf>
    <xf numFmtId="0" fontId="13" fillId="0" borderId="0" xfId="2" applyFont="1"/>
    <xf numFmtId="0" fontId="14" fillId="0" borderId="0" xfId="2" applyFont="1"/>
    <xf numFmtId="0" fontId="15" fillId="0" borderId="0" xfId="2" applyFont="1" applyAlignment="1">
      <alignment horizontal="left"/>
    </xf>
    <xf numFmtId="0" fontId="13" fillId="4" borderId="0" xfId="2" applyFont="1" applyFill="1" applyAlignment="1">
      <alignment horizontal="left" vertical="top" wrapText="1"/>
    </xf>
    <xf numFmtId="0" fontId="15" fillId="0" borderId="0" xfId="2" applyFont="1" applyAlignment="1">
      <alignment horizontal="center"/>
    </xf>
    <xf numFmtId="0" fontId="13" fillId="2" borderId="0" xfId="2" applyFont="1" applyFill="1"/>
    <xf numFmtId="0" fontId="13" fillId="2" borderId="0" xfId="2" applyFont="1" applyFill="1" applyAlignment="1">
      <alignment horizontal="center"/>
    </xf>
    <xf numFmtId="0" fontId="13" fillId="2" borderId="0" xfId="2" applyFont="1" applyFill="1" applyAlignment="1">
      <alignment horizontal="center"/>
    </xf>
    <xf numFmtId="0" fontId="16" fillId="0" borderId="0" xfId="0" applyFont="1"/>
    <xf numFmtId="0" fontId="17" fillId="0" borderId="0" xfId="0" applyFont="1"/>
    <xf numFmtId="0" fontId="18" fillId="0" borderId="0" xfId="0" applyFont="1"/>
    <xf numFmtId="0" fontId="16" fillId="0" borderId="0" xfId="0" applyFont="1" applyAlignment="1">
      <alignment vertical="center"/>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6" fillId="0" borderId="2" xfId="0" applyFont="1" applyBorder="1" applyAlignment="1">
      <alignment horizontal="center" vertical="center" wrapText="1"/>
    </xf>
    <xf numFmtId="3" fontId="16" fillId="0" borderId="13" xfId="0" applyNumberFormat="1" applyFont="1" applyBorder="1" applyAlignment="1">
      <alignment horizontal="center" vertical="center" wrapText="1"/>
    </xf>
    <xf numFmtId="0" fontId="16" fillId="0" borderId="7" xfId="0" applyFont="1" applyBorder="1"/>
    <xf numFmtId="0" fontId="18"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vertical="center" wrapText="1"/>
    </xf>
    <xf numFmtId="0" fontId="18" fillId="0" borderId="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0" fontId="18" fillId="0" borderId="13" xfId="0" applyFont="1" applyBorder="1" applyAlignment="1">
      <alignment horizontal="center" vertical="center" wrapText="1"/>
    </xf>
    <xf numFmtId="3" fontId="16" fillId="0" borderId="4" xfId="0" applyNumberFormat="1" applyFont="1" applyBorder="1" applyAlignment="1">
      <alignment horizontal="center" vertical="center" wrapText="1"/>
    </xf>
    <xf numFmtId="3" fontId="16" fillId="0" borderId="2"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4" fontId="18" fillId="2" borderId="4" xfId="0" applyNumberFormat="1" applyFont="1" applyFill="1" applyBorder="1" applyAlignment="1">
      <alignment horizontal="center" vertical="center" wrapText="1"/>
    </xf>
    <xf numFmtId="4" fontId="18" fillId="2" borderId="2" xfId="0" applyNumberFormat="1" applyFont="1" applyFill="1" applyBorder="1" applyAlignment="1">
      <alignment horizontal="center" vertical="center" wrapText="1"/>
    </xf>
    <xf numFmtId="3" fontId="16" fillId="0" borderId="9"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0" fontId="18" fillId="0" borderId="2" xfId="0" applyFont="1" applyBorder="1" applyAlignment="1">
      <alignment vertical="center" wrapText="1"/>
    </xf>
    <xf numFmtId="0" fontId="16" fillId="0" borderId="13" xfId="0" applyFont="1" applyBorder="1" applyAlignment="1">
      <alignment horizontal="center" vertical="center" wrapText="1"/>
    </xf>
    <xf numFmtId="3" fontId="18" fillId="2" borderId="13" xfId="0" applyNumberFormat="1" applyFont="1" applyFill="1" applyBorder="1" applyAlignment="1">
      <alignment horizontal="center" vertical="center" wrapText="1"/>
    </xf>
    <xf numFmtId="0" fontId="18" fillId="0" borderId="0" xfId="0" applyFont="1" applyAlignment="1">
      <alignment vertical="center"/>
    </xf>
    <xf numFmtId="9" fontId="16" fillId="0" borderId="7" xfId="0" applyNumberFormat="1" applyFont="1" applyBorder="1"/>
    <xf numFmtId="6" fontId="16" fillId="0" borderId="7" xfId="0" applyNumberFormat="1" applyFont="1" applyBorder="1"/>
    <xf numFmtId="3" fontId="16" fillId="0" borderId="7" xfId="0" applyNumberFormat="1" applyFont="1" applyBorder="1"/>
    <xf numFmtId="9" fontId="16" fillId="0" borderId="0" xfId="0" applyNumberFormat="1" applyFont="1"/>
    <xf numFmtId="0" fontId="17" fillId="0" borderId="4" xfId="0" applyFont="1" applyBorder="1" applyAlignment="1">
      <alignment horizontal="center" wrapText="1"/>
    </xf>
    <xf numFmtId="3" fontId="16" fillId="0" borderId="0" xfId="0" applyNumberFormat="1" applyFont="1"/>
    <xf numFmtId="6" fontId="16" fillId="0" borderId="6" xfId="0" applyNumberFormat="1" applyFont="1" applyBorder="1"/>
    <xf numFmtId="6" fontId="16" fillId="0" borderId="3" xfId="0" applyNumberFormat="1" applyFont="1" applyBorder="1"/>
    <xf numFmtId="6" fontId="18" fillId="2" borderId="7" xfId="0" applyNumberFormat="1" applyFont="1" applyFill="1" applyBorder="1"/>
    <xf numFmtId="6" fontId="16" fillId="0" borderId="0" xfId="0" applyNumberFormat="1" applyFont="1"/>
    <xf numFmtId="166" fontId="16" fillId="0" borderId="0" xfId="0" applyNumberFormat="1" applyFont="1" applyAlignment="1">
      <alignment horizontal="right" vertical="center"/>
    </xf>
    <xf numFmtId="9" fontId="16" fillId="0" borderId="0" xfId="0" applyNumberFormat="1" applyFont="1" applyAlignment="1">
      <alignment horizontal="right" vertical="center"/>
    </xf>
    <xf numFmtId="6" fontId="16" fillId="0" borderId="0" xfId="0" applyNumberFormat="1" applyFont="1" applyAlignment="1">
      <alignment horizontal="right" vertical="center"/>
    </xf>
    <xf numFmtId="0" fontId="16" fillId="0" borderId="4" xfId="0" applyFont="1" applyBorder="1"/>
    <xf numFmtId="167" fontId="18" fillId="2" borderId="7" xfId="0" applyNumberFormat="1" applyFont="1" applyFill="1" applyBorder="1"/>
    <xf numFmtId="8" fontId="16" fillId="0" borderId="0" xfId="0" applyNumberFormat="1" applyFont="1"/>
    <xf numFmtId="0" fontId="16" fillId="0" borderId="0" xfId="0" applyFont="1" applyAlignment="1">
      <alignment horizontal="right" vertical="center"/>
    </xf>
    <xf numFmtId="3" fontId="16" fillId="0" borderId="1" xfId="0" applyNumberFormat="1" applyFont="1" applyBorder="1"/>
    <xf numFmtId="9" fontId="16" fillId="0" borderId="1" xfId="0" applyNumberFormat="1" applyFont="1" applyBorder="1"/>
    <xf numFmtId="0" fontId="16" fillId="0" borderId="0" xfId="0" applyFont="1" applyAlignment="1">
      <alignment horizontal="center" vertical="center"/>
    </xf>
    <xf numFmtId="43" fontId="16" fillId="2" borderId="7" xfId="1" applyFont="1" applyFill="1" applyBorder="1"/>
    <xf numFmtId="0" fontId="16" fillId="0" borderId="0" xfId="0" applyFont="1" applyAlignment="1">
      <alignment horizontal="center"/>
    </xf>
    <xf numFmtId="3" fontId="16" fillId="2" borderId="7" xfId="0" applyNumberFormat="1" applyFont="1" applyFill="1" applyBorder="1"/>
    <xf numFmtId="0" fontId="16" fillId="2" borderId="7" xfId="0" applyFont="1" applyFill="1" applyBorder="1"/>
    <xf numFmtId="0" fontId="18" fillId="0" borderId="0" xfId="0" applyFont="1" applyAlignment="1">
      <alignment horizontal="right" vertical="center"/>
    </xf>
    <xf numFmtId="0" fontId="18" fillId="0" borderId="0" xfId="0" applyFont="1" applyAlignment="1">
      <alignment horizontal="right"/>
    </xf>
    <xf numFmtId="0" fontId="13" fillId="0" borderId="16" xfId="2" applyFont="1" applyBorder="1" applyAlignment="1">
      <alignment horizontal="left" vertical="top" wrapText="1"/>
    </xf>
    <xf numFmtId="0" fontId="13" fillId="0" borderId="0" xfId="2" applyFont="1" applyAlignment="1">
      <alignment horizontal="left" vertical="top" wrapText="1"/>
    </xf>
    <xf numFmtId="0" fontId="13" fillId="0" borderId="0" xfId="2" applyFont="1" applyAlignment="1">
      <alignment horizontal="left"/>
    </xf>
    <xf numFmtId="0" fontId="13" fillId="0" borderId="8" xfId="2" applyFont="1" applyBorder="1" applyAlignment="1">
      <alignment horizontal="center"/>
    </xf>
    <xf numFmtId="0" fontId="13" fillId="0" borderId="10" xfId="2" applyFont="1" applyBorder="1" applyAlignment="1">
      <alignment horizontal="center"/>
    </xf>
    <xf numFmtId="0" fontId="13" fillId="0" borderId="9" xfId="2" applyFont="1" applyBorder="1" applyAlignment="1">
      <alignment horizontal="center"/>
    </xf>
    <xf numFmtId="0" fontId="13" fillId="0" borderId="16" xfId="2" applyFont="1" applyBorder="1" applyAlignment="1">
      <alignment horizontal="center"/>
    </xf>
    <xf numFmtId="0" fontId="13" fillId="0" borderId="0" xfId="2" applyFont="1" applyAlignment="1">
      <alignment horizontal="center"/>
    </xf>
    <xf numFmtId="0" fontId="13" fillId="0" borderId="14" xfId="2" applyFont="1" applyBorder="1" applyAlignment="1">
      <alignment horizontal="center"/>
    </xf>
    <xf numFmtId="0" fontId="13" fillId="0" borderId="15" xfId="2" applyFont="1" applyBorder="1" applyAlignment="1">
      <alignment horizontal="center"/>
    </xf>
    <xf numFmtId="0" fontId="13" fillId="0" borderId="11" xfId="2" applyFont="1" applyBorder="1" applyAlignment="1">
      <alignment horizontal="center"/>
    </xf>
    <xf numFmtId="0" fontId="13" fillId="0" borderId="13" xfId="2" applyFont="1" applyBorder="1" applyAlignment="1">
      <alignment horizontal="center"/>
    </xf>
    <xf numFmtId="43" fontId="13" fillId="0" borderId="8" xfId="1" applyFont="1" applyBorder="1"/>
    <xf numFmtId="43" fontId="13" fillId="0" borderId="10" xfId="1" applyFont="1" applyBorder="1"/>
    <xf numFmtId="43" fontId="13" fillId="0" borderId="9" xfId="1" applyFont="1" applyBorder="1"/>
    <xf numFmtId="43" fontId="13" fillId="0" borderId="0" xfId="1" applyFont="1"/>
    <xf numFmtId="43" fontId="13" fillId="0" borderId="15" xfId="1" applyFont="1" applyBorder="1"/>
    <xf numFmtId="43" fontId="13" fillId="0" borderId="11" xfId="1" applyFont="1" applyBorder="1"/>
    <xf numFmtId="43" fontId="20" fillId="0" borderId="13" xfId="1" applyFont="1" applyBorder="1"/>
    <xf numFmtId="43" fontId="13" fillId="0" borderId="0" xfId="1" applyFont="1" applyAlignment="1">
      <alignment horizontal="left"/>
    </xf>
    <xf numFmtId="43" fontId="13" fillId="0" borderId="8" xfId="1" applyFont="1" applyBorder="1" applyAlignment="1">
      <alignment horizontal="center"/>
    </xf>
    <xf numFmtId="43" fontId="13" fillId="0" borderId="10" xfId="1" applyFont="1" applyBorder="1" applyAlignment="1">
      <alignment horizontal="center"/>
    </xf>
    <xf numFmtId="43" fontId="13" fillId="0" borderId="9" xfId="1" applyFont="1" applyBorder="1" applyAlignment="1">
      <alignment horizontal="center"/>
    </xf>
    <xf numFmtId="43" fontId="13" fillId="0" borderId="0" xfId="1" applyFont="1" applyAlignment="1">
      <alignment horizontal="center"/>
    </xf>
    <xf numFmtId="43" fontId="13" fillId="0" borderId="15" xfId="1" applyFont="1" applyBorder="1" applyAlignment="1">
      <alignment horizontal="center"/>
    </xf>
    <xf numFmtId="43" fontId="13" fillId="0" borderId="11" xfId="1" applyFont="1" applyBorder="1" applyAlignment="1">
      <alignment horizontal="center"/>
    </xf>
    <xf numFmtId="43" fontId="20" fillId="0" borderId="11" xfId="1" applyFont="1" applyBorder="1" applyAlignment="1">
      <alignment horizontal="center"/>
    </xf>
    <xf numFmtId="43" fontId="20" fillId="0" borderId="13" xfId="1" applyFont="1" applyBorder="1" applyAlignment="1">
      <alignment horizontal="center"/>
    </xf>
    <xf numFmtId="0" fontId="15" fillId="0" borderId="0" xfId="2" applyFont="1" applyAlignment="1">
      <alignment horizontal="left" vertical="top" wrapText="1"/>
    </xf>
    <xf numFmtId="0" fontId="13" fillId="2" borderId="8" xfId="2" applyFont="1" applyFill="1" applyBorder="1" applyAlignment="1">
      <alignment horizontal="center"/>
    </xf>
    <xf numFmtId="0" fontId="13" fillId="2" borderId="10" xfId="2" applyFont="1" applyFill="1" applyBorder="1" applyAlignment="1">
      <alignment horizontal="center"/>
    </xf>
    <xf numFmtId="0" fontId="13" fillId="2" borderId="9" xfId="2" applyFont="1" applyFill="1" applyBorder="1" applyAlignment="1">
      <alignment horizontal="center"/>
    </xf>
    <xf numFmtId="0" fontId="13" fillId="2" borderId="16" xfId="2" applyFont="1" applyFill="1" applyBorder="1" applyAlignment="1">
      <alignment horizontal="center"/>
    </xf>
    <xf numFmtId="0" fontId="13" fillId="2" borderId="14" xfId="2" applyFont="1" applyFill="1" applyBorder="1" applyAlignment="1">
      <alignment horizontal="center"/>
    </xf>
    <xf numFmtId="0" fontId="13" fillId="0" borderId="0" xfId="2" applyFont="1" applyAlignment="1">
      <alignment vertical="top"/>
    </xf>
    <xf numFmtId="0" fontId="13" fillId="2" borderId="15" xfId="2" applyFont="1" applyFill="1" applyBorder="1" applyAlignment="1">
      <alignment horizontal="center"/>
    </xf>
    <xf numFmtId="0" fontId="13" fillId="2" borderId="11" xfId="2" applyFont="1" applyFill="1" applyBorder="1" applyAlignment="1">
      <alignment horizontal="center"/>
    </xf>
    <xf numFmtId="0" fontId="13" fillId="2" borderId="13" xfId="2" applyFont="1" applyFill="1" applyBorder="1" applyAlignment="1">
      <alignment horizontal="center"/>
    </xf>
    <xf numFmtId="0" fontId="13" fillId="3" borderId="8" xfId="2" applyFont="1" applyFill="1" applyBorder="1" applyAlignment="1">
      <alignment horizontal="left" vertical="top"/>
    </xf>
    <xf numFmtId="0" fontId="13" fillId="3" borderId="10" xfId="2" applyFont="1" applyFill="1" applyBorder="1" applyAlignment="1">
      <alignment horizontal="left" vertical="top"/>
    </xf>
    <xf numFmtId="0" fontId="13" fillId="3" borderId="9" xfId="2" applyFont="1" applyFill="1" applyBorder="1" applyAlignment="1">
      <alignment horizontal="left" vertical="top"/>
    </xf>
    <xf numFmtId="0" fontId="13" fillId="3" borderId="16" xfId="2" applyFont="1" applyFill="1" applyBorder="1" applyAlignment="1">
      <alignment horizontal="left" vertical="top"/>
    </xf>
    <xf numFmtId="0" fontId="13" fillId="3" borderId="0" xfId="2" applyFont="1" applyFill="1" applyAlignment="1">
      <alignment horizontal="left" vertical="top"/>
    </xf>
    <xf numFmtId="0" fontId="13" fillId="3" borderId="14" xfId="2" applyFont="1" applyFill="1" applyBorder="1" applyAlignment="1">
      <alignment horizontal="left" vertical="top"/>
    </xf>
    <xf numFmtId="0" fontId="13" fillId="3" borderId="15" xfId="2" applyFont="1" applyFill="1" applyBorder="1" applyAlignment="1">
      <alignment horizontal="left" vertical="top"/>
    </xf>
    <xf numFmtId="0" fontId="13" fillId="3" borderId="11" xfId="2" applyFont="1" applyFill="1" applyBorder="1" applyAlignment="1">
      <alignment horizontal="left" vertical="top"/>
    </xf>
    <xf numFmtId="0" fontId="13" fillId="3" borderId="13" xfId="2" applyFont="1" applyFill="1" applyBorder="1" applyAlignment="1">
      <alignment horizontal="left" vertical="top"/>
    </xf>
    <xf numFmtId="0" fontId="13" fillId="0" borderId="0" xfId="2" applyFont="1" applyAlignment="1">
      <alignment horizontal="left" vertical="top"/>
    </xf>
    <xf numFmtId="0" fontId="15" fillId="0" borderId="0" xfId="2" applyFont="1" applyAlignment="1">
      <alignment horizontal="center"/>
    </xf>
    <xf numFmtId="0" fontId="13" fillId="0" borderId="0" xfId="2" applyFont="1" applyAlignment="1">
      <alignment horizontal="center"/>
    </xf>
    <xf numFmtId="49" fontId="13" fillId="0" borderId="0" xfId="2" applyNumberFormat="1" applyFont="1" applyAlignment="1">
      <alignment horizontal="center"/>
    </xf>
    <xf numFmtId="164" fontId="13" fillId="0" borderId="0" xfId="2" applyNumberFormat="1" applyFont="1" applyAlignment="1">
      <alignment horizontal="center"/>
    </xf>
    <xf numFmtId="0" fontId="20" fillId="0" borderId="0" xfId="2" applyFont="1"/>
  </cellXfs>
  <cellStyles count="10">
    <cellStyle name="Comma" xfId="1" builtinId="3"/>
    <cellStyle name="Comma 2" xfId="7" xr:uid="{479095AC-DA30-4A04-B4B5-0DAC9646D5F3}"/>
    <cellStyle name="Currency 2" xfId="8" xr:uid="{7D502284-633A-4D19-BC47-9B22D316E1C9}"/>
    <cellStyle name="Hyperlink" xfId="9" builtinId="8"/>
    <cellStyle name="Normal" xfId="0" builtinId="0"/>
    <cellStyle name="Normal 2" xfId="2" xr:uid="{1CC3CCD1-D6D4-4CEA-B4A4-BADDB5B35EE8}"/>
    <cellStyle name="Normal 3" xfId="3" xr:uid="{0CB9D59F-D5F5-44C7-B33E-19C7B06BE748}"/>
    <cellStyle name="Normal 4" xfId="5" xr:uid="{0CBC50FE-FC3E-48D8-99E9-3CB5AD7B3AAC}"/>
    <cellStyle name="Percent 2" xfId="4" xr:uid="{1F496699-15B0-4F1A-91DC-CB8151285832}"/>
    <cellStyle name="Percent 3" xfId="6" xr:uid="{C00ADBC5-F48C-45E5-84D9-12F6802EFA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190501</xdr:colOff>
      <xdr:row>0</xdr:row>
      <xdr:rowOff>171451</xdr:rowOff>
    </xdr:from>
    <xdr:ext cx="1521069" cy="517420"/>
    <xdr:pic>
      <xdr:nvPicPr>
        <xdr:cNvPr id="2" name="Picture 1">
          <a:extLst>
            <a:ext uri="{FF2B5EF4-FFF2-40B4-BE49-F238E27FC236}">
              <a16:creationId xmlns:a16="http://schemas.microsoft.com/office/drawing/2014/main" id="{9662BC0C-82A7-4316-BF3E-DFCE34B0E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1069" cy="517420"/>
        </a:xfrm>
        <a:prstGeom prst="rect">
          <a:avLst/>
        </a:prstGeom>
      </xdr:spPr>
    </xdr:pic>
    <xdr:clientData/>
  </xdr:one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1EFC5EDA-EB69-490F-B021-D6A912C0DE2D}"/>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59EA7F55-1ABC-4D43-B82C-B1DE8A37631A}"/>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21</xdr:row>
      <xdr:rowOff>204786</xdr:rowOff>
    </xdr:from>
    <xdr:to>
      <xdr:col>1</xdr:col>
      <xdr:colOff>1600200</xdr:colOff>
      <xdr:row>22</xdr:row>
      <xdr:rowOff>152399</xdr:rowOff>
    </xdr:to>
    <xdr:pic>
      <xdr:nvPicPr>
        <xdr:cNvPr id="2" name="Picture 1">
          <a:extLst>
            <a:ext uri="{FF2B5EF4-FFF2-40B4-BE49-F238E27FC236}">
              <a16:creationId xmlns:a16="http://schemas.microsoft.com/office/drawing/2014/main" id="{775FC1EE-C19A-4666-99D0-CC6AAE8FD20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6270" y="3618546"/>
          <a:ext cx="582930" cy="153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76201</xdr:colOff>
      <xdr:row>21</xdr:row>
      <xdr:rowOff>201784</xdr:rowOff>
    </xdr:from>
    <xdr:to>
      <xdr:col>3</xdr:col>
      <xdr:colOff>1</xdr:colOff>
      <xdr:row>22</xdr:row>
      <xdr:rowOff>152400</xdr:rowOff>
    </xdr:to>
    <xdr:pic>
      <xdr:nvPicPr>
        <xdr:cNvPr id="3" name="Picture 2">
          <a:extLst>
            <a:ext uri="{FF2B5EF4-FFF2-40B4-BE49-F238E27FC236}">
              <a16:creationId xmlns:a16="http://schemas.microsoft.com/office/drawing/2014/main" id="{A074F400-BB95-4EDA-A403-1F6604AF192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5401" y="3623164"/>
          <a:ext cx="533400" cy="148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35</xdr:row>
      <xdr:rowOff>1</xdr:rowOff>
    </xdr:from>
    <xdr:to>
      <xdr:col>1</xdr:col>
      <xdr:colOff>1628775</xdr:colOff>
      <xdr:row>35</xdr:row>
      <xdr:rowOff>152401</xdr:rowOff>
    </xdr:to>
    <xdr:pic>
      <xdr:nvPicPr>
        <xdr:cNvPr id="4" name="Picture 3">
          <a:extLst>
            <a:ext uri="{FF2B5EF4-FFF2-40B4-BE49-F238E27FC236}">
              <a16:creationId xmlns:a16="http://schemas.microsoft.com/office/drawing/2014/main" id="{19F91496-53B3-4E50-AB7B-31CB59302BD7}"/>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1040" y="5972176"/>
          <a:ext cx="51625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85726</xdr:colOff>
      <xdr:row>34</xdr:row>
      <xdr:rowOff>200025</xdr:rowOff>
    </xdr:from>
    <xdr:to>
      <xdr:col>2</xdr:col>
      <xdr:colOff>1304926</xdr:colOff>
      <xdr:row>35</xdr:row>
      <xdr:rowOff>152400</xdr:rowOff>
    </xdr:to>
    <xdr:pic>
      <xdr:nvPicPr>
        <xdr:cNvPr id="5" name="Picture 4">
          <a:extLst>
            <a:ext uri="{FF2B5EF4-FFF2-40B4-BE49-F238E27FC236}">
              <a16:creationId xmlns:a16="http://schemas.microsoft.com/office/drawing/2014/main" id="{EE4246CC-3840-408D-9E32-3573BEC33989}"/>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6831" y="5974080"/>
          <a:ext cx="523875" cy="150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Research\ZDP49%20(Fee%20Schedule%20Analyzer%20Model%20Update)\2021\Work%20Files\Milliman%202021%20Fee%20Schedule%20Analysis%20Model.xlsm" TargetMode="External"/><Relationship Id="rId1" Type="http://schemas.openxmlformats.org/officeDocument/2006/relationships/externalLinkPath" Target="file:///T:\Research\ZDP49%20(Fee%20Schedule%20Analyzer%20Model%20Update)\2021\Work%20Files\Milliman%202021%20Fee%20Schedule%20Analysis%20Model.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GUIDED%20EXAMPLES/Fully%20Assembled/ILA101%20Guided%20Examples%202025-2026.xlsx" TargetMode="External"/><Relationship Id="rId1" Type="http://schemas.openxmlformats.org/officeDocument/2006/relationships/externalLinkPath" Target="ILA101%20Guided%20Examples%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cense"/>
      <sheetName val="User Input"/>
      <sheetName val="Print Options"/>
      <sheetName val="Fee Schedule Library"/>
      <sheetName val="Active Fee Schedules"/>
      <sheetName val="Specialty Selection"/>
      <sheetName val="Summary"/>
      <sheetName val="Specialty Sample"/>
      <sheetName val="CL and Part B"/>
      <sheetName val="RBRVS"/>
      <sheetName val="Result Calcs"/>
      <sheetName val="Util Matrix"/>
      <sheetName val="Base Util Weights"/>
      <sheetName val="Estimated RVUs"/>
      <sheetName val="CPT Code Indicators"/>
      <sheetName val="Estimated Fees"/>
      <sheetName val="GPCI"/>
    </sheetNames>
    <sheetDataSet>
      <sheetData sheetId="0"/>
      <sheetData sheetId="1">
        <row r="74">
          <cell r="C74">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Q ILA101-101-25 1a 1b"/>
      <sheetName val="A ILA101-101-25 1a 1b"/>
      <sheetName val="Q ILA101-102-25 1c"/>
      <sheetName val="A ILA101-102-25 1c"/>
      <sheetName val="Q Table Development 2d"/>
      <sheetName val="A Table Development 2d"/>
      <sheetName val="Q ILA101-106-25 2a"/>
      <sheetName val="A ILA101-106-25 2a"/>
      <sheetName val="Q US GAAP Ch 1 4b"/>
      <sheetName val="A US GAAP Ch 1 4b"/>
      <sheetName val="Q ILA101-113-25 5b"/>
      <sheetName val="A ILA101-113-25 5b"/>
      <sheetName val="Q RILA 1a 1b"/>
      <sheetName val="A RILA 1a 1b"/>
      <sheetName val="Q Experience Study 2e"/>
      <sheetName val="A Experience Study 2e"/>
      <sheetName val="Q Tiller Ch 4 5e"/>
      <sheetName val="A Tiller Ch 4 5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F93E-1530-4FBC-BD87-720B2F3132DE}">
  <sheetPr>
    <tabColor rgb="FF0070C0"/>
    <pageSetUpPr autoPageBreaks="0"/>
  </sheetPr>
  <dimension ref="A6:K22"/>
  <sheetViews>
    <sheetView showGridLines="0" tabSelected="1" zoomScale="115" zoomScaleNormal="115" workbookViewId="0"/>
  </sheetViews>
  <sheetFormatPr defaultRowHeight="14.4"/>
  <sheetData>
    <row r="6" spans="1:10" ht="33.6">
      <c r="A6" s="1" t="s">
        <v>162</v>
      </c>
      <c r="B6" s="1"/>
      <c r="C6" s="1"/>
      <c r="D6" s="1"/>
      <c r="E6" s="1"/>
      <c r="F6" s="1"/>
      <c r="G6" s="1"/>
      <c r="H6" s="1"/>
      <c r="I6" s="1"/>
      <c r="J6" s="1"/>
    </row>
    <row r="7" spans="1:10" ht="6" customHeight="1">
      <c r="A7" s="2"/>
      <c r="B7" s="2"/>
      <c r="C7" s="2"/>
      <c r="D7" s="2"/>
      <c r="E7" s="2"/>
      <c r="F7" s="2"/>
      <c r="G7" s="2"/>
      <c r="H7" s="2"/>
      <c r="I7" s="2"/>
      <c r="J7" s="2"/>
    </row>
    <row r="8" spans="1:10" ht="21">
      <c r="A8" s="3" t="s">
        <v>173</v>
      </c>
      <c r="B8" s="3"/>
      <c r="C8" s="3"/>
      <c r="D8" s="3"/>
      <c r="E8" s="3"/>
      <c r="F8" s="3"/>
      <c r="G8" s="3"/>
      <c r="H8" s="3"/>
      <c r="I8" s="3"/>
      <c r="J8" s="3"/>
    </row>
    <row r="10" spans="1:10" ht="75" customHeight="1">
      <c r="A10" s="4" t="s">
        <v>163</v>
      </c>
      <c r="B10" s="5" t="s">
        <v>164</v>
      </c>
      <c r="C10" s="5"/>
      <c r="D10" s="5"/>
      <c r="E10" s="5"/>
      <c r="F10" s="5"/>
      <c r="G10" s="5"/>
      <c r="H10" s="5"/>
      <c r="I10" s="5"/>
      <c r="J10" s="5"/>
    </row>
    <row r="11" spans="1:10">
      <c r="B11" s="6"/>
      <c r="C11" s="6"/>
      <c r="D11" s="6"/>
      <c r="E11" s="6"/>
      <c r="F11" s="6"/>
      <c r="G11" s="6"/>
      <c r="H11" s="6"/>
      <c r="I11" s="6"/>
      <c r="J11" s="6"/>
    </row>
    <row r="12" spans="1:10" ht="45" customHeight="1">
      <c r="A12" s="4" t="s">
        <v>163</v>
      </c>
      <c r="B12" s="5" t="s">
        <v>165</v>
      </c>
      <c r="C12" s="5"/>
      <c r="D12" s="5"/>
      <c r="E12" s="5"/>
      <c r="F12" s="5"/>
      <c r="G12" s="5"/>
      <c r="H12" s="5"/>
      <c r="I12" s="5"/>
      <c r="J12" s="5"/>
    </row>
    <row r="13" spans="1:10">
      <c r="B13" s="6"/>
      <c r="C13" s="6"/>
      <c r="D13" s="6"/>
      <c r="E13" s="6"/>
      <c r="F13" s="6"/>
      <c r="G13" s="6"/>
      <c r="H13" s="6"/>
      <c r="I13" s="6"/>
      <c r="J13" s="6"/>
    </row>
    <row r="14" spans="1:10" ht="30" customHeight="1">
      <c r="A14" s="4" t="s">
        <v>163</v>
      </c>
      <c r="B14" s="5" t="s">
        <v>166</v>
      </c>
      <c r="C14" s="5"/>
      <c r="D14" s="5"/>
      <c r="E14" s="5"/>
      <c r="F14" s="5"/>
      <c r="G14" s="5"/>
      <c r="H14" s="5"/>
      <c r="I14" s="5"/>
      <c r="J14" s="5"/>
    </row>
    <row r="15" spans="1:10">
      <c r="B15" s="6"/>
      <c r="C15" s="6"/>
      <c r="D15" s="6"/>
      <c r="E15" s="6"/>
      <c r="F15" s="6"/>
      <c r="G15" s="6"/>
      <c r="H15" s="6"/>
      <c r="I15" s="6"/>
      <c r="J15" s="6"/>
    </row>
    <row r="16" spans="1:10" ht="42.6" customHeight="1">
      <c r="A16" s="4" t="s">
        <v>163</v>
      </c>
      <c r="B16" s="5" t="s">
        <v>167</v>
      </c>
      <c r="C16" s="5"/>
      <c r="D16" s="5"/>
      <c r="E16" s="5"/>
      <c r="F16" s="5"/>
      <c r="G16" s="5"/>
      <c r="H16" s="5"/>
      <c r="I16" s="5"/>
      <c r="J16" s="5"/>
    </row>
    <row r="17" spans="1:11">
      <c r="B17" s="6"/>
      <c r="C17" s="6"/>
      <c r="D17" s="6"/>
      <c r="E17" s="6"/>
      <c r="F17" s="6"/>
      <c r="G17" s="6"/>
      <c r="H17" s="6"/>
      <c r="I17" s="6"/>
      <c r="J17" s="6"/>
      <c r="K17" s="7"/>
    </row>
    <row r="18" spans="1:11" ht="74.400000000000006" customHeight="1">
      <c r="A18" s="4" t="s">
        <v>163</v>
      </c>
      <c r="B18" s="5" t="s">
        <v>168</v>
      </c>
      <c r="C18" s="5"/>
      <c r="D18" s="5"/>
      <c r="E18" s="5"/>
      <c r="F18" s="5"/>
      <c r="G18" s="5"/>
      <c r="H18" s="5"/>
      <c r="I18" s="5"/>
      <c r="J18" s="5"/>
    </row>
    <row r="19" spans="1:11">
      <c r="B19" s="8" t="s">
        <v>169</v>
      </c>
      <c r="C19" s="9"/>
      <c r="D19" s="9"/>
      <c r="E19" s="9"/>
      <c r="F19" s="9"/>
      <c r="G19" s="9"/>
      <c r="H19" s="9"/>
      <c r="I19" s="9"/>
      <c r="J19" s="9"/>
    </row>
    <row r="22" spans="1:11">
      <c r="B22" s="10" t="s">
        <v>170</v>
      </c>
      <c r="C22" s="10"/>
      <c r="D22" s="11" t="s">
        <v>171</v>
      </c>
      <c r="E22" s="11"/>
      <c r="F22" s="11"/>
      <c r="G22" s="11"/>
      <c r="H22" s="12" t="s">
        <v>172</v>
      </c>
      <c r="I22" s="12"/>
      <c r="J22" s="12"/>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CDBF7C5F-6EC7-45C0-B488-B0FB9C8B745F}"/>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C0B5A-BF63-404E-BA95-A3E72BEE79ED}">
  <sheetPr>
    <tabColor theme="5" tint="0.39997558519241921"/>
  </sheetPr>
  <dimension ref="A1:D26"/>
  <sheetViews>
    <sheetView workbookViewId="0"/>
  </sheetViews>
  <sheetFormatPr defaultColWidth="8.88671875" defaultRowHeight="14.4"/>
  <cols>
    <col min="1" max="1" width="23.88671875" style="21" customWidth="1"/>
    <col min="2" max="2" width="23.33203125" style="21" customWidth="1"/>
    <col min="3" max="3" width="27" style="21" customWidth="1"/>
    <col min="4" max="4" width="27.44140625" style="21" customWidth="1"/>
    <col min="5" max="16384" width="8.88671875" style="21"/>
  </cols>
  <sheetData>
    <row r="1" spans="1:4">
      <c r="A1" s="21" t="s">
        <v>199</v>
      </c>
    </row>
    <row r="3" spans="1:4">
      <c r="A3" s="22" t="s">
        <v>1</v>
      </c>
    </row>
    <row r="4" spans="1:4">
      <c r="A4" s="23" t="s">
        <v>3</v>
      </c>
    </row>
    <row r="6" spans="1:4">
      <c r="A6" s="50" t="s">
        <v>87</v>
      </c>
    </row>
    <row r="7" spans="1:4">
      <c r="A7" s="24" t="s">
        <v>86</v>
      </c>
    </row>
    <row r="8" spans="1:4" ht="15" thickBot="1"/>
    <row r="9" spans="1:4" ht="15" thickBot="1">
      <c r="A9" s="25" t="s">
        <v>85</v>
      </c>
      <c r="B9" s="26" t="s">
        <v>84</v>
      </c>
      <c r="C9" s="26" t="s">
        <v>83</v>
      </c>
      <c r="D9" s="26" t="s">
        <v>82</v>
      </c>
    </row>
    <row r="10" spans="1:4" ht="15" thickBot="1">
      <c r="A10" s="27" t="s">
        <v>81</v>
      </c>
      <c r="B10" s="28">
        <v>36000000</v>
      </c>
      <c r="C10" s="28">
        <v>25000000</v>
      </c>
      <c r="D10" s="28">
        <v>81000000</v>
      </c>
    </row>
    <row r="11" spans="1:4" ht="15" thickBot="1"/>
    <row r="12" spans="1:4" ht="15" thickBot="1">
      <c r="A12" s="21" t="s">
        <v>80</v>
      </c>
      <c r="D12" s="29">
        <v>0.48</v>
      </c>
    </row>
    <row r="14" spans="1:4">
      <c r="A14" s="23" t="s">
        <v>174</v>
      </c>
    </row>
    <row r="16" spans="1:4">
      <c r="A16" s="21" t="s">
        <v>178</v>
      </c>
    </row>
    <row r="18" spans="1:2">
      <c r="A18" s="21" t="s">
        <v>182</v>
      </c>
    </row>
    <row r="26" spans="1:2">
      <c r="B26" s="21" t="s">
        <v>100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D269-90EB-438E-95D4-03F60B4E4C46}">
  <sheetPr>
    <tabColor theme="9" tint="0.59999389629810485"/>
  </sheetPr>
  <dimension ref="A1:E44"/>
  <sheetViews>
    <sheetView zoomScaleNormal="100" workbookViewId="0"/>
  </sheetViews>
  <sheetFormatPr defaultColWidth="8.88671875" defaultRowHeight="14.4"/>
  <cols>
    <col min="1" max="1" width="23.5546875" style="21" customWidth="1"/>
    <col min="2" max="2" width="24.88671875" style="21" customWidth="1"/>
    <col min="3" max="3" width="20" style="21" customWidth="1"/>
    <col min="4" max="6" width="23.5546875" style="21" customWidth="1"/>
    <col min="7" max="16384" width="8.88671875" style="21"/>
  </cols>
  <sheetData>
    <row r="1" spans="1:4">
      <c r="A1" s="21" t="s">
        <v>199</v>
      </c>
    </row>
    <row r="3" spans="1:4">
      <c r="A3" s="22" t="s">
        <v>1</v>
      </c>
    </row>
    <row r="4" spans="1:4">
      <c r="A4" s="23" t="s">
        <v>3</v>
      </c>
    </row>
    <row r="5" spans="1:4">
      <c r="A5" s="23"/>
    </row>
    <row r="6" spans="1:4">
      <c r="A6" s="24" t="s">
        <v>86</v>
      </c>
    </row>
    <row r="7" spans="1:4" ht="15" thickBot="1"/>
    <row r="8" spans="1:4" ht="15" thickBot="1">
      <c r="A8" s="25" t="s">
        <v>85</v>
      </c>
      <c r="B8" s="26" t="s">
        <v>84</v>
      </c>
      <c r="C8" s="26" t="s">
        <v>83</v>
      </c>
      <c r="D8" s="26" t="s">
        <v>82</v>
      </c>
    </row>
    <row r="9" spans="1:4" ht="15" thickBot="1">
      <c r="A9" s="27" t="s">
        <v>81</v>
      </c>
      <c r="B9" s="28">
        <v>36000000</v>
      </c>
      <c r="C9" s="28">
        <v>25000000</v>
      </c>
      <c r="D9" s="28">
        <v>81000000</v>
      </c>
    </row>
    <row r="10" spans="1:4" ht="15" thickBot="1"/>
    <row r="11" spans="1:4" ht="15" thickBot="1">
      <c r="A11" s="21" t="s">
        <v>80</v>
      </c>
      <c r="D11" s="29">
        <v>0.48</v>
      </c>
    </row>
    <row r="13" spans="1:4">
      <c r="A13" s="23" t="s">
        <v>174</v>
      </c>
    </row>
    <row r="15" spans="1:4">
      <c r="A15" s="21" t="s">
        <v>99</v>
      </c>
    </row>
    <row r="16" spans="1:4" ht="15" thickBot="1">
      <c r="A16" s="21" t="s">
        <v>98</v>
      </c>
    </row>
    <row r="17" spans="1:5" ht="15" thickBot="1">
      <c r="A17" s="21" t="s">
        <v>97</v>
      </c>
      <c r="C17" s="29">
        <f>SQRT(D9)</f>
        <v>9000</v>
      </c>
    </row>
    <row r="18" spans="1:5" ht="15" thickBot="1">
      <c r="A18" s="21" t="s">
        <v>96</v>
      </c>
      <c r="C18" s="29">
        <f>D11/C17</f>
        <v>5.3333333333333333E-5</v>
      </c>
    </row>
    <row r="19" spans="1:5" ht="15" thickBot="1"/>
    <row r="20" spans="1:5" ht="15" thickBot="1">
      <c r="A20" s="30" t="s">
        <v>95</v>
      </c>
      <c r="B20" s="31"/>
      <c r="C20" s="31"/>
      <c r="D20" s="31"/>
      <c r="E20" s="32"/>
    </row>
    <row r="21" spans="1:5">
      <c r="A21" s="33"/>
      <c r="B21" s="34" t="s">
        <v>92</v>
      </c>
      <c r="C21" s="34" t="s">
        <v>91</v>
      </c>
      <c r="D21" s="34" t="s">
        <v>90</v>
      </c>
      <c r="E21" s="35" t="s">
        <v>89</v>
      </c>
    </row>
    <row r="22" spans="1:5" ht="15" thickBot="1">
      <c r="A22" s="36"/>
      <c r="B22" s="37"/>
      <c r="C22" s="37"/>
      <c r="D22" s="37"/>
      <c r="E22" s="38" t="s">
        <v>88</v>
      </c>
    </row>
    <row r="23" spans="1:5" ht="15.75" customHeight="1">
      <c r="A23" s="33" t="s">
        <v>175</v>
      </c>
      <c r="B23" s="39">
        <f>D9-C9</f>
        <v>56000000</v>
      </c>
      <c r="C23" s="39">
        <f>D9-B9</f>
        <v>45000000</v>
      </c>
      <c r="D23" s="39">
        <f>B23+C23</f>
        <v>101000000</v>
      </c>
      <c r="E23" s="39">
        <f>D9</f>
        <v>81000000</v>
      </c>
    </row>
    <row r="24" spans="1:5" ht="15.75" customHeight="1" thickBot="1">
      <c r="A24" s="36"/>
      <c r="B24" s="40"/>
      <c r="C24" s="40"/>
      <c r="D24" s="40"/>
      <c r="E24" s="40"/>
    </row>
    <row r="25" spans="1:5" ht="15" customHeight="1">
      <c r="A25" s="33" t="s">
        <v>176</v>
      </c>
      <c r="B25" s="41">
        <f>$C$18</f>
        <v>5.3333333333333333E-5</v>
      </c>
      <c r="C25" s="41">
        <f>$C$18</f>
        <v>5.3333333333333333E-5</v>
      </c>
      <c r="D25" s="41" t="s">
        <v>0</v>
      </c>
      <c r="E25" s="41">
        <f>$C$18</f>
        <v>5.3333333333333333E-5</v>
      </c>
    </row>
    <row r="26" spans="1:5" ht="15.75" customHeight="1" thickBot="1">
      <c r="A26" s="36"/>
      <c r="B26" s="42"/>
      <c r="C26" s="42"/>
      <c r="D26" s="42"/>
      <c r="E26" s="42"/>
    </row>
    <row r="27" spans="1:5" ht="15" customHeight="1">
      <c r="A27" s="33" t="s">
        <v>177</v>
      </c>
      <c r="B27" s="43">
        <f>B23*B25</f>
        <v>2986.6666666666665</v>
      </c>
      <c r="C27" s="43">
        <f>C23*C25</f>
        <v>2400</v>
      </c>
      <c r="D27" s="43">
        <f>B27+C27</f>
        <v>5386.6666666666661</v>
      </c>
      <c r="E27" s="43">
        <f>E23*E25</f>
        <v>4320</v>
      </c>
    </row>
    <row r="28" spans="1:5" ht="15.75" customHeight="1" thickBot="1">
      <c r="A28" s="36"/>
      <c r="B28" s="44"/>
      <c r="C28" s="44"/>
      <c r="D28" s="44"/>
      <c r="E28" s="44"/>
    </row>
    <row r="30" spans="1:5">
      <c r="A30" s="21" t="s">
        <v>178</v>
      </c>
    </row>
    <row r="31" spans="1:5">
      <c r="A31" s="21" t="s">
        <v>94</v>
      </c>
    </row>
    <row r="32" spans="1:5" ht="15" thickBot="1"/>
    <row r="33" spans="1:5" ht="15" thickBot="1">
      <c r="A33" s="30" t="s">
        <v>93</v>
      </c>
      <c r="B33" s="31"/>
      <c r="C33" s="31"/>
      <c r="D33" s="31"/>
      <c r="E33" s="32"/>
    </row>
    <row r="34" spans="1:5">
      <c r="A34" s="33"/>
      <c r="B34" s="34" t="s">
        <v>92</v>
      </c>
      <c r="C34" s="34" t="s">
        <v>91</v>
      </c>
      <c r="D34" s="34" t="s">
        <v>90</v>
      </c>
      <c r="E34" s="35" t="s">
        <v>89</v>
      </c>
    </row>
    <row r="35" spans="1:5" ht="15" thickBot="1">
      <c r="A35" s="36"/>
      <c r="B35" s="37"/>
      <c r="C35" s="37"/>
      <c r="D35" s="37"/>
      <c r="E35" s="38" t="s">
        <v>88</v>
      </c>
    </row>
    <row r="36" spans="1:5" ht="16.5" customHeight="1">
      <c r="A36" s="33" t="s">
        <v>179</v>
      </c>
      <c r="B36" s="39">
        <f>SQRT(D9)-SQRT(C9)</f>
        <v>4000</v>
      </c>
      <c r="C36" s="45">
        <f>SQRT(D9)-SQRT(B9)</f>
        <v>3000</v>
      </c>
      <c r="D36" s="39">
        <f>B36+C36</f>
        <v>7000</v>
      </c>
      <c r="E36" s="39">
        <f>SQRT(D9)</f>
        <v>9000</v>
      </c>
    </row>
    <row r="37" spans="1:5" ht="15" thickBot="1">
      <c r="A37" s="36"/>
      <c r="B37" s="40"/>
      <c r="C37" s="46"/>
      <c r="D37" s="40"/>
      <c r="E37" s="40"/>
    </row>
    <row r="38" spans="1:5" ht="15" thickBot="1">
      <c r="A38" s="47" t="s">
        <v>180</v>
      </c>
      <c r="B38" s="48">
        <f>$D$11</f>
        <v>0.48</v>
      </c>
      <c r="C38" s="48">
        <f>$D$11</f>
        <v>0.48</v>
      </c>
      <c r="D38" s="48" t="s">
        <v>0</v>
      </c>
      <c r="E38" s="48">
        <f>$D$11</f>
        <v>0.48</v>
      </c>
    </row>
    <row r="39" spans="1:5" ht="15" thickBot="1">
      <c r="A39" s="47" t="s">
        <v>181</v>
      </c>
      <c r="B39" s="49">
        <f>B36*B38</f>
        <v>1920</v>
      </c>
      <c r="C39" s="49">
        <f>C36*C38</f>
        <v>1440</v>
      </c>
      <c r="D39" s="49">
        <f>B39+C39</f>
        <v>3360</v>
      </c>
      <c r="E39" s="49">
        <f>E36*E38</f>
        <v>4320</v>
      </c>
    </row>
    <row r="41" spans="1:5">
      <c r="A41" s="21" t="s">
        <v>182</v>
      </c>
    </row>
    <row r="42" spans="1:5">
      <c r="A42" s="21" t="s">
        <v>183</v>
      </c>
    </row>
    <row r="43" spans="1:5">
      <c r="A43" s="21" t="s">
        <v>184</v>
      </c>
    </row>
    <row r="44" spans="1:5">
      <c r="A44" s="21" t="s">
        <v>185</v>
      </c>
    </row>
  </sheetData>
  <mergeCells count="30">
    <mergeCell ref="C23:C24"/>
    <mergeCell ref="E25:E26"/>
    <mergeCell ref="A23:A24"/>
    <mergeCell ref="B23:B24"/>
    <mergeCell ref="D23:D24"/>
    <mergeCell ref="E23:E24"/>
    <mergeCell ref="A20:E20"/>
    <mergeCell ref="A21:A22"/>
    <mergeCell ref="B21:B22"/>
    <mergeCell ref="C21:C22"/>
    <mergeCell ref="D21:D22"/>
    <mergeCell ref="A33:E33"/>
    <mergeCell ref="A25:A26"/>
    <mergeCell ref="D25:D26"/>
    <mergeCell ref="A27:A28"/>
    <mergeCell ref="B27:B28"/>
    <mergeCell ref="C27:C28"/>
    <mergeCell ref="D27:D28"/>
    <mergeCell ref="E27:E28"/>
    <mergeCell ref="B25:B26"/>
    <mergeCell ref="C25:C26"/>
    <mergeCell ref="E36:E37"/>
    <mergeCell ref="B36:B37"/>
    <mergeCell ref="C36:C37"/>
    <mergeCell ref="A34:A35"/>
    <mergeCell ref="B34:B35"/>
    <mergeCell ref="C34:C35"/>
    <mergeCell ref="D34:D35"/>
    <mergeCell ref="A36:A37"/>
    <mergeCell ref="D36:D37"/>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B70B-E39B-4BA9-9BE0-2B2F43C7EE28}">
  <sheetPr>
    <tabColor theme="5" tint="0.39997558519241921"/>
  </sheetPr>
  <dimension ref="A1:G22"/>
  <sheetViews>
    <sheetView zoomScaleNormal="100" workbookViewId="0"/>
  </sheetViews>
  <sheetFormatPr defaultColWidth="8.88671875" defaultRowHeight="14.4"/>
  <cols>
    <col min="1" max="16384" width="8.88671875" style="13"/>
  </cols>
  <sheetData>
    <row r="1" spans="1:7">
      <c r="A1" s="21" t="s">
        <v>200</v>
      </c>
    </row>
    <row r="3" spans="1:7">
      <c r="A3" s="14" t="s">
        <v>1</v>
      </c>
    </row>
    <row r="4" spans="1:7">
      <c r="A4" s="13" t="s">
        <v>138</v>
      </c>
    </row>
    <row r="6" spans="1:7">
      <c r="A6" s="15" t="s">
        <v>141</v>
      </c>
      <c r="B6" s="15"/>
      <c r="C6" s="15"/>
      <c r="D6" s="15"/>
      <c r="E6" s="15"/>
      <c r="F6" s="15"/>
      <c r="G6" s="15"/>
    </row>
    <row r="7" spans="1:7">
      <c r="A7" s="16" t="s">
        <v>140</v>
      </c>
      <c r="B7" s="16"/>
      <c r="C7" s="16"/>
      <c r="D7" s="16"/>
      <c r="E7" s="16"/>
      <c r="F7" s="16"/>
      <c r="G7" s="16"/>
    </row>
    <row r="8" spans="1:7">
      <c r="A8" s="16"/>
      <c r="B8" s="16"/>
      <c r="C8" s="16"/>
      <c r="D8" s="16"/>
      <c r="E8" s="16"/>
      <c r="F8" s="16"/>
      <c r="G8" s="16"/>
    </row>
    <row r="9" spans="1:7">
      <c r="A9" s="16"/>
      <c r="B9" s="16"/>
      <c r="C9" s="16"/>
      <c r="D9" s="16"/>
      <c r="E9" s="16"/>
      <c r="F9" s="16"/>
      <c r="G9" s="16"/>
    </row>
    <row r="10" spans="1:7">
      <c r="A10" s="16"/>
      <c r="B10" s="16"/>
      <c r="C10" s="16"/>
      <c r="D10" s="16"/>
      <c r="E10" s="16"/>
      <c r="F10" s="16"/>
      <c r="G10" s="16"/>
    </row>
    <row r="11" spans="1:7">
      <c r="A11" s="16"/>
      <c r="B11" s="16"/>
      <c r="C11" s="16"/>
      <c r="D11" s="16"/>
      <c r="E11" s="16"/>
      <c r="F11" s="16"/>
      <c r="G11" s="16"/>
    </row>
    <row r="12" spans="1:7">
      <c r="A12" s="16"/>
      <c r="B12" s="16"/>
      <c r="C12" s="16"/>
      <c r="D12" s="16"/>
      <c r="E12" s="16"/>
      <c r="F12" s="16"/>
      <c r="G12" s="16"/>
    </row>
    <row r="14" spans="1:7">
      <c r="A14" s="17" t="s">
        <v>115</v>
      </c>
      <c r="B14" s="17"/>
      <c r="C14" s="17"/>
    </row>
    <row r="15" spans="1:7">
      <c r="A15" s="18"/>
      <c r="B15" s="19" t="s">
        <v>139</v>
      </c>
      <c r="C15" s="19"/>
      <c r="D15" s="19"/>
      <c r="E15" s="19"/>
      <c r="F15" s="19"/>
      <c r="G15" s="19"/>
    </row>
    <row r="16" spans="1:7">
      <c r="A16" s="20"/>
      <c r="B16" s="20" t="s">
        <v>113</v>
      </c>
      <c r="C16" s="20" t="s">
        <v>112</v>
      </c>
      <c r="D16" s="20" t="s">
        <v>111</v>
      </c>
      <c r="E16" s="20" t="s">
        <v>110</v>
      </c>
      <c r="F16" s="20" t="s">
        <v>109</v>
      </c>
      <c r="G16" s="20" t="s">
        <v>108</v>
      </c>
    </row>
    <row r="17" spans="1:7">
      <c r="A17" s="20" t="s">
        <v>107</v>
      </c>
      <c r="B17" s="20">
        <v>192</v>
      </c>
      <c r="C17" s="20">
        <v>251</v>
      </c>
      <c r="D17" s="20">
        <v>153</v>
      </c>
      <c r="E17" s="20">
        <v>145</v>
      </c>
      <c r="F17" s="20">
        <v>98</v>
      </c>
      <c r="G17" s="20">
        <v>0</v>
      </c>
    </row>
    <row r="18" spans="1:7">
      <c r="A18" s="20" t="s">
        <v>106</v>
      </c>
      <c r="B18" s="20">
        <v>205</v>
      </c>
      <c r="C18" s="20">
        <v>280</v>
      </c>
      <c r="D18" s="20">
        <v>195</v>
      </c>
      <c r="E18" s="20">
        <v>150</v>
      </c>
      <c r="F18" s="20">
        <v>102</v>
      </c>
      <c r="G18" s="20"/>
    </row>
    <row r="19" spans="1:7">
      <c r="A19" s="20" t="s">
        <v>105</v>
      </c>
      <c r="B19" s="20">
        <v>230</v>
      </c>
      <c r="C19" s="20">
        <v>345</v>
      </c>
      <c r="D19" s="20">
        <v>230</v>
      </c>
      <c r="E19" s="20">
        <v>212</v>
      </c>
      <c r="F19" s="20"/>
      <c r="G19" s="20"/>
    </row>
    <row r="20" spans="1:7">
      <c r="A20" s="20" t="s">
        <v>104</v>
      </c>
      <c r="B20" s="20">
        <v>288</v>
      </c>
      <c r="C20" s="20">
        <v>410</v>
      </c>
      <c r="D20" s="20">
        <v>275</v>
      </c>
      <c r="E20" s="20"/>
      <c r="F20" s="20"/>
      <c r="G20" s="20"/>
    </row>
    <row r="21" spans="1:7">
      <c r="A21" s="20" t="s">
        <v>103</v>
      </c>
      <c r="B21" s="20">
        <v>398</v>
      </c>
      <c r="C21" s="20">
        <v>563</v>
      </c>
      <c r="D21" s="20"/>
      <c r="E21" s="20"/>
      <c r="F21" s="20"/>
      <c r="G21" s="20"/>
    </row>
    <row r="22" spans="1:7">
      <c r="A22" s="20" t="s">
        <v>102</v>
      </c>
      <c r="B22" s="20">
        <v>530</v>
      </c>
      <c r="C22" s="20"/>
      <c r="D22" s="20"/>
      <c r="E22" s="20"/>
      <c r="F22" s="20"/>
      <c r="G22" s="20"/>
    </row>
  </sheetData>
  <mergeCells count="4">
    <mergeCell ref="A6:G6"/>
    <mergeCell ref="A7:G12"/>
    <mergeCell ref="B15:G15"/>
    <mergeCell ref="A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EA7B0-4B7D-4B79-910E-F11A22B85B93}">
  <sheetPr>
    <tabColor theme="9" tint="0.59999389629810485"/>
  </sheetPr>
  <dimension ref="A1:I65"/>
  <sheetViews>
    <sheetView zoomScaleNormal="100" workbookViewId="0"/>
  </sheetViews>
  <sheetFormatPr defaultColWidth="8.88671875" defaultRowHeight="14.4"/>
  <cols>
    <col min="1" max="3" width="8.88671875" style="13"/>
    <col min="4" max="4" width="10.33203125" style="13" customWidth="1"/>
    <col min="5" max="6" width="8.88671875" style="13"/>
    <col min="7" max="7" width="11" style="13" customWidth="1"/>
    <col min="8" max="16384" width="8.88671875" style="13"/>
  </cols>
  <sheetData>
    <row r="1" spans="1:7">
      <c r="A1" s="21" t="s">
        <v>200</v>
      </c>
    </row>
    <row r="3" spans="1:7">
      <c r="A3" s="14" t="s">
        <v>1</v>
      </c>
    </row>
    <row r="4" spans="1:7">
      <c r="A4" s="13" t="s">
        <v>138</v>
      </c>
    </row>
    <row r="6" spans="1:7">
      <c r="A6" s="124" t="s">
        <v>160</v>
      </c>
      <c r="B6" s="124"/>
      <c r="C6" s="124"/>
      <c r="D6" s="124"/>
      <c r="E6" s="124"/>
      <c r="F6" s="124"/>
      <c r="G6" s="124"/>
    </row>
    <row r="7" spans="1:7">
      <c r="A7" s="125"/>
      <c r="B7" s="125"/>
      <c r="C7" s="125"/>
      <c r="D7" s="125"/>
      <c r="E7" s="125"/>
      <c r="F7" s="125"/>
      <c r="G7" s="125"/>
    </row>
    <row r="8" spans="1:7">
      <c r="A8" s="126" t="s">
        <v>115</v>
      </c>
      <c r="B8" s="126"/>
      <c r="C8" s="126"/>
    </row>
    <row r="9" spans="1:7">
      <c r="B9" s="126" t="s">
        <v>139</v>
      </c>
      <c r="C9" s="126"/>
      <c r="D9" s="126"/>
      <c r="E9" s="126"/>
      <c r="F9" s="126"/>
      <c r="G9" s="126"/>
    </row>
    <row r="10" spans="1:7">
      <c r="A10" s="84"/>
      <c r="B10" s="84" t="s">
        <v>113</v>
      </c>
      <c r="C10" s="84" t="s">
        <v>112</v>
      </c>
      <c r="D10" s="84" t="s">
        <v>111</v>
      </c>
      <c r="E10" s="84" t="s">
        <v>110</v>
      </c>
      <c r="F10" s="84" t="s">
        <v>109</v>
      </c>
      <c r="G10" s="84" t="s">
        <v>108</v>
      </c>
    </row>
    <row r="11" spans="1:7">
      <c r="A11" s="84" t="s">
        <v>107</v>
      </c>
      <c r="B11" s="84">
        <v>192</v>
      </c>
      <c r="C11" s="84">
        <v>251</v>
      </c>
      <c r="D11" s="84">
        <v>153</v>
      </c>
      <c r="E11" s="84">
        <v>145</v>
      </c>
      <c r="F11" s="84">
        <v>98</v>
      </c>
      <c r="G11" s="84">
        <v>0</v>
      </c>
    </row>
    <row r="12" spans="1:7">
      <c r="A12" s="84" t="s">
        <v>106</v>
      </c>
      <c r="B12" s="84">
        <v>205</v>
      </c>
      <c r="C12" s="84">
        <v>280</v>
      </c>
      <c r="D12" s="84">
        <v>195</v>
      </c>
      <c r="E12" s="84">
        <v>150</v>
      </c>
      <c r="F12" s="84">
        <v>102</v>
      </c>
      <c r="G12" s="84"/>
    </row>
    <row r="13" spans="1:7">
      <c r="A13" s="84" t="s">
        <v>105</v>
      </c>
      <c r="B13" s="84">
        <v>230</v>
      </c>
      <c r="C13" s="84">
        <v>345</v>
      </c>
      <c r="D13" s="84">
        <v>230</v>
      </c>
      <c r="E13" s="84">
        <v>212</v>
      </c>
      <c r="F13" s="84"/>
      <c r="G13" s="84"/>
    </row>
    <row r="14" spans="1:7">
      <c r="A14" s="84" t="s">
        <v>104</v>
      </c>
      <c r="B14" s="84">
        <v>288</v>
      </c>
      <c r="C14" s="84">
        <v>410</v>
      </c>
      <c r="D14" s="84">
        <v>275</v>
      </c>
      <c r="E14" s="84"/>
      <c r="F14" s="84"/>
      <c r="G14" s="84"/>
    </row>
    <row r="15" spans="1:7">
      <c r="A15" s="84" t="s">
        <v>103</v>
      </c>
      <c r="B15" s="84">
        <v>398</v>
      </c>
      <c r="C15" s="84">
        <v>563</v>
      </c>
      <c r="D15" s="84"/>
      <c r="E15" s="84"/>
      <c r="F15" s="84"/>
      <c r="G15" s="84"/>
    </row>
    <row r="16" spans="1:7">
      <c r="A16" s="84" t="s">
        <v>102</v>
      </c>
      <c r="B16" s="84">
        <v>530</v>
      </c>
      <c r="C16" s="84"/>
      <c r="D16" s="84"/>
      <c r="E16" s="84"/>
      <c r="F16" s="84"/>
      <c r="G16" s="84"/>
    </row>
    <row r="18" spans="1:7">
      <c r="A18" s="126" t="s">
        <v>159</v>
      </c>
      <c r="B18" s="126"/>
      <c r="C18" s="126"/>
    </row>
    <row r="19" spans="1:7">
      <c r="B19" s="126" t="s">
        <v>114</v>
      </c>
      <c r="C19" s="126"/>
      <c r="D19" s="126"/>
      <c r="E19" s="126"/>
      <c r="F19" s="126"/>
      <c r="G19" s="126"/>
    </row>
    <row r="20" spans="1:7">
      <c r="A20" s="84"/>
      <c r="B20" s="84" t="s">
        <v>113</v>
      </c>
      <c r="C20" s="84" t="s">
        <v>112</v>
      </c>
      <c r="D20" s="84" t="s">
        <v>111</v>
      </c>
      <c r="E20" s="84" t="s">
        <v>110</v>
      </c>
      <c r="F20" s="84" t="s">
        <v>109</v>
      </c>
      <c r="G20" s="84" t="s">
        <v>108</v>
      </c>
    </row>
    <row r="21" spans="1:7">
      <c r="A21" s="84" t="s">
        <v>107</v>
      </c>
      <c r="B21" s="84">
        <v>192</v>
      </c>
      <c r="C21" s="84">
        <f>B11+C11</f>
        <v>443</v>
      </c>
      <c r="D21" s="84">
        <f>SUM(B11:D11)</f>
        <v>596</v>
      </c>
      <c r="E21" s="84">
        <f>SUM(B11:E11)</f>
        <v>741</v>
      </c>
      <c r="F21" s="84">
        <f>SUM(B11:F11)</f>
        <v>839</v>
      </c>
      <c r="G21" s="84">
        <f>SUM(B11:G11)</f>
        <v>839</v>
      </c>
    </row>
    <row r="22" spans="1:7">
      <c r="A22" s="84" t="s">
        <v>106</v>
      </c>
      <c r="B22" s="84">
        <v>205</v>
      </c>
      <c r="C22" s="84">
        <f>B12+C12</f>
        <v>485</v>
      </c>
      <c r="D22" s="84">
        <f>SUM(B12:D12)</f>
        <v>680</v>
      </c>
      <c r="E22" s="84">
        <f>SUM(B12:E12)</f>
        <v>830</v>
      </c>
      <c r="F22" s="84">
        <f>SUM(B12:F12)</f>
        <v>932</v>
      </c>
      <c r="G22" s="84"/>
    </row>
    <row r="23" spans="1:7">
      <c r="A23" s="84" t="s">
        <v>105</v>
      </c>
      <c r="B23" s="84">
        <v>230</v>
      </c>
      <c r="C23" s="84">
        <f>B13+C13</f>
        <v>575</v>
      </c>
      <c r="D23" s="84">
        <f>SUM(B13:D13)</f>
        <v>805</v>
      </c>
      <c r="E23" s="84">
        <f>SUM(B13:E13)</f>
        <v>1017</v>
      </c>
      <c r="F23" s="84"/>
      <c r="G23" s="84"/>
    </row>
    <row r="24" spans="1:7">
      <c r="A24" s="84" t="s">
        <v>104</v>
      </c>
      <c r="B24" s="84">
        <v>288</v>
      </c>
      <c r="C24" s="84">
        <f>B14+C14</f>
        <v>698</v>
      </c>
      <c r="D24" s="84">
        <f>SUM(B14:D14)</f>
        <v>973</v>
      </c>
      <c r="E24" s="84"/>
      <c r="F24" s="84"/>
      <c r="G24" s="84"/>
    </row>
    <row r="25" spans="1:7">
      <c r="A25" s="84" t="s">
        <v>103</v>
      </c>
      <c r="B25" s="84">
        <v>398</v>
      </c>
      <c r="C25" s="84">
        <f>B15+C15</f>
        <v>961</v>
      </c>
      <c r="D25" s="84"/>
      <c r="E25" s="84"/>
      <c r="F25" s="84"/>
      <c r="G25" s="84"/>
    </row>
    <row r="26" spans="1:7">
      <c r="A26" s="84" t="s">
        <v>102</v>
      </c>
      <c r="B26" s="84">
        <v>530</v>
      </c>
      <c r="C26" s="84"/>
      <c r="D26" s="84"/>
      <c r="E26" s="84"/>
      <c r="F26" s="84"/>
      <c r="G26" s="84"/>
    </row>
    <row r="28" spans="1:7">
      <c r="A28" s="126" t="s">
        <v>158</v>
      </c>
      <c r="B28" s="126"/>
      <c r="C28" s="126"/>
    </row>
    <row r="29" spans="1:7">
      <c r="B29" s="126" t="s">
        <v>157</v>
      </c>
      <c r="C29" s="126"/>
      <c r="D29" s="126"/>
      <c r="E29" s="126"/>
      <c r="F29" s="126"/>
      <c r="G29" s="126"/>
    </row>
    <row r="30" spans="1:7">
      <c r="A30" s="84"/>
      <c r="B30" s="127" t="s">
        <v>156</v>
      </c>
      <c r="C30" s="127" t="s">
        <v>155</v>
      </c>
      <c r="D30" s="127" t="s">
        <v>154</v>
      </c>
      <c r="E30" s="127" t="s">
        <v>153</v>
      </c>
      <c r="F30" s="127" t="s">
        <v>152</v>
      </c>
      <c r="G30" s="84"/>
    </row>
    <row r="31" spans="1:7">
      <c r="A31" s="84" t="s">
        <v>107</v>
      </c>
      <c r="B31" s="128">
        <f>C21/B21</f>
        <v>2.3072916666666665</v>
      </c>
      <c r="C31" s="128">
        <f>D21/C21</f>
        <v>1.345372460496614</v>
      </c>
      <c r="D31" s="128">
        <f>E21/D21</f>
        <v>1.2432885906040267</v>
      </c>
      <c r="E31" s="128">
        <f>F21/E21</f>
        <v>1.1322537112010795</v>
      </c>
      <c r="F31" s="128">
        <f>G21/F21</f>
        <v>1</v>
      </c>
      <c r="G31" s="84"/>
    </row>
    <row r="32" spans="1:7">
      <c r="A32" s="84" t="s">
        <v>106</v>
      </c>
      <c r="B32" s="128">
        <f>C22/B22</f>
        <v>2.3658536585365852</v>
      </c>
      <c r="C32" s="128">
        <f>D22/C22</f>
        <v>1.402061855670103</v>
      </c>
      <c r="D32" s="128">
        <f>E22/D22</f>
        <v>1.2205882352941178</v>
      </c>
      <c r="E32" s="128">
        <f>F22/E22</f>
        <v>1.1228915662650603</v>
      </c>
      <c r="F32" s="128"/>
      <c r="G32" s="84"/>
    </row>
    <row r="33" spans="1:7">
      <c r="A33" s="84" t="s">
        <v>105</v>
      </c>
      <c r="B33" s="128">
        <f>C23/B23</f>
        <v>2.5</v>
      </c>
      <c r="C33" s="128">
        <f>D23/C23</f>
        <v>1.4</v>
      </c>
      <c r="D33" s="128">
        <f>E23/D23</f>
        <v>1.2633540372670808</v>
      </c>
      <c r="E33" s="128"/>
      <c r="F33" s="128"/>
      <c r="G33" s="84"/>
    </row>
    <row r="34" spans="1:7">
      <c r="A34" s="84" t="s">
        <v>104</v>
      </c>
      <c r="B34" s="128">
        <f>C24/B24</f>
        <v>2.4236111111111112</v>
      </c>
      <c r="C34" s="128">
        <f>D24/C24</f>
        <v>1.3939828080229226</v>
      </c>
      <c r="D34" s="128"/>
      <c r="E34" s="128"/>
      <c r="F34" s="128"/>
      <c r="G34" s="84"/>
    </row>
    <row r="35" spans="1:7">
      <c r="A35" s="84" t="s">
        <v>103</v>
      </c>
      <c r="B35" s="128">
        <f>C25/B25</f>
        <v>2.4145728643216082</v>
      </c>
      <c r="C35" s="128"/>
      <c r="D35" s="128"/>
      <c r="E35" s="128"/>
      <c r="F35" s="128"/>
      <c r="G35" s="84"/>
    </row>
    <row r="36" spans="1:7">
      <c r="A36" s="84" t="s">
        <v>151</v>
      </c>
      <c r="B36" s="128">
        <f>AVERAGE(B31:B35)</f>
        <v>2.4022658601271942</v>
      </c>
      <c r="C36" s="128">
        <f>AVERAGE(C31:C34)</f>
        <v>1.3853542810474098</v>
      </c>
      <c r="D36" s="128">
        <f>AVERAGE(D31:D33)</f>
        <v>1.2424102877217418</v>
      </c>
      <c r="E36" s="128">
        <f>AVERAGE(E31:E32)</f>
        <v>1.1275726387330698</v>
      </c>
      <c r="F36" s="128">
        <f>F31</f>
        <v>1</v>
      </c>
      <c r="G36" s="84"/>
    </row>
    <row r="37" spans="1:7">
      <c r="A37" s="84" t="s">
        <v>150</v>
      </c>
      <c r="B37" s="128">
        <f>SUM(C21:C25)/SUM(B21:B25)</f>
        <v>2.408225437928408</v>
      </c>
      <c r="C37" s="128">
        <f>SUM(D21:D24)/SUM(C21:C24)</f>
        <v>1.3875511131303953</v>
      </c>
      <c r="D37" s="128">
        <f>SUM(E21:E23)/SUM(D21:D23)</f>
        <v>1.2436328688130707</v>
      </c>
      <c r="E37" s="128">
        <f>SUM(F21:F22)/SUM(E21:E22)</f>
        <v>1.1273074474856779</v>
      </c>
      <c r="F37" s="128">
        <f>F36</f>
        <v>1</v>
      </c>
    </row>
    <row r="39" spans="1:7">
      <c r="A39" s="79" t="s">
        <v>149</v>
      </c>
      <c r="B39" s="79"/>
      <c r="C39" s="79"/>
      <c r="D39" s="79"/>
      <c r="E39" s="79"/>
    </row>
    <row r="41" spans="1:7">
      <c r="A41" s="13" t="s">
        <v>148</v>
      </c>
      <c r="B41" s="13">
        <v>1</v>
      </c>
      <c r="C41" s="13">
        <v>2</v>
      </c>
      <c r="D41" s="13">
        <v>3</v>
      </c>
      <c r="E41" s="13">
        <v>4</v>
      </c>
      <c r="F41" s="13">
        <v>5</v>
      </c>
    </row>
    <row r="42" spans="1:7">
      <c r="A42" s="13" t="s">
        <v>147</v>
      </c>
      <c r="B42" s="13">
        <f>AVERAGE(B21*(B31-B37)^2,B22*(B32-B37)^2,B23*(B33-B37)^2,B24*(B34-B37)^2,B25*(B35-B37)^2)</f>
        <v>0.86909523251426379</v>
      </c>
      <c r="C42" s="13">
        <f>AVERAGE(C21*(C31-C37)^2,C22*(C32-C37)^2,C23*(C33-C37)^2,C24*(C34-C37)^2)</f>
        <v>0.2520552544321496</v>
      </c>
      <c r="D42" s="13">
        <f>AVERAGE(D21*(D31-D37)^2,D22*(D32-D37)^2,D23*(D33-D37)^2)</f>
        <v>0.22475744803194783</v>
      </c>
      <c r="E42" s="13">
        <f>AVERAGE(E21*(E31-E37)^2,E22*(E32-E37)^2)</f>
        <v>1.7156979803182183E-2</v>
      </c>
      <c r="F42" s="13">
        <f>MIN(D42,E42,E42^2/D42)</f>
        <v>1.3096872141249783E-3</v>
      </c>
    </row>
    <row r="44" spans="1:7">
      <c r="A44" s="79" t="s">
        <v>146</v>
      </c>
      <c r="B44" s="79"/>
      <c r="C44" s="79"/>
      <c r="D44" s="79"/>
    </row>
    <row r="45" spans="1:7">
      <c r="B45" s="126" t="s">
        <v>139</v>
      </c>
      <c r="C45" s="126"/>
      <c r="D45" s="126"/>
      <c r="E45" s="126"/>
      <c r="F45" s="126"/>
      <c r="G45" s="126"/>
    </row>
    <row r="46" spans="1:7">
      <c r="A46" s="84"/>
      <c r="B46" s="84" t="s">
        <v>113</v>
      </c>
      <c r="C46" s="84" t="s">
        <v>112</v>
      </c>
      <c r="D46" s="84" t="s">
        <v>111</v>
      </c>
      <c r="E46" s="84" t="s">
        <v>110</v>
      </c>
      <c r="F46" s="84" t="s">
        <v>109</v>
      </c>
      <c r="G46" s="84" t="s">
        <v>108</v>
      </c>
    </row>
    <row r="47" spans="1:7">
      <c r="A47" s="84" t="s">
        <v>107</v>
      </c>
      <c r="B47" s="84">
        <v>192</v>
      </c>
      <c r="C47" s="84">
        <v>443</v>
      </c>
      <c r="D47" s="84">
        <v>596</v>
      </c>
      <c r="E47" s="84">
        <v>741</v>
      </c>
      <c r="F47" s="84">
        <v>839</v>
      </c>
      <c r="G47" s="84">
        <v>839</v>
      </c>
    </row>
    <row r="48" spans="1:7">
      <c r="A48" s="84" t="s">
        <v>106</v>
      </c>
      <c r="B48" s="84">
        <v>205</v>
      </c>
      <c r="C48" s="84">
        <v>485</v>
      </c>
      <c r="D48" s="84">
        <v>680</v>
      </c>
      <c r="E48" s="84">
        <v>830</v>
      </c>
      <c r="F48" s="84">
        <v>932</v>
      </c>
      <c r="G48" s="84">
        <f>F48</f>
        <v>932</v>
      </c>
    </row>
    <row r="49" spans="1:9">
      <c r="A49" s="84" t="s">
        <v>105</v>
      </c>
      <c r="B49" s="84">
        <v>230</v>
      </c>
      <c r="C49" s="84">
        <v>575</v>
      </c>
      <c r="D49" s="84">
        <v>805</v>
      </c>
      <c r="E49" s="84">
        <v>1017</v>
      </c>
      <c r="F49" s="84">
        <f>E49*E37</f>
        <v>1146.4716740929343</v>
      </c>
      <c r="G49" s="84">
        <f>F49</f>
        <v>1146.4716740929343</v>
      </c>
    </row>
    <row r="50" spans="1:9">
      <c r="A50" s="84" t="s">
        <v>104</v>
      </c>
      <c r="B50" s="84">
        <v>288</v>
      </c>
      <c r="C50" s="84">
        <v>698</v>
      </c>
      <c r="D50" s="84">
        <v>973</v>
      </c>
      <c r="E50" s="84">
        <f>D50*D37</f>
        <v>1210.0547813551177</v>
      </c>
      <c r="F50" s="84">
        <f>E50*E37</f>
        <v>1364.1037668872777</v>
      </c>
      <c r="G50" s="84">
        <f>F50</f>
        <v>1364.1037668872777</v>
      </c>
    </row>
    <row r="51" spans="1:9">
      <c r="A51" s="84" t="s">
        <v>103</v>
      </c>
      <c r="B51" s="84">
        <v>398</v>
      </c>
      <c r="C51" s="84">
        <v>961</v>
      </c>
      <c r="D51" s="84">
        <f>C51*C37</f>
        <v>1333.4366197183099</v>
      </c>
      <c r="E51" s="84">
        <f>D51*D37</f>
        <v>1658.3056087606853</v>
      </c>
      <c r="F51" s="84">
        <f>E51*E37</f>
        <v>1869.4202629631914</v>
      </c>
      <c r="G51" s="84">
        <f>F51</f>
        <v>1869.4202629631914</v>
      </c>
    </row>
    <row r="52" spans="1:9">
      <c r="A52" s="84" t="s">
        <v>102</v>
      </c>
      <c r="B52" s="84">
        <v>530</v>
      </c>
      <c r="C52" s="84">
        <f>B52*B37</f>
        <v>1276.3594821020563</v>
      </c>
      <c r="D52" s="84">
        <f>C52*C37</f>
        <v>1771.014020145243</v>
      </c>
      <c r="E52" s="84">
        <f>D52*D37</f>
        <v>2202.4912465813977</v>
      </c>
      <c r="F52" s="84">
        <f>E52*E37</f>
        <v>2482.8847852932245</v>
      </c>
      <c r="G52" s="84">
        <f>F52</f>
        <v>2482.8847852932245</v>
      </c>
    </row>
    <row r="55" spans="1:9">
      <c r="A55" s="79" t="s">
        <v>145</v>
      </c>
      <c r="B55" s="79"/>
      <c r="C55" s="79"/>
      <c r="D55" s="79"/>
      <c r="E55" s="79"/>
    </row>
    <row r="56" spans="1:9">
      <c r="A56" s="13" t="s">
        <v>143</v>
      </c>
      <c r="B56" s="13">
        <v>3</v>
      </c>
      <c r="C56" s="13">
        <v>5</v>
      </c>
    </row>
    <row r="57" spans="1:9">
      <c r="A57" s="13" t="s">
        <v>142</v>
      </c>
      <c r="B57" s="129">
        <f>G49^2*(F42/F37^2/F49+E42/E37^2/E49)</f>
        <v>18.95016775275225</v>
      </c>
      <c r="C57" s="129">
        <f>G51^2*(F42/F37^2/F51+E42/E37^2/E51+D42/D37^2/D51+C42/C37^2/C51)</f>
        <v>887.85415443518798</v>
      </c>
    </row>
    <row r="60" spans="1:9">
      <c r="A60" s="79" t="s">
        <v>144</v>
      </c>
      <c r="B60" s="79"/>
      <c r="C60" s="79"/>
      <c r="D60" s="79"/>
      <c r="E60" s="79"/>
    </row>
    <row r="61" spans="1:9">
      <c r="A61" s="13" t="s">
        <v>143</v>
      </c>
      <c r="B61" s="13">
        <v>3</v>
      </c>
      <c r="C61" s="13">
        <v>5</v>
      </c>
    </row>
    <row r="62" spans="1:9">
      <c r="A62" s="13" t="s">
        <v>142</v>
      </c>
      <c r="B62" s="129">
        <f>G49^2*(F42/F36^2/F49+E42/E36^2/E49)</f>
        <v>18.941961301907817</v>
      </c>
      <c r="C62" s="129">
        <f>G51^2*(F42/F36^2/F51+E42/E36^2/E51+D42/D36^2/D51+C42/C36^2/C51)</f>
        <v>890.10183317233475</v>
      </c>
    </row>
    <row r="64" spans="1:9" ht="15" customHeight="1">
      <c r="A64" s="105" t="s">
        <v>161</v>
      </c>
      <c r="B64" s="105"/>
      <c r="C64" s="105"/>
      <c r="D64" s="105"/>
      <c r="E64" s="105"/>
      <c r="F64" s="105"/>
      <c r="G64" s="105"/>
      <c r="H64" s="105"/>
      <c r="I64" s="105"/>
    </row>
    <row r="65" spans="1:9">
      <c r="A65" s="105"/>
      <c r="B65" s="105"/>
      <c r="C65" s="105"/>
      <c r="D65" s="105"/>
      <c r="E65" s="105"/>
      <c r="F65" s="105"/>
      <c r="G65" s="105"/>
      <c r="H65" s="105"/>
      <c r="I65" s="105"/>
    </row>
  </sheetData>
  <mergeCells count="13">
    <mergeCell ref="A64:I65"/>
    <mergeCell ref="A6:G6"/>
    <mergeCell ref="A39:E39"/>
    <mergeCell ref="A55:E55"/>
    <mergeCell ref="A8:C8"/>
    <mergeCell ref="B9:G9"/>
    <mergeCell ref="A18:C18"/>
    <mergeCell ref="B19:G19"/>
    <mergeCell ref="A28:C28"/>
    <mergeCell ref="B29:G29"/>
    <mergeCell ref="B45:G45"/>
    <mergeCell ref="A44:D44"/>
    <mergeCell ref="A60:E6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02DC-B776-4BEB-A45B-9A0BFF5EBAC3}">
  <sheetPr>
    <tabColor theme="5" tint="0.39997558519241921"/>
  </sheetPr>
  <dimension ref="A1:J50"/>
  <sheetViews>
    <sheetView zoomScaleNormal="100" workbookViewId="0"/>
  </sheetViews>
  <sheetFormatPr defaultColWidth="11.44140625" defaultRowHeight="14.4"/>
  <cols>
    <col min="1" max="16384" width="11.44140625" style="13"/>
  </cols>
  <sheetData>
    <row r="1" spans="1:7">
      <c r="A1" s="21" t="s">
        <v>200</v>
      </c>
    </row>
    <row r="3" spans="1:7">
      <c r="A3" s="14" t="s">
        <v>1</v>
      </c>
    </row>
    <row r="4" spans="1:7">
      <c r="A4" s="13" t="s">
        <v>138</v>
      </c>
    </row>
    <row r="6" spans="1:7" ht="15" customHeight="1">
      <c r="A6" s="105" t="s">
        <v>117</v>
      </c>
      <c r="B6" s="105"/>
      <c r="C6" s="105"/>
      <c r="D6" s="105"/>
      <c r="E6" s="105"/>
      <c r="F6" s="105"/>
      <c r="G6" s="105"/>
    </row>
    <row r="7" spans="1:7" ht="15" customHeight="1">
      <c r="A7" s="16" t="s">
        <v>116</v>
      </c>
      <c r="B7" s="16"/>
      <c r="C7" s="16"/>
      <c r="D7" s="16"/>
      <c r="E7" s="16"/>
      <c r="F7" s="16"/>
      <c r="G7" s="16"/>
    </row>
    <row r="8" spans="1:7">
      <c r="A8" s="16"/>
      <c r="B8" s="16"/>
      <c r="C8" s="16"/>
      <c r="D8" s="16"/>
      <c r="E8" s="16"/>
      <c r="F8" s="16"/>
      <c r="G8" s="16"/>
    </row>
    <row r="9" spans="1:7">
      <c r="A9" s="16"/>
      <c r="B9" s="16"/>
      <c r="C9" s="16"/>
      <c r="D9" s="16"/>
      <c r="E9" s="16"/>
      <c r="F9" s="16"/>
      <c r="G9" s="16"/>
    </row>
    <row r="10" spans="1:7">
      <c r="A10" s="16"/>
      <c r="B10" s="16"/>
      <c r="C10" s="16"/>
      <c r="D10" s="16"/>
      <c r="E10" s="16"/>
      <c r="F10" s="16"/>
      <c r="G10" s="16"/>
    </row>
    <row r="11" spans="1:7">
      <c r="A11" s="16"/>
      <c r="B11" s="16"/>
      <c r="C11" s="16"/>
      <c r="D11" s="16"/>
      <c r="E11" s="16"/>
      <c r="F11" s="16"/>
      <c r="G11" s="16"/>
    </row>
    <row r="12" spans="1:7">
      <c r="A12" s="16"/>
      <c r="B12" s="16"/>
      <c r="C12" s="16"/>
      <c r="D12" s="16"/>
      <c r="E12" s="16"/>
      <c r="F12" s="16"/>
      <c r="G12" s="16"/>
    </row>
    <row r="13" spans="1:7">
      <c r="A13" s="16"/>
      <c r="B13" s="16"/>
      <c r="C13" s="16"/>
      <c r="D13" s="16"/>
      <c r="E13" s="16"/>
      <c r="F13" s="16"/>
      <c r="G13" s="16"/>
    </row>
    <row r="15" spans="1:7" ht="15" thickBot="1">
      <c r="A15" s="15" t="s">
        <v>115</v>
      </c>
      <c r="B15" s="15"/>
      <c r="C15" s="15"/>
    </row>
    <row r="16" spans="1:7">
      <c r="A16" s="106"/>
      <c r="B16" s="107" t="s">
        <v>114</v>
      </c>
      <c r="C16" s="107"/>
      <c r="D16" s="107"/>
      <c r="E16" s="107"/>
      <c r="F16" s="107"/>
      <c r="G16" s="108"/>
    </row>
    <row r="17" spans="1:10">
      <c r="A17" s="109"/>
      <c r="B17" s="20" t="s">
        <v>113</v>
      </c>
      <c r="C17" s="20" t="s">
        <v>112</v>
      </c>
      <c r="D17" s="20" t="s">
        <v>111</v>
      </c>
      <c r="E17" s="20" t="s">
        <v>110</v>
      </c>
      <c r="F17" s="20" t="s">
        <v>109</v>
      </c>
      <c r="G17" s="110" t="s">
        <v>108</v>
      </c>
    </row>
    <row r="18" spans="1:10">
      <c r="A18" s="109" t="s">
        <v>107</v>
      </c>
      <c r="B18" s="20">
        <v>1780</v>
      </c>
      <c r="C18" s="20">
        <v>2673</v>
      </c>
      <c r="D18" s="20">
        <v>2874</v>
      </c>
      <c r="E18" s="20">
        <v>3094</v>
      </c>
      <c r="F18" s="20">
        <v>3157</v>
      </c>
      <c r="G18" s="110">
        <v>3166</v>
      </c>
      <c r="J18" s="111"/>
    </row>
    <row r="19" spans="1:10">
      <c r="A19" s="109" t="s">
        <v>106</v>
      </c>
      <c r="B19" s="20">
        <v>3226</v>
      </c>
      <c r="C19" s="20">
        <v>4219</v>
      </c>
      <c r="D19" s="20">
        <v>4532</v>
      </c>
      <c r="E19" s="20">
        <v>4881</v>
      </c>
      <c r="F19" s="20">
        <v>5144</v>
      </c>
      <c r="G19" s="110"/>
    </row>
    <row r="20" spans="1:10">
      <c r="A20" s="109" t="s">
        <v>105</v>
      </c>
      <c r="B20" s="20">
        <v>3652</v>
      </c>
      <c r="C20" s="20">
        <v>4989</v>
      </c>
      <c r="D20" s="20">
        <v>5762</v>
      </c>
      <c r="E20" s="20">
        <v>6436</v>
      </c>
      <c r="F20" s="20"/>
      <c r="G20" s="110"/>
    </row>
    <row r="21" spans="1:10">
      <c r="A21" s="109" t="s">
        <v>104</v>
      </c>
      <c r="B21" s="20">
        <v>2723</v>
      </c>
      <c r="C21" s="20">
        <v>4301</v>
      </c>
      <c r="D21" s="20">
        <v>5526</v>
      </c>
      <c r="E21" s="20"/>
      <c r="F21" s="20"/>
      <c r="G21" s="110"/>
    </row>
    <row r="22" spans="1:10">
      <c r="A22" s="109" t="s">
        <v>103</v>
      </c>
      <c r="B22" s="20">
        <v>2923</v>
      </c>
      <c r="C22" s="20">
        <v>4666</v>
      </c>
      <c r="D22" s="20"/>
      <c r="E22" s="20"/>
      <c r="F22" s="20"/>
      <c r="G22" s="110"/>
    </row>
    <row r="23" spans="1:10" ht="15" thickBot="1">
      <c r="A23" s="112" t="s">
        <v>102</v>
      </c>
      <c r="B23" s="113">
        <v>2990</v>
      </c>
      <c r="C23" s="113"/>
      <c r="D23" s="113"/>
      <c r="E23" s="113"/>
      <c r="F23" s="113"/>
      <c r="G23" s="114"/>
    </row>
    <row r="26" spans="1:10" ht="15" thickBot="1">
      <c r="A26" s="15" t="s">
        <v>101</v>
      </c>
      <c r="B26" s="15"/>
      <c r="C26" s="15"/>
    </row>
    <row r="27" spans="1:10">
      <c r="A27" s="115" t="e" vm="1">
        <v>#VALUE!</v>
      </c>
      <c r="B27" s="116"/>
      <c r="C27" s="116"/>
      <c r="D27" s="116"/>
      <c r="E27" s="116"/>
      <c r="F27" s="116"/>
      <c r="G27" s="117"/>
    </row>
    <row r="28" spans="1:10">
      <c r="A28" s="118"/>
      <c r="B28" s="119"/>
      <c r="C28" s="119"/>
      <c r="D28" s="119"/>
      <c r="E28" s="119"/>
      <c r="F28" s="119"/>
      <c r="G28" s="120"/>
    </row>
    <row r="29" spans="1:10">
      <c r="A29" s="118"/>
      <c r="B29" s="119"/>
      <c r="C29" s="119"/>
      <c r="D29" s="119"/>
      <c r="E29" s="119"/>
      <c r="F29" s="119"/>
      <c r="G29" s="120"/>
    </row>
    <row r="30" spans="1:10">
      <c r="A30" s="118"/>
      <c r="B30" s="119"/>
      <c r="C30" s="119"/>
      <c r="D30" s="119"/>
      <c r="E30" s="119"/>
      <c r="F30" s="119"/>
      <c r="G30" s="120"/>
    </row>
    <row r="31" spans="1:10">
      <c r="A31" s="118"/>
      <c r="B31" s="119"/>
      <c r="C31" s="119"/>
      <c r="D31" s="119"/>
      <c r="E31" s="119"/>
      <c r="F31" s="119"/>
      <c r="G31" s="120"/>
    </row>
    <row r="32" spans="1:10">
      <c r="A32" s="118"/>
      <c r="B32" s="119"/>
      <c r="C32" s="119"/>
      <c r="D32" s="119"/>
      <c r="E32" s="119"/>
      <c r="F32" s="119"/>
      <c r="G32" s="120"/>
    </row>
    <row r="33" spans="1:7">
      <c r="A33" s="118"/>
      <c r="B33" s="119"/>
      <c r="C33" s="119"/>
      <c r="D33" s="119"/>
      <c r="E33" s="119"/>
      <c r="F33" s="119"/>
      <c r="G33" s="120"/>
    </row>
    <row r="34" spans="1:7">
      <c r="A34" s="118"/>
      <c r="B34" s="119"/>
      <c r="C34" s="119"/>
      <c r="D34" s="119"/>
      <c r="E34" s="119"/>
      <c r="F34" s="119"/>
      <c r="G34" s="120"/>
    </row>
    <row r="35" spans="1:7">
      <c r="A35" s="118"/>
      <c r="B35" s="119"/>
      <c r="C35" s="119"/>
      <c r="D35" s="119"/>
      <c r="E35" s="119"/>
      <c r="F35" s="119"/>
      <c r="G35" s="120"/>
    </row>
    <row r="36" spans="1:7">
      <c r="A36" s="118"/>
      <c r="B36" s="119"/>
      <c r="C36" s="119"/>
      <c r="D36" s="119"/>
      <c r="E36" s="119"/>
      <c r="F36" s="119"/>
      <c r="G36" s="120"/>
    </row>
    <row r="37" spans="1:7">
      <c r="A37" s="118"/>
      <c r="B37" s="119"/>
      <c r="C37" s="119"/>
      <c r="D37" s="119"/>
      <c r="E37" s="119"/>
      <c r="F37" s="119"/>
      <c r="G37" s="120"/>
    </row>
    <row r="38" spans="1:7">
      <c r="A38" s="118"/>
      <c r="B38" s="119"/>
      <c r="C38" s="119"/>
      <c r="D38" s="119"/>
      <c r="E38" s="119"/>
      <c r="F38" s="119"/>
      <c r="G38" s="120"/>
    </row>
    <row r="39" spans="1:7">
      <c r="A39" s="118"/>
      <c r="B39" s="119"/>
      <c r="C39" s="119"/>
      <c r="D39" s="119"/>
      <c r="E39" s="119"/>
      <c r="F39" s="119"/>
      <c r="G39" s="120"/>
    </row>
    <row r="40" spans="1:7">
      <c r="A40" s="118"/>
      <c r="B40" s="119"/>
      <c r="C40" s="119"/>
      <c r="D40" s="119"/>
      <c r="E40" s="119"/>
      <c r="F40" s="119"/>
      <c r="G40" s="120"/>
    </row>
    <row r="41" spans="1:7">
      <c r="A41" s="118"/>
      <c r="B41" s="119"/>
      <c r="C41" s="119"/>
      <c r="D41" s="119"/>
      <c r="E41" s="119"/>
      <c r="F41" s="119"/>
      <c r="G41" s="120"/>
    </row>
    <row r="42" spans="1:7">
      <c r="A42" s="118"/>
      <c r="B42" s="119"/>
      <c r="C42" s="119"/>
      <c r="D42" s="119"/>
      <c r="E42" s="119"/>
      <c r="F42" s="119"/>
      <c r="G42" s="120"/>
    </row>
    <row r="43" spans="1:7">
      <c r="A43" s="118"/>
      <c r="B43" s="119"/>
      <c r="C43" s="119"/>
      <c r="D43" s="119"/>
      <c r="E43" s="119"/>
      <c r="F43" s="119"/>
      <c r="G43" s="120"/>
    </row>
    <row r="44" spans="1:7">
      <c r="A44" s="118"/>
      <c r="B44" s="119"/>
      <c r="C44" s="119"/>
      <c r="D44" s="119"/>
      <c r="E44" s="119"/>
      <c r="F44" s="119"/>
      <c r="G44" s="120"/>
    </row>
    <row r="45" spans="1:7">
      <c r="A45" s="118"/>
      <c r="B45" s="119"/>
      <c r="C45" s="119"/>
      <c r="D45" s="119"/>
      <c r="E45" s="119"/>
      <c r="F45" s="119"/>
      <c r="G45" s="120"/>
    </row>
    <row r="46" spans="1:7">
      <c r="A46" s="118"/>
      <c r="B46" s="119"/>
      <c r="C46" s="119"/>
      <c r="D46" s="119"/>
      <c r="E46" s="119"/>
      <c r="F46" s="119"/>
      <c r="G46" s="120"/>
    </row>
    <row r="47" spans="1:7">
      <c r="A47" s="118"/>
      <c r="B47" s="119"/>
      <c r="C47" s="119"/>
      <c r="D47" s="119"/>
      <c r="E47" s="119"/>
      <c r="F47" s="119"/>
      <c r="G47" s="120"/>
    </row>
    <row r="48" spans="1:7">
      <c r="A48" s="118"/>
      <c r="B48" s="119"/>
      <c r="C48" s="119"/>
      <c r="D48" s="119"/>
      <c r="E48" s="119"/>
      <c r="F48" s="119"/>
      <c r="G48" s="120"/>
    </row>
    <row r="49" spans="1:7">
      <c r="A49" s="118"/>
      <c r="B49" s="119"/>
      <c r="C49" s="119"/>
      <c r="D49" s="119"/>
      <c r="E49" s="119"/>
      <c r="F49" s="119"/>
      <c r="G49" s="120"/>
    </row>
    <row r="50" spans="1:7" ht="15" thickBot="1">
      <c r="A50" s="121"/>
      <c r="B50" s="122"/>
      <c r="C50" s="122"/>
      <c r="D50" s="122"/>
      <c r="E50" s="122"/>
      <c r="F50" s="122"/>
      <c r="G50" s="123"/>
    </row>
  </sheetData>
  <mergeCells count="6">
    <mergeCell ref="A26:C26"/>
    <mergeCell ref="A27:G50"/>
    <mergeCell ref="B16:G16"/>
    <mergeCell ref="A6:G6"/>
    <mergeCell ref="A15:C15"/>
    <mergeCell ref="A7:G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C66A1-B4E7-4E29-87B8-5DA3223998BB}">
  <sheetPr>
    <tabColor theme="9" tint="0.59999389629810485"/>
  </sheetPr>
  <dimension ref="A1:I34"/>
  <sheetViews>
    <sheetView zoomScaleNormal="100" workbookViewId="0"/>
  </sheetViews>
  <sheetFormatPr defaultColWidth="8.88671875" defaultRowHeight="14.4"/>
  <cols>
    <col min="1" max="1" width="11.33203125" style="13" customWidth="1"/>
    <col min="2" max="7" width="8.88671875" style="13"/>
    <col min="8" max="8" width="12.5546875" style="13" customWidth="1"/>
    <col min="9" max="16384" width="8.88671875" style="13"/>
  </cols>
  <sheetData>
    <row r="1" spans="1:9">
      <c r="A1" s="21" t="s">
        <v>200</v>
      </c>
    </row>
    <row r="3" spans="1:9">
      <c r="A3" s="14" t="s">
        <v>1</v>
      </c>
    </row>
    <row r="4" spans="1:9">
      <c r="A4" s="13" t="s">
        <v>138</v>
      </c>
    </row>
    <row r="6" spans="1:9" ht="15" customHeight="1">
      <c r="A6" s="77" t="s">
        <v>137</v>
      </c>
      <c r="B6" s="78"/>
      <c r="C6" s="78"/>
      <c r="D6" s="78"/>
      <c r="E6" s="78"/>
      <c r="F6" s="78"/>
      <c r="G6" s="78"/>
      <c r="H6" s="78"/>
      <c r="I6" s="78"/>
    </row>
    <row r="7" spans="1:9">
      <c r="A7" s="77"/>
      <c r="B7" s="78"/>
      <c r="C7" s="78"/>
      <c r="D7" s="78"/>
      <c r="E7" s="78"/>
      <c r="F7" s="78"/>
      <c r="G7" s="78"/>
      <c r="H7" s="78"/>
      <c r="I7" s="78"/>
    </row>
    <row r="8" spans="1:9">
      <c r="A8" s="77"/>
      <c r="B8" s="78"/>
      <c r="C8" s="78"/>
      <c r="D8" s="78"/>
      <c r="E8" s="78"/>
      <c r="F8" s="78"/>
      <c r="G8" s="78"/>
      <c r="H8" s="78"/>
      <c r="I8" s="78"/>
    </row>
    <row r="9" spans="1:9">
      <c r="A9" s="77"/>
      <c r="B9" s="78"/>
      <c r="C9" s="78"/>
      <c r="D9" s="78"/>
      <c r="E9" s="78"/>
      <c r="F9" s="78"/>
      <c r="G9" s="78"/>
      <c r="H9" s="78"/>
      <c r="I9" s="78"/>
    </row>
    <row r="10" spans="1:9">
      <c r="A10" s="77"/>
      <c r="B10" s="78"/>
      <c r="C10" s="78"/>
      <c r="D10" s="78"/>
      <c r="E10" s="78"/>
      <c r="F10" s="78"/>
      <c r="G10" s="78"/>
      <c r="H10" s="78"/>
      <c r="I10" s="78"/>
    </row>
    <row r="12" spans="1:9" ht="15" thickBot="1">
      <c r="A12" s="79" t="s">
        <v>136</v>
      </c>
      <c r="B12" s="79"/>
      <c r="C12" s="79"/>
    </row>
    <row r="13" spans="1:9">
      <c r="A13" s="80" t="s">
        <v>135</v>
      </c>
      <c r="B13" s="81" t="s">
        <v>134</v>
      </c>
      <c r="C13" s="82" t="s">
        <v>133</v>
      </c>
    </row>
    <row r="14" spans="1:9">
      <c r="A14" s="83" t="s">
        <v>132</v>
      </c>
      <c r="B14" s="84">
        <v>7.4061000000000003</v>
      </c>
      <c r="C14" s="85">
        <v>0.1938</v>
      </c>
    </row>
    <row r="15" spans="1:9">
      <c r="A15" s="83" t="s">
        <v>131</v>
      </c>
      <c r="B15" s="84">
        <v>0.48820000000000002</v>
      </c>
      <c r="C15" s="85">
        <v>0.23139999999999999</v>
      </c>
    </row>
    <row r="16" spans="1:9">
      <c r="A16" s="83" t="s">
        <v>130</v>
      </c>
      <c r="B16" s="84">
        <v>0.75229999999999997</v>
      </c>
      <c r="C16" s="85">
        <v>0.2235</v>
      </c>
    </row>
    <row r="17" spans="1:9">
      <c r="A17" s="83" t="s">
        <v>129</v>
      </c>
      <c r="B17" s="84">
        <v>0.69010000000000005</v>
      </c>
      <c r="C17" s="85">
        <v>0.23089999999999999</v>
      </c>
    </row>
    <row r="18" spans="1:9">
      <c r="A18" s="83" t="s">
        <v>128</v>
      </c>
      <c r="B18" s="84">
        <v>0.66520000000000001</v>
      </c>
      <c r="C18" s="85">
        <v>0.2402</v>
      </c>
    </row>
    <row r="19" spans="1:9">
      <c r="A19" s="83" t="s">
        <v>127</v>
      </c>
      <c r="B19" s="84">
        <v>0.59689999999999999</v>
      </c>
      <c r="C19" s="85">
        <v>0.26939999999999997</v>
      </c>
    </row>
    <row r="20" spans="1:9">
      <c r="A20" s="83" t="s">
        <v>126</v>
      </c>
      <c r="B20" s="84">
        <v>-0.78200000000000003</v>
      </c>
      <c r="C20" s="85">
        <v>0.1527</v>
      </c>
    </row>
    <row r="21" spans="1:9">
      <c r="A21" s="83" t="s">
        <v>125</v>
      </c>
      <c r="B21" s="84">
        <v>-1.4861</v>
      </c>
      <c r="C21" s="85">
        <v>0.22470000000000001</v>
      </c>
    </row>
    <row r="22" spans="1:9">
      <c r="A22" s="83" t="s">
        <v>124</v>
      </c>
      <c r="B22" s="84">
        <v>-1.8391999999999999</v>
      </c>
      <c r="C22" s="85">
        <v>0.30890000000000001</v>
      </c>
    </row>
    <row r="23" spans="1:9">
      <c r="A23" s="83" t="s">
        <v>123</v>
      </c>
      <c r="B23" s="84">
        <v>-2.5859000000000001</v>
      </c>
      <c r="C23" s="85">
        <v>0.58160000000000001</v>
      </c>
    </row>
    <row r="24" spans="1:9">
      <c r="A24" s="83" t="s">
        <v>122</v>
      </c>
      <c r="B24" s="84">
        <v>-5.2088999999999999</v>
      </c>
      <c r="C24" s="85">
        <v>3.4169999999999998</v>
      </c>
    </row>
    <row r="25" spans="1:9" ht="15" thickBot="1">
      <c r="A25" s="86" t="s">
        <v>121</v>
      </c>
      <c r="B25" s="87">
        <v>104.74590000000001</v>
      </c>
      <c r="C25" s="88"/>
    </row>
    <row r="27" spans="1:9" ht="15" thickBot="1">
      <c r="A27" s="79" t="s">
        <v>120</v>
      </c>
      <c r="B27" s="79"/>
      <c r="C27" s="79"/>
      <c r="D27" s="79"/>
      <c r="E27" s="79"/>
    </row>
    <row r="28" spans="1:9">
      <c r="A28" s="89"/>
      <c r="B28" s="90" t="s">
        <v>113</v>
      </c>
      <c r="C28" s="90" t="s">
        <v>112</v>
      </c>
      <c r="D28" s="90" t="s">
        <v>111</v>
      </c>
      <c r="E28" s="90" t="s">
        <v>110</v>
      </c>
      <c r="F28" s="90" t="s">
        <v>109</v>
      </c>
      <c r="G28" s="90" t="s">
        <v>108</v>
      </c>
      <c r="H28" s="91" t="s">
        <v>119</v>
      </c>
      <c r="I28" s="92"/>
    </row>
    <row r="29" spans="1:9" ht="15" thickBot="1">
      <c r="A29" s="93" t="s">
        <v>105</v>
      </c>
      <c r="B29" s="94"/>
      <c r="C29" s="94"/>
      <c r="D29" s="94"/>
      <c r="E29" s="94"/>
      <c r="F29" s="94">
        <f>EXP(B14+B16+B23)</f>
        <v>263.09100527878917</v>
      </c>
      <c r="G29" s="94">
        <f>EXP(B14+B16+B24)</f>
        <v>19.096403139213766</v>
      </c>
      <c r="H29" s="95">
        <f>SUM(F29:G29)</f>
        <v>282.18740841800292</v>
      </c>
      <c r="I29" s="92"/>
    </row>
    <row r="30" spans="1:9">
      <c r="A30" s="92"/>
      <c r="B30" s="92"/>
      <c r="C30" s="92"/>
      <c r="D30" s="92"/>
      <c r="E30" s="92"/>
      <c r="F30" s="92"/>
      <c r="G30" s="92"/>
      <c r="H30" s="92"/>
      <c r="I30" s="92"/>
    </row>
    <row r="31" spans="1:9" ht="15" thickBot="1">
      <c r="A31" s="96" t="s">
        <v>118</v>
      </c>
      <c r="B31" s="96"/>
      <c r="C31" s="96"/>
      <c r="D31" s="96"/>
      <c r="E31" s="92"/>
      <c r="F31" s="92"/>
      <c r="G31" s="92"/>
      <c r="H31" s="92"/>
      <c r="I31" s="92"/>
    </row>
    <row r="32" spans="1:9">
      <c r="A32" s="97"/>
      <c r="B32" s="98" t="s">
        <v>113</v>
      </c>
      <c r="C32" s="98" t="s">
        <v>112</v>
      </c>
      <c r="D32" s="98" t="s">
        <v>111</v>
      </c>
      <c r="E32" s="98" t="s">
        <v>110</v>
      </c>
      <c r="F32" s="98" t="s">
        <v>109</v>
      </c>
      <c r="G32" s="99" t="s">
        <v>108</v>
      </c>
      <c r="H32" s="100"/>
      <c r="I32" s="100"/>
    </row>
    <row r="33" spans="1:9" ht="15" thickBot="1">
      <c r="A33" s="101" t="s">
        <v>105</v>
      </c>
      <c r="B33" s="102"/>
      <c r="C33" s="102"/>
      <c r="D33" s="102"/>
      <c r="E33" s="102"/>
      <c r="F33" s="103">
        <f>SQRT(B25*F29+F29^2*(C14^2+C16^2+C23^2))</f>
        <v>238.80561543317089</v>
      </c>
      <c r="G33" s="104">
        <f>SQRT(B25*G29+G29^2*(C14^2+C16^2+C24^2))</f>
        <v>79.309896195835236</v>
      </c>
      <c r="H33" s="100"/>
      <c r="I33" s="100"/>
    </row>
    <row r="34" spans="1:9">
      <c r="A34" s="92"/>
      <c r="B34" s="92"/>
      <c r="C34" s="92"/>
      <c r="D34" s="92"/>
      <c r="E34" s="92"/>
      <c r="F34" s="92"/>
      <c r="G34" s="92"/>
      <c r="H34" s="92"/>
      <c r="I34" s="92"/>
    </row>
  </sheetData>
  <mergeCells count="4">
    <mergeCell ref="A27:E27"/>
    <mergeCell ref="A31:D31"/>
    <mergeCell ref="A12:C12"/>
    <mergeCell ref="A6:I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65AA8-4532-4913-BBDE-1817EB1848E9}">
  <sheetPr>
    <tabColor theme="5" tint="0.39997558519241921"/>
  </sheetPr>
  <dimension ref="A1:I19"/>
  <sheetViews>
    <sheetView workbookViewId="0"/>
  </sheetViews>
  <sheetFormatPr defaultRowHeight="14.4"/>
  <cols>
    <col min="1" max="6" width="8.88671875" style="21"/>
    <col min="7" max="7" width="10.5546875" style="21" customWidth="1"/>
    <col min="8" max="16384" width="8.88671875" style="21"/>
  </cols>
  <sheetData>
    <row r="1" spans="1:9">
      <c r="A1" s="21" t="s">
        <v>199</v>
      </c>
    </row>
    <row r="3" spans="1:9">
      <c r="A3" s="22" t="s">
        <v>1</v>
      </c>
    </row>
    <row r="4" spans="1:9">
      <c r="A4" s="21" t="s">
        <v>79</v>
      </c>
    </row>
    <row r="6" spans="1:9">
      <c r="A6" s="21" t="s">
        <v>60</v>
      </c>
      <c r="H6" s="68">
        <v>560000</v>
      </c>
      <c r="I6" s="21" t="s">
        <v>61</v>
      </c>
    </row>
    <row r="7" spans="1:9">
      <c r="A7" s="21" t="s">
        <v>62</v>
      </c>
      <c r="H7" s="69">
        <v>0.7</v>
      </c>
      <c r="I7" s="21" t="s">
        <v>61</v>
      </c>
    </row>
    <row r="8" spans="1:9">
      <c r="A8" s="21" t="s">
        <v>63</v>
      </c>
      <c r="H8" s="68">
        <v>20000</v>
      </c>
      <c r="I8" s="21" t="s">
        <v>61</v>
      </c>
    </row>
    <row r="10" spans="1:9">
      <c r="A10" s="21" t="s">
        <v>64</v>
      </c>
      <c r="D10" s="68">
        <v>280000</v>
      </c>
      <c r="E10" s="21" t="s">
        <v>61</v>
      </c>
    </row>
    <row r="12" spans="1:9">
      <c r="A12" s="21" t="s">
        <v>190</v>
      </c>
    </row>
    <row r="13" spans="1:9">
      <c r="A13" s="21" t="s">
        <v>65</v>
      </c>
    </row>
    <row r="15" spans="1:9">
      <c r="A15" s="75" t="s">
        <v>191</v>
      </c>
      <c r="B15" s="75"/>
      <c r="C15" s="75"/>
      <c r="D15" s="75"/>
      <c r="E15" s="75"/>
      <c r="F15" s="75"/>
      <c r="G15" s="75"/>
      <c r="H15" s="56">
        <f>D10</f>
        <v>280000</v>
      </c>
      <c r="I15" s="21" t="s">
        <v>61</v>
      </c>
    </row>
    <row r="17" spans="1:9">
      <c r="A17" s="76" t="s">
        <v>195</v>
      </c>
      <c r="B17" s="76"/>
      <c r="C17" s="76"/>
      <c r="D17" s="76"/>
      <c r="E17" s="76"/>
      <c r="F17" s="76"/>
      <c r="G17" s="76"/>
      <c r="H17" s="56">
        <v>360000</v>
      </c>
      <c r="I17" s="21" t="s">
        <v>61</v>
      </c>
    </row>
    <row r="19" spans="1:9">
      <c r="A19" s="75" t="s">
        <v>196</v>
      </c>
      <c r="B19" s="75"/>
      <c r="C19" s="75"/>
      <c r="D19" s="75"/>
      <c r="E19" s="75"/>
      <c r="F19" s="75"/>
      <c r="G19" s="75"/>
      <c r="H19" s="56">
        <v>450000</v>
      </c>
      <c r="I19" s="21" t="s">
        <v>61</v>
      </c>
    </row>
  </sheetData>
  <mergeCells count="3">
    <mergeCell ref="A15:G15"/>
    <mergeCell ref="A17:G17"/>
    <mergeCell ref="A19:G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43C89-6DDD-472F-8B2F-615A43E5FE83}">
  <sheetPr>
    <tabColor theme="9" tint="0.59999389629810485"/>
  </sheetPr>
  <dimension ref="A1:J45"/>
  <sheetViews>
    <sheetView workbookViewId="0"/>
  </sheetViews>
  <sheetFormatPr defaultRowHeight="14.4"/>
  <cols>
    <col min="1" max="1" width="8.88671875" style="21"/>
    <col min="2" max="2" width="14.88671875" style="21" customWidth="1"/>
    <col min="3" max="4" width="8.88671875" style="21"/>
    <col min="5" max="5" width="10" style="21" customWidth="1"/>
    <col min="6" max="6" width="8.88671875" style="21"/>
    <col min="7" max="7" width="13.109375" style="21" customWidth="1"/>
    <col min="8" max="16384" width="8.88671875" style="21"/>
  </cols>
  <sheetData>
    <row r="1" spans="1:9">
      <c r="A1" s="21" t="s">
        <v>199</v>
      </c>
    </row>
    <row r="3" spans="1:9">
      <c r="A3" s="22" t="s">
        <v>1</v>
      </c>
    </row>
    <row r="4" spans="1:9">
      <c r="A4" s="21" t="s">
        <v>79</v>
      </c>
    </row>
    <row r="6" spans="1:9">
      <c r="A6" s="21" t="s">
        <v>60</v>
      </c>
      <c r="H6" s="68">
        <v>560000</v>
      </c>
      <c r="I6" s="21" t="s">
        <v>61</v>
      </c>
    </row>
    <row r="7" spans="1:9">
      <c r="A7" s="21" t="s">
        <v>62</v>
      </c>
      <c r="H7" s="69">
        <v>0.7</v>
      </c>
      <c r="I7" s="21" t="s">
        <v>61</v>
      </c>
    </row>
    <row r="8" spans="1:9">
      <c r="A8" s="21" t="s">
        <v>63</v>
      </c>
      <c r="H8" s="68">
        <v>20000</v>
      </c>
      <c r="I8" s="21" t="s">
        <v>61</v>
      </c>
    </row>
    <row r="10" spans="1:9">
      <c r="A10" s="21" t="s">
        <v>64</v>
      </c>
      <c r="D10" s="68">
        <v>280000</v>
      </c>
      <c r="E10" s="21" t="s">
        <v>61</v>
      </c>
    </row>
    <row r="12" spans="1:9">
      <c r="A12" s="21" t="s">
        <v>190</v>
      </c>
    </row>
    <row r="13" spans="1:9">
      <c r="A13" s="21" t="s">
        <v>65</v>
      </c>
    </row>
    <row r="15" spans="1:9">
      <c r="A15" s="23" t="s">
        <v>191</v>
      </c>
      <c r="G15" s="56">
        <f>D10</f>
        <v>280000</v>
      </c>
      <c r="H15" s="21" t="s">
        <v>61</v>
      </c>
    </row>
    <row r="17" spans="1:10">
      <c r="A17" s="21" t="s">
        <v>66</v>
      </c>
    </row>
    <row r="18" spans="1:10">
      <c r="A18" s="21" t="s">
        <v>67</v>
      </c>
      <c r="I18" s="56">
        <f>H6*H7</f>
        <v>392000</v>
      </c>
    </row>
    <row r="19" spans="1:10">
      <c r="A19" s="21" t="s">
        <v>68</v>
      </c>
      <c r="I19" s="21">
        <f>G15/I18</f>
        <v>0.7142857142857143</v>
      </c>
      <c r="J19" s="21" t="s">
        <v>192</v>
      </c>
    </row>
    <row r="20" spans="1:10">
      <c r="C20" s="21" t="s">
        <v>193</v>
      </c>
      <c r="I20" s="56">
        <f>D10-H8</f>
        <v>260000</v>
      </c>
    </row>
    <row r="22" spans="1:10" ht="15" thickBot="1">
      <c r="A22" s="21" t="s">
        <v>69</v>
      </c>
    </row>
    <row r="23" spans="1:10" ht="15" thickBot="1">
      <c r="A23" s="23" t="s">
        <v>70</v>
      </c>
      <c r="C23" s="21">
        <f>I19</f>
        <v>0.7142857142857143</v>
      </c>
      <c r="D23" s="70" t="s">
        <v>71</v>
      </c>
      <c r="E23" s="56">
        <f>I20</f>
        <v>260000</v>
      </c>
      <c r="F23" s="70" t="s">
        <v>72</v>
      </c>
      <c r="G23" s="71">
        <f>C23*E23</f>
        <v>185714.28571428571</v>
      </c>
    </row>
    <row r="25" spans="1:10" ht="15" thickBot="1">
      <c r="A25" s="21" t="s">
        <v>194</v>
      </c>
    </row>
    <row r="26" spans="1:10" ht="15" thickBot="1">
      <c r="A26" s="23" t="s">
        <v>73</v>
      </c>
      <c r="C26" s="56">
        <f>I20</f>
        <v>260000</v>
      </c>
      <c r="D26" s="70" t="s">
        <v>74</v>
      </c>
      <c r="E26" s="21">
        <f>G23</f>
        <v>185714.28571428571</v>
      </c>
      <c r="F26" s="72" t="s">
        <v>72</v>
      </c>
      <c r="G26" s="71">
        <f>C26-E26</f>
        <v>74285.71428571429</v>
      </c>
    </row>
    <row r="28" spans="1:10">
      <c r="A28" s="23" t="s">
        <v>195</v>
      </c>
      <c r="G28" s="56">
        <v>360000</v>
      </c>
      <c r="H28" s="21" t="s">
        <v>61</v>
      </c>
    </row>
    <row r="30" spans="1:10">
      <c r="A30" s="21" t="s">
        <v>75</v>
      </c>
      <c r="F30" s="56">
        <f>G28</f>
        <v>360000</v>
      </c>
      <c r="G30" s="70" t="s">
        <v>76</v>
      </c>
      <c r="H30" s="56">
        <f>I18</f>
        <v>392000</v>
      </c>
      <c r="I30" s="70" t="s">
        <v>72</v>
      </c>
      <c r="J30" s="21">
        <f>F30/H30</f>
        <v>0.91836734693877553</v>
      </c>
    </row>
    <row r="31" spans="1:10">
      <c r="C31" s="21" t="s">
        <v>193</v>
      </c>
      <c r="I31" s="56">
        <f>D10-H8</f>
        <v>260000</v>
      </c>
    </row>
    <row r="33" spans="1:9" ht="15" thickBot="1">
      <c r="A33" s="21" t="s">
        <v>69</v>
      </c>
    </row>
    <row r="34" spans="1:9" ht="15" thickBot="1">
      <c r="A34" s="23" t="s">
        <v>70</v>
      </c>
      <c r="C34" s="21">
        <f>J30</f>
        <v>0.91836734693877553</v>
      </c>
      <c r="D34" s="70" t="s">
        <v>71</v>
      </c>
      <c r="E34" s="56">
        <f>I31</f>
        <v>260000</v>
      </c>
      <c r="F34" s="70" t="s">
        <v>72</v>
      </c>
      <c r="G34" s="71">
        <f>C34*E34</f>
        <v>238775.51020408163</v>
      </c>
    </row>
    <row r="36" spans="1:9" ht="15" thickBot="1">
      <c r="A36" s="21" t="s">
        <v>194</v>
      </c>
    </row>
    <row r="37" spans="1:9" ht="15" thickBot="1">
      <c r="A37" s="23" t="s">
        <v>73</v>
      </c>
      <c r="C37" s="56">
        <f>I31</f>
        <v>260000</v>
      </c>
      <c r="D37" s="70" t="s">
        <v>74</v>
      </c>
      <c r="E37" s="21">
        <f>G34</f>
        <v>238775.51020408163</v>
      </c>
      <c r="F37" s="72" t="s">
        <v>72</v>
      </c>
      <c r="G37" s="71">
        <f>C37-E37</f>
        <v>21224.489795918373</v>
      </c>
    </row>
    <row r="39" spans="1:9">
      <c r="A39" s="23" t="s">
        <v>196</v>
      </c>
      <c r="G39" s="56">
        <v>450000</v>
      </c>
      <c r="H39" s="21" t="s">
        <v>61</v>
      </c>
    </row>
    <row r="40" spans="1:9">
      <c r="A40" s="21" t="s">
        <v>77</v>
      </c>
      <c r="H40" s="56">
        <f>I18</f>
        <v>392000</v>
      </c>
      <c r="I40" s="21" t="s">
        <v>61</v>
      </c>
    </row>
    <row r="41" spans="1:9">
      <c r="A41" s="21" t="s">
        <v>78</v>
      </c>
    </row>
    <row r="42" spans="1:9">
      <c r="A42" s="21" t="s">
        <v>197</v>
      </c>
    </row>
    <row r="43" spans="1:9" ht="15" thickBot="1"/>
    <row r="44" spans="1:9" ht="15" thickBot="1">
      <c r="A44" s="21" t="s">
        <v>198</v>
      </c>
      <c r="C44" s="73">
        <f>D10-H8</f>
        <v>260000</v>
      </c>
    </row>
    <row r="45" spans="1:9" ht="15" thickBot="1">
      <c r="A45" s="23" t="s">
        <v>73</v>
      </c>
      <c r="C45" s="7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82273-28C1-4824-9A46-E9041FF55D8A}">
  <sheetPr>
    <tabColor theme="5" tint="0.39997558519241921"/>
  </sheetPr>
  <dimension ref="A1:O29"/>
  <sheetViews>
    <sheetView workbookViewId="0"/>
  </sheetViews>
  <sheetFormatPr defaultColWidth="8.88671875" defaultRowHeight="14.4"/>
  <cols>
    <col min="1" max="1" width="8.88671875" style="21"/>
    <col min="2" max="2" width="13.33203125" style="21" bestFit="1" customWidth="1"/>
    <col min="3" max="3" width="14.44140625" style="21" customWidth="1"/>
    <col min="4" max="4" width="9.33203125" style="21" bestFit="1" customWidth="1"/>
    <col min="5" max="5" width="14" style="21" customWidth="1"/>
    <col min="6" max="6" width="6.109375" style="21" customWidth="1"/>
    <col min="7" max="7" width="8.109375" style="21" customWidth="1"/>
    <col min="8" max="8" width="8.88671875" style="21"/>
    <col min="9" max="9" width="13.5546875" style="21" customWidth="1"/>
    <col min="10" max="10" width="13.109375" style="21" customWidth="1"/>
    <col min="11" max="12" width="8.88671875" style="21"/>
    <col min="13" max="13" width="14.5546875" style="21" customWidth="1"/>
    <col min="14" max="14" width="11.5546875" style="21" customWidth="1"/>
    <col min="15" max="15" width="14" style="21" customWidth="1"/>
    <col min="16" max="16" width="11.88671875" style="21" customWidth="1"/>
    <col min="17" max="16384" width="8.88671875" style="21"/>
  </cols>
  <sheetData>
    <row r="1" spans="1:15">
      <c r="A1" s="21" t="s">
        <v>199</v>
      </c>
    </row>
    <row r="3" spans="1:15">
      <c r="A3" s="22" t="s">
        <v>1</v>
      </c>
    </row>
    <row r="4" spans="1:15">
      <c r="A4" s="21" t="s">
        <v>2</v>
      </c>
    </row>
    <row r="5" spans="1:15" ht="15" thickBot="1">
      <c r="A5" s="23"/>
    </row>
    <row r="6" spans="1:15" ht="15" thickBot="1">
      <c r="A6" s="21" t="s">
        <v>4</v>
      </c>
      <c r="D6" s="51">
        <f>40%</f>
        <v>0.4</v>
      </c>
      <c r="E6" s="21" t="s">
        <v>5</v>
      </c>
      <c r="M6" s="52">
        <v>20000000</v>
      </c>
      <c r="N6" s="21" t="s">
        <v>6</v>
      </c>
      <c r="O6" s="52">
        <v>5000000</v>
      </c>
    </row>
    <row r="7" spans="1:15" ht="15" thickBot="1">
      <c r="A7" s="21" t="s">
        <v>7</v>
      </c>
    </row>
    <row r="8" spans="1:15" ht="15" thickBot="1">
      <c r="A8" s="21" t="s">
        <v>8</v>
      </c>
      <c r="F8" s="51">
        <f>125%</f>
        <v>1.25</v>
      </c>
      <c r="G8" s="21" t="s">
        <v>9</v>
      </c>
    </row>
    <row r="9" spans="1:15" ht="15" thickBot="1">
      <c r="A9" s="21" t="s">
        <v>10</v>
      </c>
      <c r="E9" s="53">
        <v>6000000</v>
      </c>
      <c r="J9" s="56"/>
    </row>
    <row r="11" spans="1:15">
      <c r="A11" s="21" t="s">
        <v>11</v>
      </c>
    </row>
    <row r="12" spans="1:15" ht="15" thickBot="1"/>
    <row r="13" spans="1:15" ht="15" thickBot="1">
      <c r="A13" s="21" t="s">
        <v>12</v>
      </c>
      <c r="B13" s="52">
        <v>2000000</v>
      </c>
    </row>
    <row r="14" spans="1:15" ht="15" thickBot="1">
      <c r="A14" s="21" t="s">
        <v>13</v>
      </c>
      <c r="B14" s="52">
        <v>12000000</v>
      </c>
    </row>
    <row r="15" spans="1:15" ht="15" thickBot="1">
      <c r="A15" s="21" t="s">
        <v>14</v>
      </c>
      <c r="B15" s="52">
        <v>15000000</v>
      </c>
    </row>
    <row r="16" spans="1:15" ht="15" thickBot="1">
      <c r="A16" s="21" t="s">
        <v>15</v>
      </c>
      <c r="B16" s="52">
        <v>6000000</v>
      </c>
    </row>
    <row r="17" spans="1:9" ht="15" thickBot="1">
      <c r="A17" s="21" t="s">
        <v>16</v>
      </c>
      <c r="B17" s="52">
        <v>5000000</v>
      </c>
    </row>
    <row r="19" spans="1:9">
      <c r="A19" s="23" t="s">
        <v>186</v>
      </c>
    </row>
    <row r="21" spans="1:9">
      <c r="A21" s="23" t="s">
        <v>187</v>
      </c>
    </row>
    <row r="23" spans="1:9" ht="15" thickBot="1">
      <c r="A23" s="21" t="s">
        <v>188</v>
      </c>
    </row>
    <row r="24" spans="1:9" ht="15" thickBot="1">
      <c r="A24" s="21" t="s">
        <v>17</v>
      </c>
      <c r="C24" s="51">
        <v>0.85</v>
      </c>
    </row>
    <row r="25" spans="1:9" ht="15" thickBot="1">
      <c r="A25" s="21" t="s">
        <v>18</v>
      </c>
      <c r="F25" s="51">
        <f>20%</f>
        <v>0.2</v>
      </c>
    </row>
    <row r="26" spans="1:9" ht="15" thickBot="1">
      <c r="A26" s="21" t="s">
        <v>19</v>
      </c>
      <c r="F26" s="51">
        <f>40%</f>
        <v>0.4</v>
      </c>
      <c r="G26" s="21" t="s">
        <v>20</v>
      </c>
    </row>
    <row r="27" spans="1:9" ht="15" thickBot="1">
      <c r="A27" s="21" t="s">
        <v>189</v>
      </c>
      <c r="I27" s="29">
        <f>55%</f>
        <v>0.55000000000000004</v>
      </c>
    </row>
    <row r="28" spans="1:9" ht="15" thickBot="1">
      <c r="A28" s="67" t="s">
        <v>21</v>
      </c>
      <c r="B28" s="67"/>
      <c r="C28" s="67"/>
      <c r="D28" s="67"/>
      <c r="E28" s="67"/>
      <c r="F28" s="67"/>
      <c r="G28" s="67"/>
      <c r="H28" s="67"/>
      <c r="I28" s="52">
        <v>2500000</v>
      </c>
    </row>
    <row r="29" spans="1:9" ht="15" thickBot="1">
      <c r="A29" s="21" t="s">
        <v>22</v>
      </c>
      <c r="I29" s="52">
        <v>4000000</v>
      </c>
    </row>
  </sheetData>
  <mergeCells count="1">
    <mergeCell ref="A28:H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A2B14-2CA5-4764-B4C7-5B1FE39A8A8E}">
  <sheetPr>
    <tabColor theme="9" tint="0.59999389629810485"/>
  </sheetPr>
  <dimension ref="A1:N82"/>
  <sheetViews>
    <sheetView workbookViewId="0"/>
  </sheetViews>
  <sheetFormatPr defaultColWidth="8.88671875" defaultRowHeight="14.4"/>
  <cols>
    <col min="1" max="1" width="13.44140625" style="21" customWidth="1"/>
    <col min="2" max="2" width="17.33203125" style="21" customWidth="1"/>
    <col min="3" max="3" width="15.109375" style="21" customWidth="1"/>
    <col min="4" max="4" width="14.88671875" style="21" customWidth="1"/>
    <col min="5" max="5" width="19.33203125" style="21" customWidth="1"/>
    <col min="6" max="6" width="13.33203125" style="21" customWidth="1"/>
    <col min="7" max="7" width="8.109375" style="21" customWidth="1"/>
    <col min="8" max="8" width="2.33203125" style="21" customWidth="1"/>
    <col min="9" max="9" width="16.6640625" style="21" customWidth="1"/>
    <col min="10" max="10" width="13.109375" style="21" customWidth="1"/>
    <col min="11" max="11" width="8.88671875" style="21"/>
    <col min="12" max="12" width="13.33203125" style="21" customWidth="1"/>
    <col min="13" max="13" width="13.5546875" style="21" customWidth="1"/>
    <col min="14" max="14" width="13.33203125" style="21" bestFit="1" customWidth="1"/>
    <col min="15" max="15" width="11.33203125" style="21" customWidth="1"/>
    <col min="16" max="16" width="11.88671875" style="21" customWidth="1"/>
    <col min="17" max="16384" width="8.88671875" style="21"/>
  </cols>
  <sheetData>
    <row r="1" spans="1:14">
      <c r="A1" s="21" t="s">
        <v>199</v>
      </c>
    </row>
    <row r="3" spans="1:14">
      <c r="A3" s="22" t="s">
        <v>1</v>
      </c>
    </row>
    <row r="4" spans="1:14">
      <c r="A4" s="21" t="s">
        <v>2</v>
      </c>
    </row>
    <row r="5" spans="1:14" ht="15" thickBot="1">
      <c r="A5" s="23"/>
    </row>
    <row r="6" spans="1:14" ht="15" thickBot="1">
      <c r="A6" s="21" t="s">
        <v>4</v>
      </c>
      <c r="D6" s="51">
        <f>40%</f>
        <v>0.4</v>
      </c>
      <c r="E6" s="21" t="s">
        <v>5</v>
      </c>
      <c r="L6" s="52">
        <v>20000000</v>
      </c>
      <c r="M6" s="21" t="s">
        <v>6</v>
      </c>
      <c r="N6" s="52">
        <v>5000000</v>
      </c>
    </row>
    <row r="7" spans="1:14" ht="15" thickBot="1">
      <c r="A7" s="21" t="s">
        <v>7</v>
      </c>
    </row>
    <row r="8" spans="1:14" ht="15" thickBot="1">
      <c r="A8" s="21" t="s">
        <v>8</v>
      </c>
      <c r="E8" s="51">
        <f>125%</f>
        <v>1.25</v>
      </c>
      <c r="F8" s="21" t="s">
        <v>9</v>
      </c>
    </row>
    <row r="9" spans="1:14" ht="15" thickBot="1">
      <c r="A9" s="21" t="s">
        <v>10</v>
      </c>
      <c r="E9" s="53">
        <v>6000000</v>
      </c>
    </row>
    <row r="11" spans="1:14">
      <c r="A11" s="21" t="s">
        <v>11</v>
      </c>
    </row>
    <row r="12" spans="1:14" ht="15" thickBot="1"/>
    <row r="13" spans="1:14" ht="15" thickBot="1">
      <c r="A13" s="21" t="s">
        <v>12</v>
      </c>
      <c r="B13" s="52">
        <v>2000000</v>
      </c>
    </row>
    <row r="14" spans="1:14" ht="15" thickBot="1">
      <c r="A14" s="21" t="s">
        <v>13</v>
      </c>
      <c r="B14" s="52">
        <v>12000000</v>
      </c>
    </row>
    <row r="15" spans="1:14" ht="15" thickBot="1">
      <c r="A15" s="21" t="s">
        <v>14</v>
      </c>
      <c r="B15" s="52">
        <v>15000000</v>
      </c>
    </row>
    <row r="16" spans="1:14" ht="15" thickBot="1">
      <c r="A16" s="21" t="s">
        <v>15</v>
      </c>
      <c r="B16" s="52">
        <v>6000000</v>
      </c>
    </row>
    <row r="17" spans="1:14" ht="15" thickBot="1">
      <c r="A17" s="21" t="s">
        <v>16</v>
      </c>
      <c r="B17" s="52">
        <v>5000000</v>
      </c>
    </row>
    <row r="19" spans="1:14">
      <c r="A19" s="23" t="s">
        <v>186</v>
      </c>
    </row>
    <row r="21" spans="1:14" ht="15" thickBot="1">
      <c r="A21" s="21" t="s">
        <v>23</v>
      </c>
      <c r="F21" s="54">
        <f>D6</f>
        <v>0.4</v>
      </c>
      <c r="G21" s="21" t="s">
        <v>24</v>
      </c>
    </row>
    <row r="22" spans="1:14" ht="29.4" thickBot="1">
      <c r="C22" s="55" t="s">
        <v>25</v>
      </c>
      <c r="N22" s="56"/>
    </row>
    <row r="23" spans="1:14" ht="18" customHeight="1" thickBot="1">
      <c r="A23" s="21" t="s">
        <v>12</v>
      </c>
      <c r="B23" s="57">
        <f>B13</f>
        <v>2000000</v>
      </c>
      <c r="C23" s="52">
        <f>B23*$F$21</f>
        <v>800000</v>
      </c>
    </row>
    <row r="24" spans="1:14" ht="15" thickBot="1">
      <c r="A24" s="21" t="s">
        <v>13</v>
      </c>
      <c r="B24" s="57">
        <f t="shared" ref="B24:B27" si="0">B14</f>
        <v>12000000</v>
      </c>
      <c r="C24" s="52">
        <f>B24*$F$21</f>
        <v>4800000</v>
      </c>
    </row>
    <row r="25" spans="1:14" ht="15" thickBot="1">
      <c r="A25" s="21" t="s">
        <v>14</v>
      </c>
      <c r="B25" s="57">
        <f t="shared" si="0"/>
        <v>15000000</v>
      </c>
      <c r="C25" s="58">
        <f>B25*$F$21</f>
        <v>6000000</v>
      </c>
    </row>
    <row r="26" spans="1:14" ht="15" thickBot="1">
      <c r="A26" s="21" t="s">
        <v>15</v>
      </c>
      <c r="B26" s="57">
        <f t="shared" si="0"/>
        <v>6000000</v>
      </c>
      <c r="C26" s="52">
        <f>B26*$F$21</f>
        <v>2400000</v>
      </c>
    </row>
    <row r="27" spans="1:14" ht="15" thickBot="1">
      <c r="A27" s="21" t="s">
        <v>16</v>
      </c>
      <c r="B27" s="57">
        <f t="shared" si="0"/>
        <v>5000000</v>
      </c>
      <c r="C27" s="52">
        <f>B27*$F$21</f>
        <v>2000000</v>
      </c>
    </row>
    <row r="28" spans="1:14" ht="15" thickBot="1">
      <c r="A28" s="23" t="s">
        <v>26</v>
      </c>
      <c r="C28" s="59">
        <f>SUM(C23:C27)</f>
        <v>16000000</v>
      </c>
    </row>
    <row r="30" spans="1:14">
      <c r="A30" s="21" t="s">
        <v>27</v>
      </c>
    </row>
    <row r="31" spans="1:14">
      <c r="A31" s="23" t="s">
        <v>28</v>
      </c>
      <c r="C31" s="60">
        <f>SUM(B13:B17)</f>
        <v>40000000</v>
      </c>
    </row>
    <row r="32" spans="1:14">
      <c r="A32" s="23" t="s">
        <v>29</v>
      </c>
      <c r="C32" s="60">
        <f>C28</f>
        <v>16000000</v>
      </c>
    </row>
    <row r="33" spans="1:6">
      <c r="A33" s="23" t="s">
        <v>30</v>
      </c>
      <c r="C33" s="60">
        <f>C31-C32</f>
        <v>24000000</v>
      </c>
    </row>
    <row r="35" spans="1:6">
      <c r="A35" s="21" t="s">
        <v>31</v>
      </c>
      <c r="C35" s="60">
        <f>N6</f>
        <v>5000000</v>
      </c>
      <c r="D35" s="21" t="s">
        <v>32</v>
      </c>
    </row>
    <row r="36" spans="1:6" ht="15" thickBot="1">
      <c r="A36" s="21" t="s">
        <v>33</v>
      </c>
      <c r="F36" s="60">
        <f>L6</f>
        <v>20000000</v>
      </c>
    </row>
    <row r="37" spans="1:6" ht="15" thickBot="1">
      <c r="A37" s="21" t="s">
        <v>34</v>
      </c>
      <c r="E37" s="59">
        <f>C33-C35</f>
        <v>19000000</v>
      </c>
    </row>
    <row r="39" spans="1:6">
      <c r="A39" s="23" t="s">
        <v>187</v>
      </c>
    </row>
    <row r="41" spans="1:6">
      <c r="A41" s="21" t="s">
        <v>35</v>
      </c>
    </row>
    <row r="42" spans="1:6">
      <c r="A42" s="21" t="s">
        <v>36</v>
      </c>
    </row>
    <row r="44" spans="1:6">
      <c r="A44" s="21" t="s">
        <v>37</v>
      </c>
      <c r="D44" s="61">
        <f>E9</f>
        <v>6000000</v>
      </c>
    </row>
    <row r="45" spans="1:6">
      <c r="A45" s="21" t="s">
        <v>38</v>
      </c>
      <c r="D45" s="62">
        <f>E8</f>
        <v>1.25</v>
      </c>
    </row>
    <row r="46" spans="1:6">
      <c r="A46" s="21" t="s">
        <v>39</v>
      </c>
      <c r="D46" s="63">
        <f>E37</f>
        <v>19000000</v>
      </c>
    </row>
    <row r="47" spans="1:6">
      <c r="A47" s="21" t="s">
        <v>40</v>
      </c>
      <c r="D47" s="60">
        <f>L6</f>
        <v>20000000</v>
      </c>
    </row>
    <row r="48" spans="1:6" ht="15" thickBot="1"/>
    <row r="49" spans="1:8" ht="15" thickBot="1">
      <c r="A49" s="21" t="s">
        <v>41</v>
      </c>
      <c r="D49" s="59">
        <f>D44*D45*D46/D47</f>
        <v>7125000</v>
      </c>
    </row>
    <row r="51" spans="1:8">
      <c r="A51" s="21" t="s">
        <v>188</v>
      </c>
    </row>
    <row r="52" spans="1:8" ht="15" thickBot="1"/>
    <row r="53" spans="1:8" ht="15" thickBot="1">
      <c r="A53" s="21" t="s">
        <v>17</v>
      </c>
      <c r="C53" s="51">
        <v>0.85</v>
      </c>
    </row>
    <row r="54" spans="1:8" ht="15" thickBot="1">
      <c r="A54" s="21" t="s">
        <v>18</v>
      </c>
      <c r="F54" s="51">
        <f>20%</f>
        <v>0.2</v>
      </c>
    </row>
    <row r="55" spans="1:8" ht="15" thickBot="1">
      <c r="A55" s="21" t="s">
        <v>19</v>
      </c>
      <c r="F55" s="51">
        <f>40%</f>
        <v>0.4</v>
      </c>
      <c r="G55" s="21" t="s">
        <v>20</v>
      </c>
    </row>
    <row r="56" spans="1:8" ht="15" thickBot="1">
      <c r="A56" s="21" t="s">
        <v>189</v>
      </c>
      <c r="F56" s="64">
        <f>55%</f>
        <v>0.55000000000000004</v>
      </c>
    </row>
    <row r="57" spans="1:8" ht="15" thickBot="1">
      <c r="A57" s="24" t="s">
        <v>21</v>
      </c>
      <c r="B57" s="24"/>
      <c r="C57" s="24"/>
      <c r="D57" s="24"/>
      <c r="E57" s="24"/>
      <c r="F57" s="52">
        <v>2500000</v>
      </c>
      <c r="G57" s="24"/>
      <c r="H57" s="24"/>
    </row>
    <row r="58" spans="1:8" ht="15" thickBot="1">
      <c r="A58" s="21" t="s">
        <v>22</v>
      </c>
      <c r="F58" s="52">
        <v>4000000</v>
      </c>
    </row>
    <row r="60" spans="1:8">
      <c r="A60" s="21" t="s">
        <v>42</v>
      </c>
    </row>
    <row r="61" spans="1:8">
      <c r="A61" s="21" t="s">
        <v>43</v>
      </c>
    </row>
    <row r="62" spans="1:8">
      <c r="A62" s="21" t="s">
        <v>54</v>
      </c>
    </row>
    <row r="64" spans="1:8">
      <c r="A64" s="21" t="s">
        <v>44</v>
      </c>
    </row>
    <row r="65" spans="1:4">
      <c r="A65" s="21" t="s">
        <v>45</v>
      </c>
      <c r="B65" s="54">
        <f>C53</f>
        <v>0.85</v>
      </c>
    </row>
    <row r="66" spans="1:4">
      <c r="A66" s="21" t="s">
        <v>46</v>
      </c>
      <c r="B66" s="54">
        <f>F54</f>
        <v>0.2</v>
      </c>
    </row>
    <row r="67" spans="1:4">
      <c r="A67" s="21" t="s">
        <v>47</v>
      </c>
      <c r="B67" s="21">
        <f>F56</f>
        <v>0.55000000000000004</v>
      </c>
    </row>
    <row r="68" spans="1:4">
      <c r="A68" s="21" t="s">
        <v>48</v>
      </c>
      <c r="B68" s="21" t="s">
        <v>49</v>
      </c>
      <c r="C68" s="21">
        <f>1-B67</f>
        <v>0.44999999999999996</v>
      </c>
    </row>
    <row r="69" spans="1:4">
      <c r="A69" s="21" t="s">
        <v>50</v>
      </c>
      <c r="B69" s="54">
        <f>F55</f>
        <v>0.4</v>
      </c>
    </row>
    <row r="70" spans="1:4">
      <c r="A70" s="21" t="s">
        <v>51</v>
      </c>
      <c r="B70" s="60">
        <f>F57</f>
        <v>2500000</v>
      </c>
    </row>
    <row r="71" spans="1:4">
      <c r="A71" s="21" t="s">
        <v>55</v>
      </c>
      <c r="B71" s="60">
        <f>F58</f>
        <v>4000000</v>
      </c>
    </row>
    <row r="73" spans="1:4">
      <c r="A73" s="21" t="s">
        <v>52</v>
      </c>
    </row>
    <row r="74" spans="1:4">
      <c r="A74" s="21" t="s">
        <v>56</v>
      </c>
      <c r="D74" s="54"/>
    </row>
    <row r="75" spans="1:4">
      <c r="A75" s="21" t="s">
        <v>57</v>
      </c>
    </row>
    <row r="76" spans="1:4">
      <c r="A76" s="21" t="s">
        <v>58</v>
      </c>
    </row>
    <row r="77" spans="1:4" ht="15" thickBot="1">
      <c r="A77" s="21" t="s">
        <v>59</v>
      </c>
    </row>
    <row r="78" spans="1:4" ht="15" thickBot="1">
      <c r="A78" s="21" t="s">
        <v>53</v>
      </c>
      <c r="B78" s="65">
        <f>(B70+B65*(1-B66)*B67-B69*(B71*C68))/(1-B66+B69*C68*(B66-1))</f>
        <v>2713415.2042682925</v>
      </c>
    </row>
    <row r="82" spans="1:1">
      <c r="A82" s="6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3000CA-3696-4FBB-A62A-15CBB2BF0814}"/>
</file>

<file path=customXml/itemProps2.xml><?xml version="1.0" encoding="utf-8"?>
<ds:datastoreItem xmlns:ds="http://schemas.openxmlformats.org/officeDocument/2006/customXml" ds:itemID="{42CB691D-A3B1-4769-9F42-5BF56D9D0A91}"/>
</file>

<file path=customXml/itemProps3.xml><?xml version="1.0" encoding="utf-8"?>
<ds:datastoreItem xmlns:ds="http://schemas.openxmlformats.org/officeDocument/2006/customXml" ds:itemID="{360739A7-1CC6-4DF3-81EC-81711EE6BEE1}"/>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vt:lpstr>
      <vt:lpstr>Q1 Hardy LO 1</vt:lpstr>
      <vt:lpstr>A1 Hardy LO 1</vt:lpstr>
      <vt:lpstr>Q2 Hardy LO 1</vt:lpstr>
      <vt:lpstr>A2 Hardy LO 1</vt:lpstr>
      <vt:lpstr>Q Friedland 34 LO 6</vt:lpstr>
      <vt:lpstr>A Friedland 34 LO 6</vt:lpstr>
      <vt:lpstr>Q Clark LO 7</vt:lpstr>
      <vt:lpstr>A Clark LO 7</vt:lpstr>
      <vt:lpstr>Q Mango LO 8d</vt:lpstr>
      <vt:lpstr>A Mango LO 8d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Norris</dc:creator>
  <cp:lastModifiedBy>Douglas Norris</cp:lastModifiedBy>
  <dcterms:created xsi:type="dcterms:W3CDTF">2015-06-05T18:17:20Z</dcterms:created>
  <dcterms:modified xsi:type="dcterms:W3CDTF">2025-07-01T02:41:20Z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