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Override PartName="/docMetadata/LabelInfo.xml" ContentType="application/vnd.ms-office.classificationlabel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975" documentId="8_{D68AB50C-7F62-4BFF-8E6A-3FF3DD0FB501}" xr6:coauthVersionLast="47" xr6:coauthVersionMax="47" xr10:uidLastSave="{1DFB8474-D3E8-4827-83AD-3335A128B721}"/>
  <bookViews>
    <workbookView xWindow="28680" yWindow="-120" windowWidth="38640" windowHeight="21120" tabRatio="818" xr2:uid="{00000000-000D-0000-FFFF-FFFF00000000}"/>
  </bookViews>
  <sheets>
    <sheet name="Cover " sheetId="95" r:id="rId1"/>
    <sheet name="Q Friedland 24 LO 5d" sheetId="67" r:id="rId2"/>
    <sheet name="A Friedland 24 LO 5d" sheetId="68" r:id="rId3"/>
    <sheet name="Q1 Dyer 4 LO 4c" sheetId="35" r:id="rId4"/>
    <sheet name="A1 Dyer 4 LO 4c" sheetId="36" r:id="rId5"/>
    <sheet name="Q2 Dyer 4 LO 4c" sheetId="37" r:id="rId6"/>
    <sheet name="A2 Dyer 4 LO 4c" sheetId="38" r:id="rId7"/>
    <sheet name="Q3 Dyer 4 LO 4c" sheetId="39" r:id="rId8"/>
    <sheet name="A3 Dyer 4 LO 4c" sheetId="40" r:id="rId9"/>
    <sheet name="Q1 Dyer 6 LO 4c" sheetId="41" r:id="rId10"/>
    <sheet name="A1 Dyer 6 LO 4c" sheetId="42" r:id="rId11"/>
    <sheet name="Q2 Dyer 6 LO 4c" sheetId="43" r:id="rId12"/>
    <sheet name="A2 Dyer 6 LO 4c" sheetId="44" r:id="rId13"/>
    <sheet name="Q1 LO 6d" sheetId="61" r:id="rId14"/>
    <sheet name="A1 LO 6d" sheetId="64" r:id="rId15"/>
    <sheet name="Q2 LO 6d" sheetId="62" r:id="rId16"/>
    <sheet name="A2 LO 6d" sheetId="65" r:id="rId17"/>
    <sheet name="Q3 LO 6d" sheetId="63" r:id="rId18"/>
    <sheet name="A3 LO 6d" sheetId="66" r:id="rId19"/>
  </sheets>
  <externalReferences>
    <externalReference r:id="rId20"/>
    <externalReference r:id="rId21"/>
  </externalReferences>
  <definedNames>
    <definedName name="Allocations">#REF!</definedName>
    <definedName name="Non_Fac">'[1]User Input'!$C$74</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3" i="65" l="1"/>
  <c r="C102" i="65"/>
  <c r="C101" i="65"/>
  <c r="C100" i="65"/>
  <c r="C99" i="65"/>
  <c r="C98" i="65"/>
  <c r="C97" i="65"/>
  <c r="C96" i="65"/>
  <c r="C95" i="65"/>
  <c r="C94" i="65"/>
  <c r="D59" i="65" l="1"/>
  <c r="D58" i="65"/>
  <c r="D57" i="65"/>
  <c r="D56" i="65"/>
  <c r="D55" i="65"/>
  <c r="D54" i="65"/>
  <c r="D53" i="65"/>
  <c r="B57" i="65"/>
  <c r="B56" i="65"/>
  <c r="B55" i="65"/>
  <c r="B54" i="65"/>
  <c r="B53" i="65"/>
  <c r="F10" i="68" l="1"/>
  <c r="B11" i="68"/>
  <c r="E11" i="68"/>
  <c r="B12" i="68"/>
  <c r="D12" i="68"/>
  <c r="F13" i="68"/>
  <c r="C13" i="68" s="1"/>
  <c r="C14" i="68"/>
  <c r="E14" i="68"/>
  <c r="C15" i="68"/>
  <c r="D15" i="68"/>
  <c r="B16" i="68"/>
  <c r="E16" i="68"/>
  <c r="F17" i="68"/>
  <c r="E17" i="68" s="1"/>
  <c r="B18" i="68"/>
  <c r="E18" i="68"/>
  <c r="F19" i="68"/>
  <c r="B19" i="68" s="1"/>
  <c r="B14" i="66"/>
  <c r="J46" i="66" s="1"/>
  <c r="C17" i="66"/>
  <c r="C18" i="66"/>
  <c r="B19" i="66"/>
  <c r="J47" i="66" s="1"/>
  <c r="B22" i="66"/>
  <c r="J48" i="66" s="1"/>
  <c r="B28" i="66"/>
  <c r="J49" i="66" s="1"/>
  <c r="B37" i="66"/>
  <c r="J50" i="66" s="1"/>
  <c r="B42" i="66"/>
  <c r="J52" i="66" s="1"/>
  <c r="J51" i="66"/>
  <c r="B75" i="66"/>
  <c r="B76" i="66"/>
  <c r="B78" i="66"/>
  <c r="B65" i="65" a="1"/>
  <c r="B65" i="65" s="1"/>
  <c r="B68" i="65"/>
  <c r="D94" i="65"/>
  <c r="D95" i="65"/>
  <c r="D96" i="65"/>
  <c r="D97" i="65"/>
  <c r="D98" i="65"/>
  <c r="D99" i="65"/>
  <c r="D100" i="65"/>
  <c r="D101" i="65"/>
  <c r="D102" i="65"/>
  <c r="D103" i="65"/>
  <c r="C53" i="64"/>
  <c r="D53" i="64"/>
  <c r="F53" i="64" s="1"/>
  <c r="C54" i="64"/>
  <c r="D54" i="64"/>
  <c r="C55" i="64"/>
  <c r="D55" i="64"/>
  <c r="C56" i="64"/>
  <c r="D56" i="64"/>
  <c r="C57" i="64"/>
  <c r="D57" i="64"/>
  <c r="C58" i="64"/>
  <c r="D58" i="64"/>
  <c r="C59" i="64"/>
  <c r="D59" i="64"/>
  <c r="C60" i="64"/>
  <c r="D60" i="64"/>
  <c r="C61" i="64"/>
  <c r="D61" i="64"/>
  <c r="C62" i="64"/>
  <c r="D62" i="64"/>
  <c r="C63" i="64"/>
  <c r="D63" i="64"/>
  <c r="C64" i="64"/>
  <c r="D64" i="64"/>
  <c r="D20" i="68" l="1"/>
  <c r="C20" i="68"/>
  <c r="B71" i="65"/>
  <c r="B79" i="65" s="1"/>
  <c r="B106" i="65"/>
  <c r="B105" i="65"/>
  <c r="B109" i="65" s="1"/>
  <c r="E62" i="64"/>
  <c r="E53" i="64"/>
  <c r="G53" i="64" s="1"/>
  <c r="F58" i="64"/>
  <c r="G58" i="64" s="1"/>
  <c r="E61" i="64"/>
  <c r="E57" i="64"/>
  <c r="E56" i="64"/>
  <c r="F57" i="64"/>
  <c r="E58" i="64"/>
  <c r="F63" i="64"/>
  <c r="B20" i="68"/>
  <c r="F20" i="68"/>
  <c r="E20" i="68"/>
  <c r="F61" i="64"/>
  <c r="E64" i="64"/>
  <c r="E60" i="64"/>
  <c r="E63" i="64"/>
  <c r="E59" i="64"/>
  <c r="E55" i="64"/>
  <c r="E54" i="64"/>
  <c r="F62" i="64"/>
  <c r="F54" i="64"/>
  <c r="B54" i="66" a="1"/>
  <c r="B54" i="66" s="1"/>
  <c r="B73" i="66" s="1"/>
  <c r="F64" i="64"/>
  <c r="F59" i="64"/>
  <c r="F56" i="64"/>
  <c r="F60" i="64"/>
  <c r="F55" i="64"/>
  <c r="B74" i="66" l="1"/>
  <c r="G62" i="64"/>
  <c r="G57" i="64"/>
  <c r="G56" i="64"/>
  <c r="G61" i="64"/>
  <c r="G63" i="64"/>
  <c r="B67" i="64"/>
  <c r="G60" i="64"/>
  <c r="G54" i="64"/>
  <c r="B74" i="64" s="1" a="1"/>
  <c r="B74" i="64" s="1"/>
  <c r="G55" i="64"/>
  <c r="G59" i="64"/>
  <c r="G64" i="64"/>
  <c r="B77" i="64" l="1"/>
  <c r="B78" i="65" s="1"/>
  <c r="B89" i="65" s="1" a="1"/>
  <c r="B89" i="65" s="1"/>
  <c r="B77" i="66" s="1"/>
  <c r="B91" i="66" s="1" a="1"/>
  <c r="B91" i="66" s="1"/>
  <c r="B94" i="66" l="1"/>
  <c r="B97" i="66" s="1"/>
  <c r="G71" i="44" l="1"/>
  <c r="H67" i="44"/>
  <c r="D67" i="44"/>
  <c r="B68" i="44" s="1"/>
  <c r="K71" i="44" s="1"/>
  <c r="G63" i="44"/>
  <c r="D61" i="44"/>
  <c r="G58" i="44"/>
  <c r="I62" i="44" s="1"/>
  <c r="E63" i="44" s="1"/>
  <c r="F64" i="44" s="1"/>
  <c r="H55" i="44"/>
  <c r="L64" i="44" s="1"/>
  <c r="F55" i="44"/>
  <c r="J64" i="44" s="1"/>
  <c r="B53" i="44"/>
  <c r="B55" i="44" s="1"/>
  <c r="H52" i="44"/>
  <c r="D53" i="44" s="1"/>
  <c r="D55" i="44" s="1"/>
  <c r="H39" i="44"/>
  <c r="F39" i="44"/>
  <c r="J35" i="44"/>
  <c r="F35" i="44"/>
  <c r="F34" i="44"/>
  <c r="B27" i="44"/>
  <c r="D25" i="44"/>
  <c r="B25" i="44"/>
  <c r="F25" i="44" s="1"/>
  <c r="B23" i="44"/>
  <c r="D23" i="44" s="1"/>
  <c r="A71" i="44" s="1"/>
  <c r="A72" i="44" s="1"/>
  <c r="I15" i="44"/>
  <c r="D27" i="44" s="1"/>
  <c r="I15" i="43"/>
  <c r="L23" i="42"/>
  <c r="E24" i="42" s="1"/>
  <c r="E25" i="42" s="1"/>
  <c r="J23" i="42"/>
  <c r="H24" i="42" s="1"/>
  <c r="J22" i="42"/>
  <c r="D21" i="42"/>
  <c r="E22" i="42" s="1"/>
  <c r="G20" i="42"/>
  <c r="G21" i="42" s="1"/>
  <c r="H22" i="42" s="1"/>
  <c r="B19" i="42"/>
  <c r="B18" i="42"/>
  <c r="F43" i="44" l="1"/>
  <c r="F44" i="44" s="1"/>
  <c r="H45" i="44" s="1"/>
  <c r="J47" i="44" s="1"/>
  <c r="H64" i="44"/>
  <c r="A65" i="44" s="1"/>
  <c r="G67" i="44" s="1"/>
  <c r="A56" i="44"/>
  <c r="C67" i="44" s="1"/>
  <c r="C56" i="44"/>
  <c r="E67" i="44" s="1"/>
  <c r="F27" i="44"/>
  <c r="E33" i="44" s="1"/>
  <c r="N22" i="42"/>
  <c r="L22" i="42"/>
  <c r="B26" i="42" s="1"/>
  <c r="A27" i="42" s="1"/>
  <c r="H25" i="42"/>
  <c r="F36" i="44"/>
  <c r="D47" i="44" s="1"/>
  <c r="D48" i="44" s="1"/>
  <c r="F71" i="44" s="1"/>
  <c r="J39" i="44"/>
  <c r="E40" i="44" s="1"/>
  <c r="H41" i="44" s="1"/>
  <c r="H47" i="44" s="1"/>
  <c r="E25" i="40"/>
  <c r="M20" i="40"/>
  <c r="B24" i="38"/>
  <c r="B23" i="38"/>
  <c r="M18" i="38"/>
  <c r="J8" i="38"/>
  <c r="B25" i="38" s="1"/>
  <c r="J8" i="37"/>
  <c r="G12" i="36"/>
  <c r="G15" i="36" s="1"/>
  <c r="G23" i="36" s="1"/>
  <c r="K23" i="36" s="1"/>
  <c r="G24" i="36" s="1"/>
  <c r="E24" i="40" l="1"/>
  <c r="E26" i="40"/>
  <c r="E27" i="40"/>
  <c r="E26" i="42"/>
  <c r="C27" i="42" s="1"/>
  <c r="C28" i="42" s="1"/>
  <c r="E32" i="42" s="1"/>
  <c r="E33" i="42" s="1"/>
  <c r="A68" i="44"/>
  <c r="J71" i="44" s="1"/>
  <c r="F72" i="44" s="1"/>
  <c r="A73" i="44" s="1"/>
  <c r="D71" i="44"/>
  <c r="H34" i="44"/>
  <c r="H35" i="44"/>
  <c r="H36" i="44" s="1"/>
  <c r="F47" i="44" s="1"/>
  <c r="F48" i="44" s="1"/>
  <c r="H71" i="44" s="1"/>
  <c r="C65" i="44"/>
  <c r="I67" i="44" s="1"/>
  <c r="C68" i="44" s="1"/>
  <c r="L71" i="44" s="1"/>
  <c r="C26" i="38"/>
  <c r="D72" i="44" l="1"/>
  <c r="D73" i="44" s="1"/>
  <c r="D74" i="44" s="1"/>
  <c r="E78" i="44" s="1"/>
  <c r="G78" i="44"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<sst xmlns="http://schemas.openxmlformats.org/spreadsheetml/2006/main" count="728" uniqueCount="329">
  <si>
    <t>Source:</t>
  </si>
  <si>
    <t>Total</t>
  </si>
  <si>
    <t>General Insurance Financial Reporting Topics, Society of Actuaries, Fifth Edition, 2021, Chapter 12</t>
  </si>
  <si>
    <t xml:space="preserve">Thus, P = </t>
  </si>
  <si>
    <t>*</t>
  </si>
  <si>
    <t>=</t>
  </si>
  <si>
    <t>/</t>
  </si>
  <si>
    <t>Accident Year</t>
  </si>
  <si>
    <t xml:space="preserve">● The beta of the security is </t>
  </si>
  <si>
    <t xml:space="preserve">● The risk-free rate is assumed to be </t>
  </si>
  <si>
    <t xml:space="preserve">● The expected return on the market portfolio is assumed to be </t>
  </si>
  <si>
    <t>The risk-free rate remains the same as given above. You are left to conclude that the beta for this security has changed. Calculate the new beta.</t>
  </si>
  <si>
    <t>+</t>
  </si>
  <si>
    <t>• The correlation coefficient of the insurer’s returns with those of the market portfolio is</t>
  </si>
  <si>
    <t xml:space="preserve">of the insurer’s book of business consists of home insurance policies where the expected loss payment occurs </t>
  </si>
  <si>
    <t>years after receipt of premium.</t>
  </si>
  <si>
    <t xml:space="preserve">of the insurer’s book of business consists of workers' compensation insurance policies where the expected loss payment occurs </t>
  </si>
  <si>
    <t xml:space="preserve">of the insurer’s book of business consists of medical malpractice insurance policies where the expected loss payment occurs </t>
  </si>
  <si>
    <t>The risk-free rate is</t>
  </si>
  <si>
    <t>The rate of return on the market portfolio is</t>
  </si>
  <si>
    <t>Use Fairley’s insurance version of the Capital Asset Pricing Model (CAPM) to calculate the following:</t>
  </si>
  <si>
    <t>The funds-generating coefficient k would be a weighted average of the average loss-payment times within the insurer’s book of business: k =</t>
  </si>
  <si>
    <t xml:space="preserve">Thus, UPM = </t>
  </si>
  <si>
    <t xml:space="preserve">• The correlation coefficient of the insurer’s returns with those of the market portfolio is </t>
  </si>
  <si>
    <t xml:space="preserve">• The risk-free rate is </t>
  </si>
  <si>
    <t xml:space="preserve">• The rate of return on the market portfolio is </t>
  </si>
  <si>
    <t>• The funds-generating coefficient k for this insurer is</t>
  </si>
  <si>
    <t xml:space="preserve">• The corporate tax rate is </t>
  </si>
  <si>
    <t xml:space="preserve">• </t>
  </si>
  <si>
    <t>of the insurer’s investment holdings are in tax-exempt bonds.</t>
  </si>
  <si>
    <t xml:space="preserve">of the insurer’s investment holdings are in stocks that are taxed at </t>
  </si>
  <si>
    <t>of the insurer’s investment holdings are taxed as ordinary taxable income.</t>
  </si>
  <si>
    <t>Use the Hill/Modigliani tax version of the Capital Asset Pricing Model (CAPM) to calculate the following:</t>
  </si>
  <si>
    <t xml:space="preserve">The tax rate on the insurer’s investment income is the weighted average of tax rates on the investment portfolio: </t>
  </si>
  <si>
    <t>You are given the following for a particular security:</t>
  </si>
  <si>
    <t>Ratemaking: A Financial Economics Approach” by D’Arcy and Dyer, 1997, Section 4, Capital Asset Pricing Model</t>
  </si>
  <si>
    <t>You are given the following about an insurer’s book of business:</t>
  </si>
  <si>
    <t>• All cash flows are discounted at the same interest rate, which is also the rate of return on the insurer’s investments, of:</t>
  </si>
  <si>
    <t>• Premium is collected immediately.</t>
  </si>
  <si>
    <t>• Losses on the policy will be paid in exactly one year and will be:</t>
  </si>
  <si>
    <t>• Expenses on the policy are paid immediately upon issuance and are:</t>
  </si>
  <si>
    <t>• The policy is supported by equity of:</t>
  </si>
  <si>
    <t>• All taxes on both underwriting and investment income are imposed at a rate of:</t>
  </si>
  <si>
    <t>We use the formula PV(P) = PV(L) + PV(E) + PV(TUW) + PV(TII), where PV(P) = P, since premium is collected immediately.</t>
  </si>
  <si>
    <t xml:space="preserve">PV(L) = </t>
  </si>
  <si>
    <t xml:space="preserve">PV(E) = E = </t>
  </si>
  <si>
    <t>The underwriting income in one year will be P – L – E =</t>
  </si>
  <si>
    <t>P –</t>
  </si>
  <si>
    <t xml:space="preserve">The tax on this amount will be </t>
  </si>
  <si>
    <t>*(</t>
  </si>
  <si>
    <t>)</t>
  </si>
  <si>
    <t>The present value of this tax will be PV(TUW) =</t>
  </si>
  <si>
    <t>) /</t>
  </si>
  <si>
    <t xml:space="preserve">The investment income in one year will be (Equity + P – E)*(Rate of Return) = </t>
  </si>
  <si>
    <t xml:space="preserve">(P + </t>
  </si>
  <si>
    <t>)*</t>
  </si>
  <si>
    <t>The present value of this tax will be P(TII) =</t>
  </si>
  <si>
    <t>P</t>
  </si>
  <si>
    <t>P =</t>
  </si>
  <si>
    <t xml:space="preserve">We use the formula UPM = 1 – (L+E)/P = </t>
  </si>
  <si>
    <t>Thus, the underwriting profit margin is</t>
  </si>
  <si>
    <t>• The risk-free interest rate, which is also the rate of return on the insurer’s investments, is</t>
  </si>
  <si>
    <t xml:space="preserve">• The risk-adjusted discount rate is </t>
  </si>
  <si>
    <t xml:space="preserve">• Taxes are calculated at the end of each year. The tax authorities require that loss reserves for losses that are unpaid at the end of a given year be discounted at an interest rate of </t>
  </si>
  <si>
    <t>• Premium is collected one month after policy issuance.</t>
  </si>
  <si>
    <t xml:space="preserve">• Losses on the policy will be </t>
  </si>
  <si>
    <t>• Half of the losses will be paid in exactly one year, and the other half will be paid in exactly two years.</t>
  </si>
  <si>
    <t xml:space="preserve">• Total expenses on the policy are </t>
  </si>
  <si>
    <t>• The portion of the expenses that will be paid immediately upon issuance is</t>
  </si>
  <si>
    <t>• The remaining amount of expenses is paid three years prior to policy issuance and is</t>
  </si>
  <si>
    <t>• The  policy is supported by equity of</t>
  </si>
  <si>
    <t>• The equity is released proportionally to the payment of losses.</t>
  </si>
  <si>
    <t>• All taxes on both underwriting and investment income are imposed at a rate of</t>
  </si>
  <si>
    <t xml:space="preserve">We use the formula PV(P) = PV(L) + PV(E) + PV(TUW) + PV(TII), where PV(P) = </t>
  </si>
  <si>
    <t>P/</t>
  </si>
  <si>
    <t>PV(Losses in 1 Year)</t>
  </si>
  <si>
    <t>PV(Losses in 2 Years)</t>
  </si>
  <si>
    <t>PV(E) =</t>
  </si>
  <si>
    <t>This amount is increased because  80 of the expenses were paid three years in the past and must be discounted by -3 years.</t>
  </si>
  <si>
    <t xml:space="preserve">Taxes on underwriting income can be separated into two components, taxes on the certain cash flows (premiums and expenses) </t>
  </si>
  <si>
    <t>and tax deductions due to the variable cash flows (losses, as well as loss reserves).</t>
  </si>
  <si>
    <t>The certain cash flows are P – PV(E) = P –</t>
  </si>
  <si>
    <t xml:space="preserve">The tax on this amount at the end of year 1 will be </t>
  </si>
  <si>
    <t>(P  –</t>
  </si>
  <si>
    <t xml:space="preserve">The present value of this amount is </t>
  </si>
  <si>
    <t>This is equal to</t>
  </si>
  <si>
    <t>P  –</t>
  </si>
  <si>
    <t xml:space="preserve">For the variable cash flows, at the end of year 1, the tax-deductible amount will equal to paid losses at the end of year 1, plus remaining loss reserves (discounted). </t>
  </si>
  <si>
    <t xml:space="preserve">The amount subject to the deduction will be </t>
  </si>
  <si>
    <t xml:space="preserve">The tax savings on this amount will be </t>
  </si>
  <si>
    <t>Now we discount this amount for one year by the risk-adjusted discount rate:</t>
  </si>
  <si>
    <t>At the end of year 2, there is additional tax savings due to the paid loss, but it is offset by the elimination of the previous discounted loss reserve.</t>
  </si>
  <si>
    <t xml:space="preserve">The net amount subject to the deduction will be </t>
  </si>
  <si>
    <t xml:space="preserve">Now we discount this amount for two years by the risk-adjusted discount rate: </t>
  </si>
  <si>
    <t xml:space="preserve">Thus, the total PV(TUW) =  </t>
  </si>
  <si>
    <t>–</t>
  </si>
  <si>
    <t xml:space="preserve">PV(TUW) =  </t>
  </si>
  <si>
    <t>Taxes on investment income will be assessed at the end of years 1 and 2.</t>
  </si>
  <si>
    <t xml:space="preserve">At the end of year 1, the insurer will have been able to earn investment income on the amount of </t>
  </si>
  <si>
    <t>(Equity + P – E), and the investment income in one year will be (Equity + P – E)*</t>
  </si>
  <si>
    <t xml:space="preserve">( P + </t>
  </si>
  <si>
    <t xml:space="preserve">The present value of the tax on this amount will be </t>
  </si>
  <si>
    <t xml:space="preserve"> P + </t>
  </si>
  <si>
    <t xml:space="preserve">At the end of year 1, half of the losses will be paid, and half of the equity, </t>
  </si>
  <si>
    <t xml:space="preserve">will be released, leaving only the remaining half </t>
  </si>
  <si>
    <t xml:space="preserve">to earn investment income in year 2. </t>
  </si>
  <si>
    <t>Also, half of the losses,</t>
  </si>
  <si>
    <t xml:space="preserve">will have been paid, so that amount will no longer be available to earn a return. </t>
  </si>
  <si>
    <t xml:space="preserve">The remaining amount available to earn investment income in year 2 will be </t>
  </si>
  <si>
    <t>(P +</t>
  </si>
  <si>
    <t xml:space="preserve">The investment income will be (P – </t>
  </si>
  <si>
    <t xml:space="preserve">The present value of the tax on this amount will be (P – </t>
  </si>
  <si>
    <t xml:space="preserve"> P  –</t>
  </si>
  <si>
    <t xml:space="preserve">Thus, PV(TII) = </t>
  </si>
  <si>
    <t>Hence, our complete equation becomes PV(P) = PV(L) + PV(E) + PV(TUW) + PV(TII):</t>
  </si>
  <si>
    <t>Ratemaking: A Financial Economics Approach” by D’Arcy and Dyer, 1997, Section 6</t>
  </si>
  <si>
    <t>An insurer writes a policy with the following characteristics:</t>
  </si>
  <si>
    <t>Paid Claims</t>
  </si>
  <si>
    <t>Non-proportional property reinsurance</t>
  </si>
  <si>
    <t>Non-proportional marine, aviation and transport Reinsurance</t>
  </si>
  <si>
    <t>Non-proportional casualty reinsurance</t>
  </si>
  <si>
    <t>Miscellaneous financial loss insurance and proportional reinsurance</t>
  </si>
  <si>
    <t>Assistance and its proportional reinsurance</t>
  </si>
  <si>
    <t>Legal expenses insurance and proportional reinsurance</t>
  </si>
  <si>
    <t>Credit and suretyship insurance and proportional reinsurance</t>
  </si>
  <si>
    <t>General liability insurance and proportional reinsurance</t>
  </si>
  <si>
    <t>Fire and other damage to property insurance and proportional reinsurance</t>
  </si>
  <si>
    <t>Marine, aviation and transport insurance and proportional reinsurance</t>
  </si>
  <si>
    <t>Other motor insurance and proportional reinsurance</t>
  </si>
  <si>
    <t>Motor vehicle liability insurance and proportional reinsurance</t>
  </si>
  <si>
    <t>Correlation matrix</t>
    <phoneticPr fontId="1" type="noConversion"/>
  </si>
  <si>
    <t>Line</t>
    <phoneticPr fontId="1" type="noConversion"/>
  </si>
  <si>
    <t>i</t>
    <phoneticPr fontId="1" type="noConversion"/>
  </si>
  <si>
    <t xml:space="preserve">The following parameters are extracted from the Solvency II standard formula manual. </t>
    <phoneticPr fontId="1" type="noConversion"/>
  </si>
  <si>
    <t>Outstanding net claim</t>
    <phoneticPr fontId="1" type="noConversion"/>
  </si>
  <si>
    <t>Net earned premium</t>
    <phoneticPr fontId="1" type="noConversion"/>
  </si>
  <si>
    <t>Listed below are relevant data for each line of business that ABC operates (in millions).</t>
    <phoneticPr fontId="1" type="noConversion"/>
  </si>
  <si>
    <t>Insurer ABC is operating in Europe, and the compnay wishes to use the standard formula to meet the requirement of Solvency Capital Requirement (SCR)  of Solvency II.</t>
    <phoneticPr fontId="1" type="noConversion"/>
  </si>
  <si>
    <t>Guarantees dependent on counterparty credit rating</t>
  </si>
  <si>
    <t>Type 2</t>
  </si>
  <si>
    <t>Letters of credit called but unpaid (&gt;15 counterparties)</t>
  </si>
  <si>
    <t>Deposits with ceding institutions (&gt;15 counterparties)</t>
  </si>
  <si>
    <t>Policyholder debtors</t>
  </si>
  <si>
    <t>Receivables from intermediaries</t>
  </si>
  <si>
    <t>Securitization and derivatives</t>
  </si>
  <si>
    <t>Type 1</t>
  </si>
  <si>
    <t>Letters of credit called but unpaid (&lt;=15 counterparties)</t>
  </si>
  <si>
    <t>Deposits with ceding institutions (&lt;=15 counterparties)</t>
  </si>
  <si>
    <t>Other risk-mitigating contracts</t>
  </si>
  <si>
    <t>Reinsurance</t>
  </si>
  <si>
    <t>SCR (in millions)</t>
    <phoneticPr fontId="1" type="noConversion"/>
  </si>
  <si>
    <t>Risk</t>
  </si>
  <si>
    <t>Category</t>
  </si>
  <si>
    <t>Terrorism</t>
  </si>
  <si>
    <t>Credit and Suretyship</t>
  </si>
  <si>
    <t>Liability</t>
  </si>
  <si>
    <t>Subsidence</t>
  </si>
  <si>
    <t>Aviation</t>
  </si>
  <si>
    <t>Hail</t>
  </si>
  <si>
    <t>Marine</t>
  </si>
  <si>
    <t>Earthquake</t>
  </si>
  <si>
    <t>Fire</t>
  </si>
  <si>
    <t>Flood</t>
  </si>
  <si>
    <t>Motor Liability</t>
  </si>
  <si>
    <t>Windstorm</t>
  </si>
  <si>
    <t>SCR</t>
    <phoneticPr fontId="1" type="noConversion"/>
  </si>
  <si>
    <t>Man-made</t>
    <phoneticPr fontId="1" type="noConversion"/>
  </si>
  <si>
    <t>Natural</t>
    <phoneticPr fontId="1" type="noConversion"/>
  </si>
  <si>
    <t>Insurer ABC is subject to catastrophic risks. The following table lists the pre-estimated SCR (in millions) in 2024.</t>
    <phoneticPr fontId="1" type="noConversion"/>
  </si>
  <si>
    <t>Technical provision</t>
    <phoneticPr fontId="1" type="noConversion"/>
  </si>
  <si>
    <t>Gross earned premium</t>
    <phoneticPr fontId="1" type="noConversion"/>
  </si>
  <si>
    <t>Intangible asset</t>
    <phoneticPr fontId="1" type="noConversion"/>
  </si>
  <si>
    <t>Health</t>
    <phoneticPr fontId="1" type="noConversion"/>
  </si>
  <si>
    <t>Life</t>
    <phoneticPr fontId="1" type="noConversion"/>
  </si>
  <si>
    <t>Module</t>
    <phoneticPr fontId="1" type="noConversion"/>
  </si>
  <si>
    <t>Illiquidity premium</t>
    <phoneticPr fontId="1" type="noConversion"/>
  </si>
  <si>
    <t>Concentration risk SCR</t>
    <phoneticPr fontId="1" type="noConversion"/>
  </si>
  <si>
    <t>USD</t>
  </si>
  <si>
    <t>JPY</t>
  </si>
  <si>
    <t>GBP</t>
  </si>
  <si>
    <t>EUR</t>
  </si>
  <si>
    <t>CAD</t>
  </si>
  <si>
    <t>AUD</t>
  </si>
  <si>
    <t>Net asset values of currency exposures</t>
    <phoneticPr fontId="1" type="noConversion"/>
  </si>
  <si>
    <t>Credit derivatives (CDs)</t>
  </si>
  <si>
    <t>Repackaged loan products (RLPs)</t>
  </si>
  <si>
    <t>Bonds</t>
    <phoneticPr fontId="1" type="noConversion"/>
  </si>
  <si>
    <t>Spread risk SCRs</t>
    <phoneticPr fontId="1" type="noConversion"/>
  </si>
  <si>
    <t>Market value of real estate holdings</t>
  </si>
  <si>
    <t>Type 2 equities (emerging markets and other equities)</t>
  </si>
  <si>
    <t>Type 1 equities (global developed market stocks)</t>
  </si>
  <si>
    <t>Market value of equities</t>
    <phoneticPr fontId="1" type="noConversion"/>
  </si>
  <si>
    <t>Interest rate down scenario</t>
  </si>
  <si>
    <t>Interest rate up scenario</t>
  </si>
  <si>
    <t>Interest rate risk SCR</t>
    <phoneticPr fontId="1" type="noConversion"/>
  </si>
  <si>
    <t>σ=</t>
    <phoneticPr fontId="1" type="noConversion"/>
  </si>
  <si>
    <t>The net standard deviation σ is</t>
    <phoneticPr fontId="1" type="noConversion"/>
  </si>
  <si>
    <t>v=</t>
    <phoneticPr fontId="1" type="noConversion"/>
  </si>
  <si>
    <t>The total  risk volume measure for all GI lines combined is then</t>
    <phoneticPr fontId="1" type="noConversion"/>
  </si>
  <si>
    <t>vi x σi</t>
    <phoneticPr fontId="1" type="noConversion"/>
  </si>
  <si>
    <t>The calculations are done below</t>
    <phoneticPr fontId="1" type="noConversion"/>
  </si>
  <si>
    <t>Next, need to calculate standard deviation for each line, which is just wegihted average over premium and reserve, assuming 0.5 correlation</t>
    <phoneticPr fontId="1" type="noConversion"/>
  </si>
  <si>
    <t>Solution</t>
    <phoneticPr fontId="1" type="noConversion"/>
  </si>
  <si>
    <t>Type 2 total is</t>
    <phoneticPr fontId="1" type="noConversion"/>
  </si>
  <si>
    <t>Type1 total is</t>
    <phoneticPr fontId="1" type="noConversion"/>
  </si>
  <si>
    <t>SCR^2</t>
    <phoneticPr fontId="1" type="noConversion"/>
  </si>
  <si>
    <t>with the following correlation matrix</t>
    <phoneticPr fontId="1" type="noConversion"/>
  </si>
  <si>
    <t>Lapse</t>
    <phoneticPr fontId="1" type="noConversion"/>
  </si>
  <si>
    <t>CAT</t>
    <phoneticPr fontId="1" type="noConversion"/>
  </si>
  <si>
    <t>P&amp;S</t>
    <phoneticPr fontId="1" type="noConversion"/>
  </si>
  <si>
    <t>Category</t>
    <phoneticPr fontId="1" type="noConversion"/>
  </si>
  <si>
    <t>The calculated SCR for premium/reserve, CAT, and lapse are then</t>
    <phoneticPr fontId="1" type="noConversion"/>
  </si>
  <si>
    <t>The total SCR for man-made assumes independence and is</t>
    <phoneticPr fontId="1" type="noConversion"/>
  </si>
  <si>
    <t>The total SCR for natural perils is then</t>
    <phoneticPr fontId="1" type="noConversion"/>
  </si>
  <si>
    <t>The correlation is all 0.25, the matrix is then</t>
    <phoneticPr fontId="1" type="noConversion"/>
  </si>
  <si>
    <t>First, need to calcualte the total SCR for natural perils</t>
    <phoneticPr fontId="1" type="noConversion"/>
  </si>
  <si>
    <t xml:space="preserve"> = </t>
    <phoneticPr fontId="1" type="noConversion"/>
  </si>
  <si>
    <t>The SCR of operational risk is = MIN(30% x BSCR, 3% of MAX(gross earned premiums, technical provisions))</t>
    <phoneticPr fontId="1" type="noConversion"/>
  </si>
  <si>
    <t xml:space="preserve">BSCR = </t>
    <phoneticPr fontId="1" type="noConversion"/>
  </si>
  <si>
    <t>The BSCR is then</t>
    <phoneticPr fontId="1" type="noConversion"/>
  </si>
  <si>
    <t>GI</t>
    <phoneticPr fontId="1" type="noConversion"/>
  </si>
  <si>
    <t>Counterparty default</t>
    <phoneticPr fontId="1" type="noConversion"/>
  </si>
  <si>
    <t>Market</t>
    <phoneticPr fontId="1" type="noConversion"/>
  </si>
  <si>
    <t>The following correlation matrix applies to the first five modules</t>
    <phoneticPr fontId="1" type="noConversion"/>
  </si>
  <si>
    <t>we can derive the SCR for each module</t>
    <phoneticPr fontId="1" type="noConversion"/>
  </si>
  <si>
    <t>Based on the following information, and results from Q1 and Q2 solutions,</t>
    <phoneticPr fontId="1" type="noConversion"/>
  </si>
  <si>
    <t>The total SCR for market risk is then</t>
    <phoneticPr fontId="1" type="noConversion"/>
  </si>
  <si>
    <t>Sub SCR</t>
    <phoneticPr fontId="1" type="noConversion"/>
  </si>
  <si>
    <t>Since the interest rate charge is higher in the down scenario, we have the following correlation matrix</t>
    <phoneticPr fontId="1" type="noConversion"/>
  </si>
  <si>
    <t>Total SCR of illiquidity premium</t>
    <phoneticPr fontId="1" type="noConversion"/>
  </si>
  <si>
    <t>Total SCR of currency</t>
    <phoneticPr fontId="1" type="noConversion"/>
  </si>
  <si>
    <t xml:space="preserve">Total SCR of spread </t>
    <phoneticPr fontId="1" type="noConversion"/>
  </si>
  <si>
    <t>Total SCR of properties</t>
    <phoneticPr fontId="1" type="noConversion"/>
  </si>
  <si>
    <t>Assume 0.75 correlation</t>
    <phoneticPr fontId="1" type="noConversion"/>
  </si>
  <si>
    <t>Total SCR of equities</t>
    <phoneticPr fontId="1" type="noConversion"/>
  </si>
  <si>
    <t>Total SCR of interest rate</t>
    <phoneticPr fontId="1" type="noConversion"/>
  </si>
  <si>
    <t>First, calculate the SCR for each of the seven sub-modules</t>
    <phoneticPr fontId="1" type="noConversion"/>
  </si>
  <si>
    <t>σPi</t>
  </si>
  <si>
    <t>σRi</t>
  </si>
  <si>
    <t>Based on the below information, calculate the market risk charge.</t>
  </si>
  <si>
    <t>Prior Years</t>
  </si>
  <si>
    <t>Estimated Unpaid Claims</t>
  </si>
  <si>
    <t>Indicated IBNR</t>
  </si>
  <si>
    <t>Case Estimates</t>
  </si>
  <si>
    <t>Selected Ultimate Claims</t>
  </si>
  <si>
    <t>At December 31, 2030</t>
  </si>
  <si>
    <t>Practice Problem on Fundamentals of General Insurance Actuarial Analysis, Friedland, 2nd Ed., Chapter 24</t>
  </si>
  <si>
    <t xml:space="preserve">These formulas are utilized to fully populate the table above. </t>
  </si>
  <si>
    <t>Indicated IBNR = Estimated Unpaid Claims - Case Estimates</t>
  </si>
  <si>
    <t>Case Estimates = Estimated Unpaid Claims - Indicated IBNR</t>
  </si>
  <si>
    <t>Paid Claims = Selected Ultimate Claims - Estimated Unpaid Claims</t>
  </si>
  <si>
    <t>Selected Ultimate Claims = Paid Claims + Estimated Unpaid Claims</t>
  </si>
  <si>
    <t xml:space="preserve">Estimated Unpaid Claims = Case Estimates + Indicated IBNR </t>
  </si>
  <si>
    <t>We utilize the following formulas for any missing elements for each Accident Year:</t>
  </si>
  <si>
    <t>Fundamentals of General Insurance Actuarial Analysis, Friedland, 2nd Ed., Chapter 24</t>
  </si>
  <si>
    <t>You are given the following data  for Insurer Z , with the data evaluated as of December 31, 2030. Assume that all claims are reported and closed at 36 months.</t>
  </si>
  <si>
    <t>Populate the remainder of the table (the entries shaded in gray) by calculating the missing values for each accident year.</t>
  </si>
  <si>
    <t xml:space="preserve">• The insurer’s premium-to-equity ratio is </t>
  </si>
  <si>
    <t>Further assume 0.25 for geographic diversification factor.</t>
  </si>
  <si>
    <t xml:space="preserve">You are given the following: </t>
  </si>
  <si>
    <t>The final SCR for premium and reserve is</t>
  </si>
  <si>
    <t>Assume that the SCR for premium and reserve is as calculated in for "Q1 GI 201 LO 6d" and the SCR for lapse is 100.</t>
  </si>
  <si>
    <t>With a correlation of 0.75 between the two types</t>
  </si>
  <si>
    <t>(b) Calculate the SCR for premium and reserve in 2024.</t>
  </si>
  <si>
    <t>(a) Calculate the SCR for premium and reserve in 2024.</t>
  </si>
  <si>
    <t>(c) Calculate the SCR for counterparty default risk. Assume that within each type, the correlation is 0.</t>
  </si>
  <si>
    <t>(a) Calculate the market risk charge for Insurer ABC using the following data (in millions).</t>
  </si>
  <si>
    <t xml:space="preserve">(b) Calculate the total SCR for Insurer ABC before the adjustment in 2024, using your results from "Q1 GI 201 6d", "Q2 GI 201 6d", and the following additional information, </t>
  </si>
  <si>
    <t>(a) Calculate the market risk charege</t>
  </si>
  <si>
    <t>(b) Calculate the total SCR before the adjustment</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</si>
  <si>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</si>
  <si>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</si>
  <si>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</si>
  <si>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</si>
  <si>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</si>
  <si>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</si>
  <si>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These guided examples have been developed by an actuarial subject matter expert (see tabs for details)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</si>
  <si>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education@soa.org</t>
  </si>
  <si>
    <t>Version 2025-1</t>
  </si>
  <si>
    <t>Updated: July 8, 2025</t>
  </si>
  <si>
    <t xml:space="preserve">Copyright © Society of Actuaries </t>
  </si>
  <si>
    <t>GI 201 - Operational, Financial, Regulatory and Legal</t>
  </si>
  <si>
    <r>
      <t xml:space="preserve">(a) </t>
    </r>
    <r>
      <rPr>
        <sz val="11"/>
        <color theme="1"/>
        <rFont val="Aptos"/>
        <family val="2"/>
      </rPr>
      <t>Calculate the premium that this insurer would charge using a discounted cash-flow technique.</t>
    </r>
  </si>
  <si>
    <r>
      <t xml:space="preserve">(b) </t>
    </r>
    <r>
      <rPr>
        <sz val="11"/>
        <color theme="1"/>
        <rFont val="Aptos"/>
        <family val="2"/>
      </rPr>
      <t>Calculate the underwriting profit margin for this policy.</t>
    </r>
  </si>
  <si>
    <r>
      <t xml:space="preserve">(a) </t>
    </r>
    <r>
      <rPr>
        <sz val="11"/>
        <color theme="1"/>
        <rFont val="Aptos"/>
        <family val="2"/>
      </rPr>
      <t>The tax rate on the insurer’s investment income, T</t>
    </r>
    <r>
      <rPr>
        <vertAlign val="subscript"/>
        <sz val="11"/>
        <color theme="1"/>
        <rFont val="Aptos"/>
        <family val="2"/>
      </rPr>
      <t>A</t>
    </r>
    <r>
      <rPr>
        <sz val="11"/>
        <color theme="1"/>
        <rFont val="Aptos"/>
        <family val="2"/>
      </rPr>
      <t>;</t>
    </r>
  </si>
  <si>
    <r>
      <t xml:space="preserve">(b) </t>
    </r>
    <r>
      <rPr>
        <sz val="11"/>
        <color theme="1"/>
        <rFont val="Aptos"/>
        <family val="2"/>
      </rPr>
      <t xml:space="preserve">The insurer’s underwriting profit margin. </t>
    </r>
  </si>
  <si>
    <r>
      <t>We use the formula UPM = -k*R</t>
    </r>
    <r>
      <rPr>
        <vertAlign val="subscript"/>
        <sz val="11"/>
        <color theme="1"/>
        <rFont val="Aptos"/>
        <family val="2"/>
      </rPr>
      <t>f</t>
    </r>
    <r>
      <rPr>
        <sz val="11"/>
        <color theme="1"/>
        <rFont val="Aptos"/>
        <family val="2"/>
      </rPr>
      <t>*(1- T</t>
    </r>
    <r>
      <rPr>
        <vertAlign val="subscript"/>
        <sz val="11"/>
        <color theme="1"/>
        <rFont val="Aptos"/>
        <family val="2"/>
      </rPr>
      <t>A</t>
    </r>
    <r>
      <rPr>
        <sz val="11"/>
        <color theme="1"/>
        <rFont val="Aptos"/>
        <family val="2"/>
      </rPr>
      <t>)/(1-T)</t>
    </r>
    <r>
      <rPr>
        <vertAlign val="subscript"/>
        <sz val="11"/>
        <color theme="1"/>
        <rFont val="Aptos"/>
        <family val="2"/>
      </rPr>
      <t xml:space="preserve">  </t>
    </r>
    <r>
      <rPr>
        <sz val="11"/>
        <color theme="1"/>
        <rFont val="Aptos"/>
        <family val="2"/>
      </rPr>
      <t>+ β</t>
    </r>
    <r>
      <rPr>
        <vertAlign val="subscript"/>
        <sz val="11"/>
        <color theme="1"/>
        <rFont val="Aptos"/>
        <family val="2"/>
      </rPr>
      <t>u</t>
    </r>
    <r>
      <rPr>
        <sz val="11"/>
        <color theme="1"/>
        <rFont val="Aptos"/>
        <family val="2"/>
      </rPr>
      <t>*[E(R</t>
    </r>
    <r>
      <rPr>
        <vertAlign val="subscript"/>
        <sz val="11"/>
        <color theme="1"/>
        <rFont val="Aptos"/>
        <family val="2"/>
      </rPr>
      <t>m</t>
    </r>
    <r>
      <rPr>
        <sz val="11"/>
        <color theme="1"/>
        <rFont val="Aptos"/>
        <family val="2"/>
      </rPr>
      <t>) - R</t>
    </r>
    <r>
      <rPr>
        <vertAlign val="subscript"/>
        <sz val="11"/>
        <color theme="1"/>
        <rFont val="Aptos"/>
        <family val="2"/>
      </rPr>
      <t>f</t>
    </r>
    <r>
      <rPr>
        <sz val="11"/>
        <color theme="1"/>
        <rFont val="Aptos"/>
        <family val="2"/>
      </rPr>
      <t>] + (S/P)*R</t>
    </r>
    <r>
      <rPr>
        <vertAlign val="subscript"/>
        <sz val="11"/>
        <color theme="1"/>
        <rFont val="Aptos"/>
        <family val="2"/>
      </rPr>
      <t>f</t>
    </r>
    <r>
      <rPr>
        <sz val="11"/>
        <color theme="1"/>
        <rFont val="Aptos"/>
        <family val="2"/>
      </rPr>
      <t>*(T</t>
    </r>
    <r>
      <rPr>
        <vertAlign val="subscript"/>
        <sz val="11"/>
        <color theme="1"/>
        <rFont val="Aptos"/>
        <family val="2"/>
      </rPr>
      <t>A</t>
    </r>
    <r>
      <rPr>
        <sz val="11"/>
        <color theme="1"/>
        <rFont val="Aptos"/>
        <family val="2"/>
      </rPr>
      <t xml:space="preserve">)/(1-T) = </t>
    </r>
  </si>
  <si>
    <r>
      <t xml:space="preserve"> -k*R</t>
    </r>
    <r>
      <rPr>
        <vertAlign val="subscript"/>
        <sz val="11"/>
        <color theme="1"/>
        <rFont val="Aptos"/>
        <family val="2"/>
      </rPr>
      <t>f</t>
    </r>
    <r>
      <rPr>
        <sz val="11"/>
        <color theme="1"/>
        <rFont val="Aptos"/>
        <family val="2"/>
      </rPr>
      <t>*(1- T</t>
    </r>
    <r>
      <rPr>
        <vertAlign val="subscript"/>
        <sz val="11"/>
        <color theme="1"/>
        <rFont val="Aptos"/>
        <family val="2"/>
      </rPr>
      <t>A</t>
    </r>
    <r>
      <rPr>
        <sz val="11"/>
        <color theme="1"/>
        <rFont val="Aptos"/>
        <family val="2"/>
      </rPr>
      <t>)/(1-T) is</t>
    </r>
  </si>
  <si>
    <r>
      <t>β</t>
    </r>
    <r>
      <rPr>
        <vertAlign val="subscript"/>
        <sz val="11"/>
        <color theme="1"/>
        <rFont val="Aptos"/>
        <family val="2"/>
      </rPr>
      <t>u</t>
    </r>
    <r>
      <rPr>
        <sz val="11"/>
        <color theme="1"/>
        <rFont val="Aptos"/>
        <family val="2"/>
      </rPr>
      <t>*[E(R</t>
    </r>
    <r>
      <rPr>
        <vertAlign val="subscript"/>
        <sz val="11"/>
        <color theme="1"/>
        <rFont val="Aptos"/>
        <family val="2"/>
      </rPr>
      <t>m</t>
    </r>
    <r>
      <rPr>
        <sz val="11"/>
        <color theme="1"/>
        <rFont val="Aptos"/>
        <family val="2"/>
      </rPr>
      <t>) - R</t>
    </r>
    <r>
      <rPr>
        <vertAlign val="subscript"/>
        <sz val="11"/>
        <color theme="1"/>
        <rFont val="Aptos"/>
        <family val="2"/>
      </rPr>
      <t>f</t>
    </r>
    <r>
      <rPr>
        <sz val="11"/>
        <color theme="1"/>
        <rFont val="Aptos"/>
        <family val="2"/>
      </rPr>
      <t>] is</t>
    </r>
  </si>
  <si>
    <r>
      <t>(S/P)*R</t>
    </r>
    <r>
      <rPr>
        <vertAlign val="subscript"/>
        <sz val="11"/>
        <color theme="1"/>
        <rFont val="Aptos"/>
        <family val="2"/>
      </rPr>
      <t>f</t>
    </r>
    <r>
      <rPr>
        <sz val="11"/>
        <color theme="1"/>
        <rFont val="Aptos"/>
        <family val="2"/>
      </rPr>
      <t>*(T</t>
    </r>
    <r>
      <rPr>
        <vertAlign val="subscript"/>
        <sz val="11"/>
        <color theme="1"/>
        <rFont val="Aptos"/>
        <family val="2"/>
      </rPr>
      <t>A</t>
    </r>
    <r>
      <rPr>
        <sz val="11"/>
        <color theme="1"/>
        <rFont val="Aptos"/>
        <family val="2"/>
      </rPr>
      <t>)/(1-T) is</t>
    </r>
  </si>
  <si>
    <r>
      <t xml:space="preserve">(a) </t>
    </r>
    <r>
      <rPr>
        <sz val="11"/>
        <color theme="1"/>
        <rFont val="Aptos"/>
        <family val="2"/>
      </rPr>
      <t>An estimate of the funds-generating coefficient k;</t>
    </r>
  </si>
  <si>
    <r>
      <rPr>
        <b/>
        <sz val="11"/>
        <color theme="1"/>
        <rFont val="Aptos"/>
        <family val="2"/>
      </rPr>
      <t xml:space="preserve">(b) </t>
    </r>
    <r>
      <rPr>
        <sz val="11"/>
        <color theme="1"/>
        <rFont val="Aptos"/>
        <family val="2"/>
      </rPr>
      <t>The underwriting profit margin of the insurer.</t>
    </r>
  </si>
  <si>
    <r>
      <t>We use the formula UPM = -k*R</t>
    </r>
    <r>
      <rPr>
        <vertAlign val="subscript"/>
        <sz val="11"/>
        <color theme="1"/>
        <rFont val="Aptos"/>
        <family val="2"/>
      </rPr>
      <t xml:space="preserve">f  </t>
    </r>
    <r>
      <rPr>
        <sz val="11"/>
        <color theme="1"/>
        <rFont val="Aptos"/>
        <family val="2"/>
      </rPr>
      <t>+ β</t>
    </r>
    <r>
      <rPr>
        <vertAlign val="subscript"/>
        <sz val="11"/>
        <color theme="1"/>
        <rFont val="Aptos"/>
        <family val="2"/>
      </rPr>
      <t>u</t>
    </r>
    <r>
      <rPr>
        <sz val="11"/>
        <color theme="1"/>
        <rFont val="Aptos"/>
        <family val="2"/>
      </rPr>
      <t>*[E(R</t>
    </r>
    <r>
      <rPr>
        <vertAlign val="subscript"/>
        <sz val="11"/>
        <color theme="1"/>
        <rFont val="Aptos"/>
        <family val="2"/>
      </rPr>
      <t>m</t>
    </r>
    <r>
      <rPr>
        <sz val="11"/>
        <color theme="1"/>
        <rFont val="Aptos"/>
        <family val="2"/>
      </rPr>
      <t>) - R</t>
    </r>
    <r>
      <rPr>
        <vertAlign val="subscript"/>
        <sz val="11"/>
        <color theme="1"/>
        <rFont val="Aptos"/>
        <family val="2"/>
      </rPr>
      <t>f</t>
    </r>
    <r>
      <rPr>
        <sz val="11"/>
        <color theme="1"/>
        <rFont val="Aptos"/>
        <family val="2"/>
      </rPr>
      <t>]. We are given</t>
    </r>
  </si>
  <si>
    <r>
      <t>R</t>
    </r>
    <r>
      <rPr>
        <vertAlign val="subscript"/>
        <sz val="11"/>
        <color theme="1"/>
        <rFont val="Aptos"/>
        <family val="2"/>
      </rPr>
      <t xml:space="preserve">f  </t>
    </r>
    <r>
      <rPr>
        <sz val="11"/>
        <color theme="1"/>
        <rFont val="Aptos"/>
        <family val="2"/>
      </rPr>
      <t xml:space="preserve">= </t>
    </r>
  </si>
  <si>
    <r>
      <t>E(R</t>
    </r>
    <r>
      <rPr>
        <vertAlign val="subscript"/>
        <sz val="11"/>
        <color theme="1"/>
        <rFont val="Aptos"/>
        <family val="2"/>
      </rPr>
      <t>m</t>
    </r>
    <r>
      <rPr>
        <sz val="11"/>
        <color theme="1"/>
        <rFont val="Aptos"/>
        <family val="2"/>
      </rPr>
      <t xml:space="preserve">) = </t>
    </r>
  </si>
  <si>
    <r>
      <t>β</t>
    </r>
    <r>
      <rPr>
        <vertAlign val="subscript"/>
        <sz val="11"/>
        <color theme="1"/>
        <rFont val="Aptos"/>
        <family val="2"/>
      </rPr>
      <t>u</t>
    </r>
    <r>
      <rPr>
        <sz val="11"/>
        <color theme="1"/>
        <rFont val="Aptos"/>
        <family val="2"/>
      </rPr>
      <t xml:space="preserve"> =</t>
    </r>
  </si>
  <si>
    <r>
      <t xml:space="preserve">(a) </t>
    </r>
    <r>
      <rPr>
        <sz val="11"/>
        <color theme="1"/>
        <rFont val="Aptos"/>
        <family val="2"/>
      </rPr>
      <t xml:space="preserve">Calculate the </t>
    </r>
    <r>
      <rPr>
        <i/>
        <sz val="11"/>
        <color theme="1"/>
        <rFont val="Aptos"/>
        <family val="2"/>
      </rPr>
      <t xml:space="preserve">market risk premium </t>
    </r>
    <r>
      <rPr>
        <sz val="11"/>
        <color theme="1"/>
        <rFont val="Aptos"/>
        <family val="2"/>
      </rPr>
      <t>using this situation.</t>
    </r>
  </si>
  <si>
    <r>
      <t>The market risk premium is E(R</t>
    </r>
    <r>
      <rPr>
        <vertAlign val="subscript"/>
        <sz val="11"/>
        <color theme="1"/>
        <rFont val="Aptos"/>
        <family val="2"/>
      </rPr>
      <t>m</t>
    </r>
    <r>
      <rPr>
        <sz val="11"/>
        <color theme="1"/>
        <rFont val="Aptos"/>
        <family val="2"/>
      </rPr>
      <t>) - R</t>
    </r>
    <r>
      <rPr>
        <vertAlign val="subscript"/>
        <sz val="11"/>
        <color theme="1"/>
        <rFont val="Aptos"/>
        <family val="2"/>
      </rPr>
      <t>f</t>
    </r>
    <r>
      <rPr>
        <sz val="11"/>
        <color theme="1"/>
        <rFont val="Aptos"/>
        <family val="2"/>
      </rPr>
      <t xml:space="preserve"> = </t>
    </r>
  </si>
  <si>
    <r>
      <t xml:space="preserve">(b) </t>
    </r>
    <r>
      <rPr>
        <sz val="11"/>
        <color theme="1"/>
        <rFont val="Aptos"/>
        <family val="2"/>
      </rPr>
      <t>Use the Capital Asset Pricing Model (CAPM) to calculate the expected return for this security.</t>
    </r>
  </si>
  <si>
    <r>
      <t>We use the formula E(R</t>
    </r>
    <r>
      <rPr>
        <vertAlign val="subscript"/>
        <sz val="11"/>
        <color theme="1"/>
        <rFont val="Aptos"/>
        <family val="2"/>
      </rPr>
      <t>i</t>
    </r>
    <r>
      <rPr>
        <sz val="11"/>
        <color theme="1"/>
        <rFont val="Aptos"/>
        <family val="2"/>
      </rPr>
      <t>) = R</t>
    </r>
    <r>
      <rPr>
        <vertAlign val="subscript"/>
        <sz val="11"/>
        <color theme="1"/>
        <rFont val="Aptos"/>
        <family val="2"/>
      </rPr>
      <t xml:space="preserve">f </t>
    </r>
    <r>
      <rPr>
        <sz val="11"/>
        <color theme="1"/>
        <rFont val="Aptos"/>
        <family val="2"/>
      </rPr>
      <t>+ β</t>
    </r>
    <r>
      <rPr>
        <vertAlign val="subscript"/>
        <sz val="11"/>
        <color theme="1"/>
        <rFont val="Aptos"/>
        <family val="2"/>
      </rPr>
      <t>i</t>
    </r>
    <r>
      <rPr>
        <sz val="11"/>
        <color theme="1"/>
        <rFont val="Aptos"/>
        <family val="2"/>
      </rPr>
      <t>[E(R</t>
    </r>
    <r>
      <rPr>
        <vertAlign val="subscript"/>
        <sz val="11"/>
        <color theme="1"/>
        <rFont val="Aptos"/>
        <family val="2"/>
      </rPr>
      <t>m</t>
    </r>
    <r>
      <rPr>
        <sz val="11"/>
        <color theme="1"/>
        <rFont val="Aptos"/>
        <family val="2"/>
      </rPr>
      <t>)- R</t>
    </r>
    <r>
      <rPr>
        <vertAlign val="subscript"/>
        <sz val="11"/>
        <color theme="1"/>
        <rFont val="Aptos"/>
        <family val="2"/>
      </rPr>
      <t>f</t>
    </r>
    <r>
      <rPr>
        <sz val="11"/>
        <color theme="1"/>
        <rFont val="Aptos"/>
        <family val="2"/>
      </rPr>
      <t>] =</t>
    </r>
  </si>
  <si>
    <r>
      <t xml:space="preserve">(c) </t>
    </r>
    <r>
      <rPr>
        <sz val="11"/>
        <color theme="1"/>
        <rFont val="Aptos"/>
        <family val="2"/>
      </rPr>
      <t xml:space="preserve">Now assume that the actual return for this security has increased by three percentage points relative to the answer to part (b) above. </t>
    </r>
  </si>
  <si>
    <r>
      <t>We use the formula E(R</t>
    </r>
    <r>
      <rPr>
        <vertAlign val="subscript"/>
        <sz val="11"/>
        <color theme="1"/>
        <rFont val="Aptos"/>
        <family val="2"/>
      </rPr>
      <t>i</t>
    </r>
    <r>
      <rPr>
        <sz val="11"/>
        <color theme="1"/>
        <rFont val="Aptos"/>
        <family val="2"/>
      </rPr>
      <t>) = R</t>
    </r>
    <r>
      <rPr>
        <vertAlign val="subscript"/>
        <sz val="11"/>
        <color theme="1"/>
        <rFont val="Aptos"/>
        <family val="2"/>
      </rPr>
      <t xml:space="preserve">f </t>
    </r>
    <r>
      <rPr>
        <sz val="11"/>
        <color theme="1"/>
        <rFont val="Aptos"/>
        <family val="2"/>
      </rPr>
      <t>+ β</t>
    </r>
    <r>
      <rPr>
        <vertAlign val="subscript"/>
        <sz val="11"/>
        <color theme="1"/>
        <rFont val="Aptos"/>
        <family val="2"/>
      </rPr>
      <t>i</t>
    </r>
    <r>
      <rPr>
        <sz val="11"/>
        <color theme="1"/>
        <rFont val="Aptos"/>
        <family val="2"/>
      </rPr>
      <t>[E(R</t>
    </r>
    <r>
      <rPr>
        <vertAlign val="subscript"/>
        <sz val="11"/>
        <color theme="1"/>
        <rFont val="Aptos"/>
        <family val="2"/>
      </rPr>
      <t>m</t>
    </r>
    <r>
      <rPr>
        <sz val="11"/>
        <color theme="1"/>
        <rFont val="Aptos"/>
        <family val="2"/>
      </rPr>
      <t>)- R</t>
    </r>
    <r>
      <rPr>
        <vertAlign val="subscript"/>
        <sz val="11"/>
        <color theme="1"/>
        <rFont val="Aptos"/>
        <family val="2"/>
      </rPr>
      <t>f</t>
    </r>
    <r>
      <rPr>
        <sz val="11"/>
        <color theme="1"/>
        <rFont val="Aptos"/>
        <family val="2"/>
      </rPr>
      <t>], rearranging it to</t>
    </r>
  </si>
  <si>
    <r>
      <t>β</t>
    </r>
    <r>
      <rPr>
        <vertAlign val="subscript"/>
        <sz val="11"/>
        <color theme="1"/>
        <rFont val="Aptos"/>
        <family val="2"/>
      </rPr>
      <t>i</t>
    </r>
    <r>
      <rPr>
        <sz val="11"/>
        <color theme="1"/>
        <rFont val="Aptos"/>
        <family val="2"/>
      </rPr>
      <t>[E(R</t>
    </r>
    <r>
      <rPr>
        <vertAlign val="subscript"/>
        <sz val="11"/>
        <color theme="1"/>
        <rFont val="Aptos"/>
        <family val="2"/>
      </rPr>
      <t>m</t>
    </r>
    <r>
      <rPr>
        <sz val="11"/>
        <color theme="1"/>
        <rFont val="Aptos"/>
        <family val="2"/>
      </rPr>
      <t>)- R</t>
    </r>
    <r>
      <rPr>
        <vertAlign val="subscript"/>
        <sz val="11"/>
        <color theme="1"/>
        <rFont val="Aptos"/>
        <family val="2"/>
      </rPr>
      <t>f</t>
    </r>
    <r>
      <rPr>
        <sz val="11"/>
        <color theme="1"/>
        <rFont val="Aptos"/>
        <family val="2"/>
      </rPr>
      <t>] = E(R</t>
    </r>
    <r>
      <rPr>
        <vertAlign val="subscript"/>
        <sz val="11"/>
        <color theme="1"/>
        <rFont val="Aptos"/>
        <family val="2"/>
      </rPr>
      <t>i</t>
    </r>
    <r>
      <rPr>
        <sz val="11"/>
        <color theme="1"/>
        <rFont val="Aptos"/>
        <family val="2"/>
      </rPr>
      <t>) - R</t>
    </r>
    <r>
      <rPr>
        <vertAlign val="subscript"/>
        <sz val="11"/>
        <color theme="1"/>
        <rFont val="Aptos"/>
        <family val="2"/>
      </rPr>
      <t xml:space="preserve">f  </t>
    </r>
    <r>
      <rPr>
        <sz val="11"/>
        <color theme="1"/>
        <rFont val="Aptos"/>
        <family val="2"/>
      </rPr>
      <t>→ β</t>
    </r>
    <r>
      <rPr>
        <vertAlign val="subscript"/>
        <sz val="11"/>
        <color theme="1"/>
        <rFont val="Aptos"/>
        <family val="2"/>
      </rPr>
      <t>i</t>
    </r>
    <r>
      <rPr>
        <sz val="11"/>
        <color theme="1"/>
        <rFont val="Aptos"/>
        <family val="2"/>
      </rPr>
      <t xml:space="preserve"> = [E(R</t>
    </r>
    <r>
      <rPr>
        <vertAlign val="subscript"/>
        <sz val="11"/>
        <color theme="1"/>
        <rFont val="Aptos"/>
        <family val="2"/>
      </rPr>
      <t>i</t>
    </r>
    <r>
      <rPr>
        <sz val="11"/>
        <color theme="1"/>
        <rFont val="Aptos"/>
        <family val="2"/>
      </rPr>
      <t>) - R</t>
    </r>
    <r>
      <rPr>
        <vertAlign val="subscript"/>
        <sz val="11"/>
        <color theme="1"/>
        <rFont val="Aptos"/>
        <family val="2"/>
      </rPr>
      <t xml:space="preserve">f </t>
    </r>
    <r>
      <rPr>
        <sz val="11"/>
        <color theme="1"/>
        <rFont val="Aptos"/>
        <family val="2"/>
      </rPr>
      <t>]/[E(R</t>
    </r>
    <r>
      <rPr>
        <vertAlign val="subscript"/>
        <sz val="11"/>
        <color theme="1"/>
        <rFont val="Aptos"/>
        <family val="2"/>
      </rPr>
      <t>m</t>
    </r>
    <r>
      <rPr>
        <sz val="11"/>
        <color theme="1"/>
        <rFont val="Aptos"/>
        <family val="2"/>
      </rPr>
      <t>)- R</t>
    </r>
    <r>
      <rPr>
        <vertAlign val="subscript"/>
        <sz val="11"/>
        <color theme="1"/>
        <rFont val="Aptos"/>
        <family val="2"/>
      </rPr>
      <t>f</t>
    </r>
    <r>
      <rPr>
        <sz val="11"/>
        <color theme="1"/>
        <rFont val="Aptos"/>
        <family val="2"/>
      </rPr>
      <t>].</t>
    </r>
  </si>
  <si>
    <r>
      <t>We can replace E(R</t>
    </r>
    <r>
      <rPr>
        <vertAlign val="subscript"/>
        <sz val="11"/>
        <color theme="1"/>
        <rFont val="Aptos"/>
        <family val="2"/>
      </rPr>
      <t>i</t>
    </r>
    <r>
      <rPr>
        <sz val="11"/>
        <color theme="1"/>
        <rFont val="Aptos"/>
        <family val="2"/>
      </rPr>
      <t>) with the actual return (we can call it R</t>
    </r>
    <r>
      <rPr>
        <vertAlign val="subscript"/>
        <sz val="11"/>
        <color theme="1"/>
        <rFont val="Aptos"/>
        <family val="2"/>
      </rPr>
      <t>A</t>
    </r>
    <r>
      <rPr>
        <sz val="11"/>
        <color theme="1"/>
        <rFont val="Aptos"/>
        <family val="2"/>
      </rPr>
      <t xml:space="preserve">) of </t>
    </r>
  </si>
  <si>
    <r>
      <t>Thus, β</t>
    </r>
    <r>
      <rPr>
        <vertAlign val="subscript"/>
        <sz val="11"/>
        <color theme="1"/>
        <rFont val="Aptos"/>
        <family val="2"/>
      </rPr>
      <t>new</t>
    </r>
    <r>
      <rPr>
        <sz val="11"/>
        <color theme="1"/>
        <rFont val="Aptos"/>
        <family val="2"/>
      </rPr>
      <t xml:space="preserve"> = [R</t>
    </r>
    <r>
      <rPr>
        <vertAlign val="subscript"/>
        <sz val="11"/>
        <color theme="1"/>
        <rFont val="Aptos"/>
        <family val="2"/>
      </rPr>
      <t>A</t>
    </r>
    <r>
      <rPr>
        <sz val="11"/>
        <color theme="1"/>
        <rFont val="Aptos"/>
        <family val="2"/>
      </rPr>
      <t xml:space="preserve"> - R</t>
    </r>
    <r>
      <rPr>
        <vertAlign val="subscript"/>
        <sz val="11"/>
        <color theme="1"/>
        <rFont val="Aptos"/>
        <family val="2"/>
      </rPr>
      <t xml:space="preserve">f </t>
    </r>
    <r>
      <rPr>
        <sz val="11"/>
        <color theme="1"/>
        <rFont val="Aptos"/>
        <family val="2"/>
      </rPr>
      <t>]/[E(R</t>
    </r>
    <r>
      <rPr>
        <vertAlign val="subscript"/>
        <sz val="11"/>
        <color theme="1"/>
        <rFont val="Aptos"/>
        <family val="2"/>
      </rPr>
      <t>m</t>
    </r>
    <r>
      <rPr>
        <sz val="11"/>
        <color theme="1"/>
        <rFont val="Aptos"/>
        <family val="2"/>
      </rPr>
      <t>)- R</t>
    </r>
    <r>
      <rPr>
        <vertAlign val="subscript"/>
        <sz val="11"/>
        <color theme="1"/>
        <rFont val="Aptos"/>
        <family val="2"/>
      </rPr>
      <t>f</t>
    </r>
    <r>
      <rPr>
        <sz val="11"/>
        <color theme="1"/>
        <rFont val="Aptos"/>
        <family val="2"/>
      </rPr>
      <t>] =</t>
    </r>
  </si>
  <si>
    <r>
      <t xml:space="preserve"> β</t>
    </r>
    <r>
      <rPr>
        <vertAlign val="subscript"/>
        <sz val="11"/>
        <color theme="1"/>
        <rFont val="Aptos"/>
        <family val="2"/>
      </rPr>
      <t>new</t>
    </r>
    <r>
      <rPr>
        <sz val="11"/>
        <color theme="1"/>
        <rFont val="Aptos"/>
        <family val="2"/>
      </rPr>
      <t xml:space="preserve"> = </t>
    </r>
  </si>
  <si>
    <r>
      <rPr>
        <b/>
        <sz val="11"/>
        <color theme="1"/>
        <rFont val="Aptos"/>
        <family val="2"/>
      </rPr>
      <t>Solution TCL-1.</t>
    </r>
    <r>
      <rPr>
        <sz val="11"/>
        <color theme="1"/>
        <rFont val="Aptos"/>
        <family val="2"/>
      </rPr>
      <t xml:space="preserve"> You are given the following data  for Insurer Z , with the data evaluated as of December 31, 2030. Assume that all claims are reported and closed at 36 months.</t>
    </r>
  </si>
  <si>
    <t xml:space="preserve">SCRmkt = </t>
  </si>
  <si>
    <t>SCROP =</t>
  </si>
  <si>
    <t>The total SCR before the adjustment is then BSCR + SCROP</t>
  </si>
  <si>
    <t>Assume that tail correlation between natural catastrophe perils is 0.25. Calculate the total SCRCAT.</t>
  </si>
  <si>
    <t>(a) Calculate the total SCRCAT.</t>
  </si>
  <si>
    <t>(b) Calculate the total SCRGI. Assume that the SCR for premium and reserve is as calculated in for "Q1 GI 201 LO 6d".</t>
  </si>
  <si>
    <t>SCRnat =</t>
  </si>
  <si>
    <t>SCRmm =</t>
  </si>
  <si>
    <t>The total SCRCAT is then, assuming independence between natural perils and man-made exposures</t>
  </si>
  <si>
    <t>SCRCAT =</t>
  </si>
  <si>
    <t>The total SCRGI is then</t>
  </si>
  <si>
    <t>SCRGI =</t>
  </si>
  <si>
    <t xml:space="preserve">SCRDEF = </t>
  </si>
  <si>
    <t>For each line, first calculate the volume: vi=(vPi+vRi)x(0.75+0.25 x divi)</t>
  </si>
  <si>
    <t>where divisification fator is 0.25, vPi is the max of net EP in 2023 (actual) and 2024 (est.)</t>
  </si>
  <si>
    <t>vPi</t>
  </si>
  <si>
    <t>vRi</t>
  </si>
  <si>
    <t>vi</t>
  </si>
  <si>
    <t>σi</t>
  </si>
  <si>
    <t>SCRPR(GI)=</t>
  </si>
  <si>
    <r>
      <t xml:space="preserve">This guided example has been developed by </t>
    </r>
    <r>
      <rPr>
        <b/>
        <sz val="11"/>
        <color theme="1"/>
        <rFont val="Aptos"/>
        <family val="2"/>
      </rPr>
      <t>Gennady Stolyarov II (FSA, ACAS, MAAA, CPCU, Are, ARC, API, AIS, AIE, AIAF), ACTEX Learning</t>
    </r>
    <r>
      <rPr>
        <sz val="11"/>
        <color theme="1"/>
        <rFont val="Aptos"/>
        <family val="2"/>
      </rPr>
      <t xml:space="preserve"> with review and edits as appropriate by course curriculum volunteers and SOA staff.</t>
    </r>
  </si>
  <si>
    <r>
      <t xml:space="preserve">This guided example has been developed by </t>
    </r>
    <r>
      <rPr>
        <b/>
        <sz val="11"/>
        <color theme="1"/>
        <rFont val="Aptos"/>
        <family val="2"/>
      </rPr>
      <t>Yanlin Shi (FSA, CERA), ACTEX Learning</t>
    </r>
    <r>
      <rPr>
        <sz val="11"/>
        <color theme="1"/>
        <rFont val="Aptos"/>
        <family val="2"/>
      </rPr>
      <t xml:space="preserve"> with review and edits as appropriate by course curriculum volunteers and SOA staff.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</si>
</sst>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0"/>
    <numFmt numFmtId="165" formatCode="0.0%"/>
    <numFmt numFmtId="169" formatCode="0.000%"/>
    <numFmt numFmtId="170" formatCode="0.0000%"/>
    <numFmt numFmtId="171" formatCode="0.0000"/>
    <numFmt numFmtId="172" formatCode="0.0"/>
    <numFmt numFmtId="173" formatCode="0.0_);[Red]\(0.0\)"/>
    <numFmt numFmtId="174" formatCode="0.0_ "/>
    <numFmt numFmtId="175" formatCode="_-* #,##0.00_-;\-* #,##0.00_-;_-* &quot;-&quot;??_-;_-@_-"/>
    <numFmt numFmtId="178" formatCode="_-&quot;$&quot;* #,##0.00_-;\-&quot;$&quot;* #,##0.00_-;_-&quot;$&quot;* &quot;-&quot;??_-;_-@_-"/>
  </numFmts>
  <fonts count="20">
    <font>
      <sz val="11"/>
      <color theme="1"/>
      <name val="Calibri"/>
      <family val="2"/>
      <scheme val="minor"/>
    </font>
    <font>
      <sz val="11"/>
      <color theme="1"/>
      <name val="Calibri"/>
      <family val="2"/>
      <scheme val="minor"/>
    </font>
    <font>
      <sz val="11"/>
      <color rgb="FF000000"/>
      <name val="Calibri"/>
      <family val="2"/>
    </font>
    <font>
      <sz val="11"/>
      <color theme="1"/>
      <name val="Calibri"/>
      <family val="2"/>
      <charset val="134"/>
      <scheme val="minor"/>
    </font>
    <font>
      <sz val="11"/>
      <name val="Calibri"/>
      <family val="2"/>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sz val="11"/>
      <color theme="1"/>
      <name val="Aptos"/>
      <family val="2"/>
    </font>
    <font>
      <u/>
      <sz val="11"/>
      <color theme="1"/>
      <name val="Aptos"/>
      <family val="2"/>
    </font>
    <font>
      <b/>
      <sz val="11"/>
      <color theme="1"/>
      <name val="Aptos"/>
      <family val="2"/>
    </font>
    <font>
      <i/>
      <u/>
      <sz val="11"/>
      <color theme="1"/>
      <name val="Aptos"/>
      <family val="2"/>
    </font>
    <font>
      <i/>
      <sz val="11"/>
      <color theme="1"/>
      <name val="Aptos"/>
      <family val="2"/>
    </font>
    <font>
      <b/>
      <u/>
      <sz val="11"/>
      <color theme="1"/>
      <name val="Aptos"/>
      <family val="2"/>
    </font>
    <font>
      <vertAlign val="subscript"/>
      <sz val="11"/>
      <color theme="1"/>
      <name val="Aptos"/>
      <family val="2"/>
    </font>
  </fonts>
  <fills count="7">
    <fill>
      <patternFill patternType="none"/>
    </fill>
    <fill>
      <patternFill patternType="gray125"/>
    </fill>
    <fill>
      <patternFill patternType="solid">
        <fgColor theme="6"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6" tint="0.79998168889431442"/>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n">
        <color indexed="64"/>
      </bottom>
      <diagonal/>
    </border>
  </borders>
  <cellStyleXfs count="9">
    <xf numFmtId="0" fontId="0" fillId="0" borderId="0"/>
    <xf numFmtId="0" fontId="2" fillId="0" borderId="0"/>
    <xf numFmtId="0" fontId="3" fillId="0" borderId="0">
      <alignment vertical="center"/>
    </xf>
    <xf numFmtId="9" fontId="3" fillId="0" borderId="0" applyFont="0" applyFill="0" applyBorder="0" applyAlignment="0" applyProtection="0">
      <alignment vertical="center"/>
    </xf>
    <xf numFmtId="0" fontId="4" fillId="0" borderId="0"/>
    <xf numFmtId="9" fontId="4" fillId="0" borderId="0" applyFont="0" applyFill="0" applyBorder="0" applyAlignment="0" applyProtection="0"/>
    <xf numFmtId="175" fontId="4" fillId="0" borderId="0" applyFont="0" applyFill="0" applyBorder="0" applyAlignment="0" applyProtection="0"/>
    <xf numFmtId="178" fontId="4" fillId="0" borderId="0" applyFont="0" applyFill="0" applyBorder="0" applyAlignment="0" applyProtection="0"/>
    <xf numFmtId="0" fontId="5" fillId="0" borderId="0" applyNumberFormat="0" applyFill="0" applyBorder="0" applyAlignment="0" applyProtection="0"/>
  </cellStyleXfs>
  <cellXfs count="94">
    <xf numFmtId="0" fontId="0" fillId="0" borderId="0" xfId="0"/>
    <xf numFmtId="0" fontId="6" fillId="0" borderId="0" xfId="0" applyFont="1" applyAlignment="1">
      <alignment horizontal="center"/>
    </xf>
    <xf numFmtId="0" fontId="7" fillId="0" borderId="0" xfId="0" applyFont="1"/>
    <xf numFmtId="0" fontId="8" fillId="0" borderId="0" xfId="0" applyFont="1" applyAlignment="1">
      <alignment horizontal="center"/>
    </xf>
    <xf numFmtId="0" fontId="0" fillId="0" borderId="0" xfId="0" applyAlignment="1">
      <alignment horizontal="right" vertical="top" indent="1"/>
    </xf>
    <xf numFmtId="0" fontId="9" fillId="0" borderId="0" xfId="0" applyFont="1" applyAlignment="1">
      <alignment horizontal="left" wrapText="1"/>
    </xf>
    <xf numFmtId="0" fontId="9" fillId="0" borderId="0" xfId="0" applyFont="1"/>
    <xf numFmtId="0" fontId="5" fillId="0" borderId="0" xfId="8"/>
    <xf numFmtId="0" fontId="10" fillId="0" borderId="0" xfId="8" applyFont="1"/>
    <xf numFmtId="0" fontId="11" fillId="0" borderId="0" xfId="0" applyFont="1"/>
    <xf numFmtId="0" fontId="12" fillId="0" borderId="0" xfId="0" applyFont="1" applyAlignment="1">
      <alignment horizontal="left"/>
    </xf>
    <xf numFmtId="0" fontId="12" fillId="0" borderId="0" xfId="0" applyFont="1" applyAlignment="1">
      <alignment horizontal="center"/>
    </xf>
    <xf numFmtId="0" fontId="12" fillId="0" borderId="0" xfId="0" applyFont="1" applyAlignment="1">
      <alignment horizontal="right"/>
    </xf>
    <xf numFmtId="0" fontId="13" fillId="0" borderId="0" xfId="2" applyFont="1">
      <alignment vertical="center"/>
    </xf>
    <xf numFmtId="0" fontId="14" fillId="0" borderId="0" xfId="0" applyFont="1"/>
    <xf numFmtId="0" fontId="15" fillId="0" borderId="0" xfId="0" applyFont="1"/>
    <xf numFmtId="0" fontId="15" fillId="0" borderId="0" xfId="2" applyFont="1">
      <alignment vertical="center"/>
    </xf>
    <xf numFmtId="0" fontId="16" fillId="0" borderId="0" xfId="2" applyFont="1">
      <alignment vertical="center"/>
    </xf>
    <xf numFmtId="0" fontId="14" fillId="0" borderId="0" xfId="2" applyFont="1">
      <alignment vertical="center"/>
    </xf>
    <xf numFmtId="0" fontId="15" fillId="0" borderId="0" xfId="2" applyFont="1" applyAlignment="1">
      <alignment horizontal="right" vertical="center"/>
    </xf>
    <xf numFmtId="172" fontId="13" fillId="0" borderId="0" xfId="2" applyNumberFormat="1" applyFont="1">
      <alignment vertical="center"/>
    </xf>
    <xf numFmtId="165" fontId="13" fillId="0" borderId="0" xfId="3" applyNumberFormat="1" applyFont="1">
      <alignment vertical="center"/>
    </xf>
    <xf numFmtId="0" fontId="13" fillId="0" borderId="0" xfId="2" applyFont="1" applyAlignment="1">
      <alignment horizontal="left" vertical="center" indent="18"/>
    </xf>
    <xf numFmtId="0" fontId="13" fillId="0" borderId="0" xfId="2" applyFont="1" applyAlignment="1">
      <alignment horizontal="center" vertical="center" wrapText="1"/>
    </xf>
    <xf numFmtId="0" fontId="13" fillId="0" borderId="0" xfId="2" applyFont="1" applyAlignment="1">
      <alignment horizontal="right" vertical="center"/>
    </xf>
    <xf numFmtId="9" fontId="13" fillId="0" borderId="0" xfId="2" applyNumberFormat="1" applyFont="1">
      <alignment vertical="center"/>
    </xf>
    <xf numFmtId="10" fontId="13" fillId="0" borderId="0" xfId="2" applyNumberFormat="1" applyFont="1">
      <alignment vertical="center"/>
    </xf>
    <xf numFmtId="174" fontId="15" fillId="0" borderId="0" xfId="2" applyNumberFormat="1" applyFont="1">
      <alignment vertical="center"/>
    </xf>
    <xf numFmtId="0" fontId="15" fillId="0" borderId="0" xfId="2" applyFont="1" applyAlignment="1">
      <alignment horizontal="center" vertical="center"/>
    </xf>
    <xf numFmtId="0" fontId="13" fillId="0" borderId="0" xfId="2" applyFont="1" applyAlignment="1">
      <alignment horizontal="center" vertical="center"/>
    </xf>
    <xf numFmtId="0" fontId="16" fillId="0" borderId="15" xfId="2" applyFont="1" applyBorder="1">
      <alignment vertical="center"/>
    </xf>
    <xf numFmtId="0" fontId="17" fillId="0" borderId="15" xfId="2" applyFont="1" applyBorder="1">
      <alignment vertical="center"/>
    </xf>
    <xf numFmtId="9" fontId="13" fillId="0" borderId="0" xfId="3" applyFont="1">
      <alignment vertical="center"/>
    </xf>
    <xf numFmtId="173" fontId="13" fillId="0" borderId="0" xfId="3" applyNumberFormat="1" applyFont="1">
      <alignment vertical="center"/>
    </xf>
    <xf numFmtId="0" fontId="15" fillId="0" borderId="2" xfId="2" applyFont="1" applyBorder="1">
      <alignment vertical="center"/>
    </xf>
    <xf numFmtId="172" fontId="15" fillId="0" borderId="1" xfId="2" applyNumberFormat="1" applyFont="1" applyBorder="1">
      <alignment vertical="center"/>
    </xf>
    <xf numFmtId="0" fontId="13" fillId="0" borderId="15" xfId="2" applyFont="1" applyBorder="1">
      <alignment vertical="center"/>
    </xf>
    <xf numFmtId="0" fontId="15" fillId="0" borderId="1" xfId="2" applyFont="1" applyBorder="1">
      <alignment vertical="center"/>
    </xf>
    <xf numFmtId="173" fontId="15" fillId="0" borderId="1" xfId="3" applyNumberFormat="1" applyFont="1" applyBorder="1">
      <alignment vertical="center"/>
    </xf>
    <xf numFmtId="172" fontId="15" fillId="0" borderId="0" xfId="2" applyNumberFormat="1" applyFont="1">
      <alignment vertical="center"/>
    </xf>
    <xf numFmtId="0" fontId="13" fillId="0" borderId="0" xfId="0" applyFont="1"/>
    <xf numFmtId="0" fontId="13" fillId="0" borderId="0" xfId="0" applyFont="1" applyAlignment="1">
      <alignment vertical="center"/>
    </xf>
    <xf numFmtId="9" fontId="13" fillId="0" borderId="4" xfId="0" applyNumberFormat="1" applyFont="1" applyBorder="1"/>
    <xf numFmtId="165" fontId="13" fillId="0" borderId="4" xfId="0" applyNumberFormat="1" applyFont="1" applyBorder="1"/>
    <xf numFmtId="0" fontId="13" fillId="0" borderId="4" xfId="0" applyFont="1" applyBorder="1"/>
    <xf numFmtId="9" fontId="13" fillId="0" borderId="0" xfId="0" applyNumberFormat="1" applyFont="1"/>
    <xf numFmtId="0" fontId="15" fillId="0" borderId="0" xfId="0" applyFont="1" applyAlignment="1">
      <alignment vertical="center"/>
    </xf>
    <xf numFmtId="0" fontId="18" fillId="0" borderId="0" xfId="0" applyFont="1"/>
    <xf numFmtId="0" fontId="13" fillId="0" borderId="0" xfId="0" applyFont="1" applyAlignment="1">
      <alignment horizontal="center" vertical="center"/>
    </xf>
    <xf numFmtId="0" fontId="13" fillId="0" borderId="0" xfId="0" applyFont="1" applyAlignment="1">
      <alignment horizontal="center"/>
    </xf>
    <xf numFmtId="2" fontId="13" fillId="0" borderId="0" xfId="0" applyNumberFormat="1" applyFont="1"/>
    <xf numFmtId="171" fontId="13" fillId="0" borderId="0" xfId="0" applyNumberFormat="1" applyFont="1"/>
    <xf numFmtId="0" fontId="13" fillId="2" borderId="4" xfId="0" applyFont="1" applyFill="1" applyBorder="1"/>
    <xf numFmtId="10" fontId="13" fillId="2" borderId="4" xfId="0" applyNumberFormat="1" applyFont="1" applyFill="1" applyBorder="1"/>
    <xf numFmtId="164" fontId="13" fillId="0" borderId="0" xfId="0" applyNumberFormat="1" applyFont="1"/>
    <xf numFmtId="0" fontId="13" fillId="3" borderId="4" xfId="0" applyFont="1" applyFill="1" applyBorder="1"/>
    <xf numFmtId="10" fontId="13" fillId="3" borderId="4" xfId="0" applyNumberFormat="1" applyFont="1" applyFill="1" applyBorder="1"/>
    <xf numFmtId="0" fontId="13" fillId="0" borderId="4" xfId="0" applyFont="1" applyBorder="1" applyAlignment="1">
      <alignment horizontal="center" vertical="center"/>
    </xf>
    <xf numFmtId="9" fontId="13" fillId="0" borderId="4" xfId="0" applyNumberFormat="1" applyFont="1" applyBorder="1" applyAlignment="1">
      <alignment horizontal="center" vertical="center"/>
    </xf>
    <xf numFmtId="165" fontId="15" fillId="2" borderId="4" xfId="0" applyNumberFormat="1" applyFont="1" applyFill="1" applyBorder="1"/>
    <xf numFmtId="169" fontId="13" fillId="0" borderId="4" xfId="0" applyNumberFormat="1" applyFont="1" applyBorder="1"/>
    <xf numFmtId="10" fontId="13" fillId="0" borderId="4" xfId="0" applyNumberFormat="1" applyFont="1" applyBorder="1"/>
    <xf numFmtId="169" fontId="15" fillId="2" borderId="4" xfId="0" applyNumberFormat="1" applyFont="1" applyFill="1" applyBorder="1"/>
    <xf numFmtId="0" fontId="15" fillId="2" borderId="4" xfId="0" applyFont="1" applyFill="1" applyBorder="1"/>
    <xf numFmtId="170" fontId="15" fillId="2" borderId="4" xfId="0" applyNumberFormat="1" applyFont="1" applyFill="1" applyBorder="1"/>
    <xf numFmtId="165" fontId="13" fillId="2" borderId="4" xfId="0" applyNumberFormat="1" applyFont="1" applyFill="1" applyBorder="1"/>
    <xf numFmtId="169" fontId="13" fillId="2" borderId="4" xfId="0" applyNumberFormat="1" applyFont="1" applyFill="1" applyBorder="1" applyAlignment="1">
      <alignment vertical="center"/>
    </xf>
    <xf numFmtId="169" fontId="13" fillId="0" borderId="0" xfId="0" applyNumberFormat="1" applyFont="1"/>
    <xf numFmtId="0" fontId="18" fillId="0" borderId="7" xfId="0" applyFont="1" applyBorder="1" applyAlignment="1">
      <alignment horizontal="center" wrapText="1"/>
    </xf>
    <xf numFmtId="0" fontId="18" fillId="0" borderId="9" xfId="0" applyFont="1" applyBorder="1" applyAlignment="1">
      <alignment horizontal="center" wrapText="1"/>
    </xf>
    <xf numFmtId="0" fontId="18" fillId="0" borderId="8" xfId="0" applyFont="1" applyBorder="1" applyAlignment="1">
      <alignment horizontal="center" wrapText="1"/>
    </xf>
    <xf numFmtId="0" fontId="15" fillId="0" borderId="0" xfId="0" applyFont="1" applyAlignment="1">
      <alignment horizontal="center" vertical="center" wrapText="1"/>
    </xf>
    <xf numFmtId="0" fontId="15" fillId="0" borderId="14" xfId="0" applyFont="1" applyBorder="1" applyAlignment="1">
      <alignment horizontal="center"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3" fillId="6" borderId="1" xfId="0" applyFont="1" applyFill="1" applyBorder="1"/>
    <xf numFmtId="0" fontId="13" fillId="6" borderId="5" xfId="0" applyFont="1" applyFill="1" applyBorder="1"/>
    <xf numFmtId="3" fontId="13" fillId="0" borderId="5" xfId="0" applyNumberFormat="1" applyFont="1" applyBorder="1"/>
    <xf numFmtId="0" fontId="13" fillId="0" borderId="5" xfId="0" applyFont="1" applyBorder="1"/>
    <xf numFmtId="3" fontId="15" fillId="5" borderId="5" xfId="0" applyNumberFormat="1" applyFont="1" applyFill="1" applyBorder="1"/>
    <xf numFmtId="3" fontId="15" fillId="5" borderId="1" xfId="0" applyNumberFormat="1" applyFont="1" applyFill="1" applyBorder="1"/>
    <xf numFmtId="3" fontId="13" fillId="0" borderId="1" xfId="0" applyNumberFormat="1" applyFont="1" applyBorder="1"/>
    <xf numFmtId="3" fontId="15" fillId="5" borderId="0" xfId="0" applyNumberFormat="1" applyFont="1" applyFill="1"/>
    <xf numFmtId="3" fontId="13" fillId="4" borderId="1" xfId="0" applyNumberFormat="1" applyFont="1" applyFill="1" applyBorder="1"/>
    <xf numFmtId="3" fontId="15" fillId="5" borderId="6" xfId="0" applyNumberFormat="1" applyFont="1" applyFill="1" applyBorder="1"/>
    <xf numFmtId="3" fontId="13" fillId="0" borderId="6" xfId="0" applyNumberFormat="1" applyFont="1" applyBorder="1"/>
    <xf numFmtId="0" fontId="15" fillId="0" borderId="3" xfId="0" applyFont="1" applyBorder="1" applyAlignment="1">
      <alignment horizontal="center"/>
    </xf>
    <xf numFmtId="3" fontId="15" fillId="5" borderId="11" xfId="0" applyNumberFormat="1" applyFont="1" applyFill="1" applyBorder="1" applyAlignment="1">
      <alignment horizontal="right" vertical="center"/>
    </xf>
    <xf numFmtId="0" fontId="13" fillId="5" borderId="5" xfId="0" applyFont="1" applyFill="1" applyBorder="1"/>
    <xf numFmtId="0" fontId="13" fillId="5" borderId="1" xfId="0" applyFont="1" applyFill="1" applyBorder="1"/>
    <xf numFmtId="0" fontId="13" fillId="5" borderId="0" xfId="0" applyFont="1" applyFill="1"/>
    <xf numFmtId="3" fontId="13" fillId="5" borderId="1" xfId="0" applyNumberFormat="1" applyFont="1" applyFill="1" applyBorder="1"/>
    <xf numFmtId="0" fontId="13" fillId="5" borderId="11" xfId="0" applyFont="1" applyFill="1" applyBorder="1" applyAlignment="1">
      <alignment horizontal="center"/>
    </xf>
    <xf numFmtId="0" fontId="13" fillId="5" borderId="10" xfId="0" applyFont="1" applyFill="1" applyBorder="1" applyAlignment="1">
      <alignment horizontal="center"/>
    </xf>
  </cellXfs>
  <cellStyles count="9">
    <cellStyle name="Comma 2" xfId="6" xr:uid="{479095AC-DA30-4A04-B4B5-0DAC9646D5F3}"/>
    <cellStyle name="Currency 2" xfId="7" xr:uid="{7D502284-633A-4D19-BC47-9B22D316E1C9}"/>
    <cellStyle name="Hyperlink" xfId="8" builtinId="8"/>
    <cellStyle name="Normal" xfId="0" builtinId="0"/>
    <cellStyle name="Normal 2" xfId="1" xr:uid="{1CC3CCD1-D6D4-4CEA-B4A4-BADDB5B35EE8}"/>
    <cellStyle name="Normal 3" xfId="2" xr:uid="{0CB9D59F-D5F5-44C7-B33E-19C7B06BE748}"/>
    <cellStyle name="Normal 4" xfId="4" xr:uid="{0CBC50FE-FC3E-48D8-99E9-3CB5AD7B3AAC}"/>
    <cellStyle name="Percent 2" xfId="3" xr:uid="{1F496699-15B0-4F1A-91DC-CB8151285832}"/>
    <cellStyle name="Percent 3" xfId="5" xr:uid="{C00ADBC5-F48C-45E5-84D9-12F6802EFA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190501</xdr:colOff>
      <xdr:row>0</xdr:row>
      <xdr:rowOff>171451</xdr:rowOff>
    </xdr:from>
    <xdr:ext cx="1521069" cy="517420"/>
    <xdr:pic>
      <xdr:nvPicPr>
        <xdr:cNvPr id="2" name="Picture 1">
          <a:extLst>
            <a:ext uri="{FF2B5EF4-FFF2-40B4-BE49-F238E27FC236}">
              <a16:creationId xmlns:a16="http://schemas.microsoft.com/office/drawing/2014/main" id="{24B0E2C5-34B6-49AD-BB6D-375804BD4C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1069" cy="517420"/>
        </a:xfrm>
        <a:prstGeom prst="rect">
          <a:avLst/>
        </a:prstGeom>
      </xdr:spPr>
    </xdr:pic>
    <xdr:clientData/>
  </xdr:one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E6DBBE05-1959-4735-821B-AC9E339A61BF}"/>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C1152DF4-5FC2-4F8D-9986-BDF90DE6B69F}"/>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79375</xdr:colOff>
      <xdr:row>26</xdr:row>
      <xdr:rowOff>87312</xdr:rowOff>
    </xdr:from>
    <xdr:ext cx="65" cy="172227"/>
    <xdr:sp macro="" textlink="">
      <xdr:nvSpPr>
        <xdr:cNvPr id="2" name="TextBox 1">
          <a:extLst>
            <a:ext uri="{FF2B5EF4-FFF2-40B4-BE49-F238E27FC236}">
              <a16:creationId xmlns:a16="http://schemas.microsoft.com/office/drawing/2014/main" id="{8F147CBB-580A-4D1E-ACC3-D453FC5B9694}"/>
            </a:ext>
          </a:extLst>
        </xdr:cNvPr>
        <xdr:cNvSpPr txBox="1"/>
      </xdr:nvSpPr>
      <xdr:spPr>
        <a:xfrm>
          <a:off x="1298575" y="388969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79375</xdr:colOff>
      <xdr:row>26</xdr:row>
      <xdr:rowOff>87312</xdr:rowOff>
    </xdr:from>
    <xdr:ext cx="65" cy="172227"/>
    <xdr:sp macro="" textlink="">
      <xdr:nvSpPr>
        <xdr:cNvPr id="2" name="TextBox 1">
          <a:extLst>
            <a:ext uri="{FF2B5EF4-FFF2-40B4-BE49-F238E27FC236}">
              <a16:creationId xmlns:a16="http://schemas.microsoft.com/office/drawing/2014/main" id="{4571C54C-1C93-4E71-807C-22A9E686B805}"/>
            </a:ext>
          </a:extLst>
        </xdr:cNvPr>
        <xdr:cNvSpPr txBox="1"/>
      </xdr:nvSpPr>
      <xdr:spPr>
        <a:xfrm>
          <a:off x="1298575" y="3346767"/>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1</xdr:col>
      <xdr:colOff>282575</xdr:colOff>
      <xdr:row>69</xdr:row>
      <xdr:rowOff>22225</xdr:rowOff>
    </xdr:from>
    <xdr:ext cx="3399958" cy="535940"/>
    <xdr:pic>
      <xdr:nvPicPr>
        <xdr:cNvPr id="3" name="Picture 2">
          <a:extLst>
            <a:ext uri="{FF2B5EF4-FFF2-40B4-BE49-F238E27FC236}">
              <a16:creationId xmlns:a16="http://schemas.microsoft.com/office/drawing/2014/main" id="{0481F6BD-C5AB-4C77-9356-038E8DA894B7}"/>
            </a:ext>
          </a:extLst>
        </xdr:cNvPr>
        <xdr:cNvPicPr>
          <a:picLocks noChangeAspect="1"/>
        </xdr:cNvPicPr>
      </xdr:nvPicPr>
      <xdr:blipFill>
        <a:blip xmlns:r="http://schemas.openxmlformats.org/officeDocument/2006/relationships" r:embed="rId1"/>
        <a:stretch>
          <a:fillRect/>
        </a:stretch>
      </xdr:blipFill>
      <xdr:spPr>
        <a:xfrm>
          <a:off x="895985" y="10695940"/>
          <a:ext cx="3399958" cy="535940"/>
        </a:xfrm>
        <a:prstGeom prst="rect">
          <a:avLst/>
        </a:prstGeom>
      </xdr:spPr>
    </xdr:pic>
    <xdr:clientData/>
  </xdr:oneCellAnchor>
  <xdr:oneCellAnchor>
    <xdr:from>
      <xdr:col>2</xdr:col>
      <xdr:colOff>79375</xdr:colOff>
      <xdr:row>26</xdr:row>
      <xdr:rowOff>87312</xdr:rowOff>
    </xdr:from>
    <xdr:ext cx="65" cy="172227"/>
    <xdr:sp macro="" textlink="">
      <xdr:nvSpPr>
        <xdr:cNvPr id="4" name="TextBox 3">
          <a:extLst>
            <a:ext uri="{FF2B5EF4-FFF2-40B4-BE49-F238E27FC236}">
              <a16:creationId xmlns:a16="http://schemas.microsoft.com/office/drawing/2014/main" id="{E250D72F-1AC2-4030-880B-211721D90629}"/>
            </a:ext>
          </a:extLst>
        </xdr:cNvPr>
        <xdr:cNvSpPr txBox="1"/>
      </xdr:nvSpPr>
      <xdr:spPr>
        <a:xfrm>
          <a:off x="5186045" y="4478972"/>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0</xdr:col>
      <xdr:colOff>591820</xdr:colOff>
      <xdr:row>61</xdr:row>
      <xdr:rowOff>2</xdr:rowOff>
    </xdr:from>
    <xdr:ext cx="2943860" cy="344654"/>
    <xdr:pic>
      <xdr:nvPicPr>
        <xdr:cNvPr id="2" name="Picture 1">
          <a:extLst>
            <a:ext uri="{FF2B5EF4-FFF2-40B4-BE49-F238E27FC236}">
              <a16:creationId xmlns:a16="http://schemas.microsoft.com/office/drawing/2014/main" id="{8D8AA78F-D3E5-4483-81EA-3998A42BF101}"/>
            </a:ext>
          </a:extLst>
        </xdr:cNvPr>
        <xdr:cNvPicPr>
          <a:picLocks noChangeAspect="1"/>
        </xdr:cNvPicPr>
      </xdr:nvPicPr>
      <xdr:blipFill>
        <a:blip xmlns:r="http://schemas.openxmlformats.org/officeDocument/2006/relationships" r:embed="rId1"/>
        <a:stretch>
          <a:fillRect/>
        </a:stretch>
      </xdr:blipFill>
      <xdr:spPr>
        <a:xfrm>
          <a:off x="591820" y="10789922"/>
          <a:ext cx="2943860" cy="344654"/>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1022350</xdr:colOff>
      <xdr:row>87</xdr:row>
      <xdr:rowOff>165100</xdr:rowOff>
    </xdr:from>
    <xdr:ext cx="2244088" cy="361950"/>
    <xdr:pic>
      <xdr:nvPicPr>
        <xdr:cNvPr id="2" name="Picture 1">
          <a:extLst>
            <a:ext uri="{FF2B5EF4-FFF2-40B4-BE49-F238E27FC236}">
              <a16:creationId xmlns:a16="http://schemas.microsoft.com/office/drawing/2014/main" id="{D6D7F5F2-053D-470F-A187-6158F1592AA9}"/>
            </a:ext>
          </a:extLst>
        </xdr:cNvPr>
        <xdr:cNvPicPr>
          <a:picLocks noChangeAspect="1"/>
        </xdr:cNvPicPr>
      </xdr:nvPicPr>
      <xdr:blipFill>
        <a:blip xmlns:r="http://schemas.openxmlformats.org/officeDocument/2006/relationships" r:embed="rId1"/>
        <a:stretch>
          <a:fillRect/>
        </a:stretch>
      </xdr:blipFill>
      <xdr:spPr>
        <a:xfrm>
          <a:off x="610870" y="15008860"/>
          <a:ext cx="2244088" cy="3619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societyofactuaries-my.sharepoint.com/personal/dnorris_soa_org/Documents/Documents/Projects/2025-26%20Curriculum/FINAL%20GUIDED%20EXAMPLES/Fully%20Assembled/ILA101%20Guided%20Examples%202025-2026.xlsx" TargetMode="External"/><Relationship Id="rId1" Type="http://schemas.openxmlformats.org/officeDocument/2006/relationships/externalLinkPath" Target="ILA101%20Guided%20Examples%20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
      <sheetName val="Q ILA101-101-25 1a 1b"/>
      <sheetName val="A ILA101-101-25 1a 1b"/>
      <sheetName val="Q ILA101-102-25 1c"/>
      <sheetName val="A ILA101-102-25 1c"/>
      <sheetName val="Q Table Development 2d"/>
      <sheetName val="A Table Development 2d"/>
      <sheetName val="Q ILA101-106-25 2a"/>
      <sheetName val="A ILA101-106-25 2a"/>
      <sheetName val="Q US GAAP Ch 1 4b"/>
      <sheetName val="A US GAAP Ch 1 4b"/>
      <sheetName val="Q ILA101-113-25 5b"/>
      <sheetName val="A ILA101-113-25 5b"/>
      <sheetName val="Q RILA 1a 1b"/>
      <sheetName val="A RILA 1a 1b"/>
      <sheetName val="Q Experience Study 2e"/>
      <sheetName val="A Experience Study 2e"/>
      <sheetName val="Q Tiller Ch 4 5e"/>
      <sheetName val="A Tiller Ch 4 5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DAABE-DACA-4F17-BAD4-B8A4B2A78D48}">
  <sheetPr>
    <tabColor rgb="FF0070C0"/>
    <pageSetUpPr autoPageBreaks="0"/>
  </sheetPr>
  <dimension ref="A6:K22"/>
  <sheetViews>
    <sheetView showGridLines="0" tabSelected="1" zoomScale="115" zoomScaleNormal="115" workbookViewId="0"/>
  </sheetViews>
  <sheetFormatPr defaultRowHeight="14.4"/>
  <sheetData>
    <row r="6" spans="1:10" ht="33.6">
      <c r="A6" s="1" t="s">
        <v>270</v>
      </c>
      <c r="B6" s="1"/>
      <c r="C6" s="1"/>
      <c r="D6" s="1"/>
      <c r="E6" s="1"/>
      <c r="F6" s="1"/>
      <c r="G6" s="1"/>
      <c r="H6" s="1"/>
      <c r="I6" s="1"/>
      <c r="J6" s="1"/>
    </row>
    <row r="7" spans="1:10" ht="6" customHeight="1">
      <c r="A7" s="2"/>
      <c r="B7" s="2"/>
      <c r="C7" s="2"/>
      <c r="D7" s="2"/>
      <c r="E7" s="2"/>
      <c r="F7" s="2"/>
      <c r="G7" s="2"/>
      <c r="H7" s="2"/>
      <c r="I7" s="2"/>
      <c r="J7" s="2"/>
    </row>
    <row r="8" spans="1:10" ht="21">
      <c r="A8" s="3" t="s">
        <v>281</v>
      </c>
      <c r="B8" s="3"/>
      <c r="C8" s="3"/>
      <c r="D8" s="3"/>
      <c r="E8" s="3"/>
      <c r="F8" s="3"/>
      <c r="G8" s="3"/>
      <c r="H8" s="3"/>
      <c r="I8" s="3"/>
      <c r="J8" s="3"/>
    </row>
    <row r="10" spans="1:10" ht="75" customHeight="1">
      <c r="A10" s="4" t="s">
        <v>271</v>
      </c>
      <c r="B10" s="5" t="s">
        <v>272</v>
      </c>
      <c r="C10" s="5"/>
      <c r="D10" s="5"/>
      <c r="E10" s="5"/>
      <c r="F10" s="5"/>
      <c r="G10" s="5"/>
      <c r="H10" s="5"/>
      <c r="I10" s="5"/>
      <c r="J10" s="5"/>
    </row>
    <row r="11" spans="1:10">
      <c r="B11" s="6"/>
      <c r="C11" s="6"/>
      <c r="D11" s="6"/>
      <c r="E11" s="6"/>
      <c r="F11" s="6"/>
      <c r="G11" s="6"/>
      <c r="H11" s="6"/>
      <c r="I11" s="6"/>
      <c r="J11" s="6"/>
    </row>
    <row r="12" spans="1:10" ht="45" customHeight="1">
      <c r="A12" s="4" t="s">
        <v>271</v>
      </c>
      <c r="B12" s="5" t="s">
        <v>273</v>
      </c>
      <c r="C12" s="5"/>
      <c r="D12" s="5"/>
      <c r="E12" s="5"/>
      <c r="F12" s="5"/>
      <c r="G12" s="5"/>
      <c r="H12" s="5"/>
      <c r="I12" s="5"/>
      <c r="J12" s="5"/>
    </row>
    <row r="13" spans="1:10">
      <c r="B13" s="6"/>
      <c r="C13" s="6"/>
      <c r="D13" s="6"/>
      <c r="E13" s="6"/>
      <c r="F13" s="6"/>
      <c r="G13" s="6"/>
      <c r="H13" s="6"/>
      <c r="I13" s="6"/>
      <c r="J13" s="6"/>
    </row>
    <row r="14" spans="1:10" ht="30" customHeight="1">
      <c r="A14" s="4" t="s">
        <v>271</v>
      </c>
      <c r="B14" s="5" t="s">
        <v>274</v>
      </c>
      <c r="C14" s="5"/>
      <c r="D14" s="5"/>
      <c r="E14" s="5"/>
      <c r="F14" s="5"/>
      <c r="G14" s="5"/>
      <c r="H14" s="5"/>
      <c r="I14" s="5"/>
      <c r="J14" s="5"/>
    </row>
    <row r="15" spans="1:10">
      <c r="B15" s="6"/>
      <c r="C15" s="6"/>
      <c r="D15" s="6"/>
      <c r="E15" s="6"/>
      <c r="F15" s="6"/>
      <c r="G15" s="6"/>
      <c r="H15" s="6"/>
      <c r="I15" s="6"/>
      <c r="J15" s="6"/>
    </row>
    <row r="16" spans="1:10" ht="42.6" customHeight="1">
      <c r="A16" s="4" t="s">
        <v>271</v>
      </c>
      <c r="B16" s="5" t="s">
        <v>275</v>
      </c>
      <c r="C16" s="5"/>
      <c r="D16" s="5"/>
      <c r="E16" s="5"/>
      <c r="F16" s="5"/>
      <c r="G16" s="5"/>
      <c r="H16" s="5"/>
      <c r="I16" s="5"/>
      <c r="J16" s="5"/>
    </row>
    <row r="17" spans="1:11">
      <c r="B17" s="6"/>
      <c r="C17" s="6"/>
      <c r="D17" s="6"/>
      <c r="E17" s="6"/>
      <c r="F17" s="6"/>
      <c r="G17" s="6"/>
      <c r="H17" s="6"/>
      <c r="I17" s="6"/>
      <c r="J17" s="6"/>
      <c r="K17" s="7"/>
    </row>
    <row r="18" spans="1:11" ht="74.400000000000006" customHeight="1">
      <c r="A18" s="4" t="s">
        <v>271</v>
      </c>
      <c r="B18" s="5" t="s">
        <v>276</v>
      </c>
      <c r="C18" s="5"/>
      <c r="D18" s="5"/>
      <c r="E18" s="5"/>
      <c r="F18" s="5"/>
      <c r="G18" s="5"/>
      <c r="H18" s="5"/>
      <c r="I18" s="5"/>
      <c r="J18" s="5"/>
    </row>
    <row r="19" spans="1:11">
      <c r="B19" s="8" t="s">
        <v>277</v>
      </c>
      <c r="C19" s="9"/>
      <c r="D19" s="9"/>
      <c r="E19" s="9"/>
      <c r="F19" s="9"/>
      <c r="G19" s="9"/>
      <c r="H19" s="9"/>
      <c r="I19" s="9"/>
      <c r="J19" s="9"/>
    </row>
    <row r="22" spans="1:11">
      <c r="B22" s="10" t="s">
        <v>278</v>
      </c>
      <c r="C22" s="10"/>
      <c r="D22" s="11" t="s">
        <v>279</v>
      </c>
      <c r="E22" s="11"/>
      <c r="F22" s="11"/>
      <c r="G22" s="11"/>
      <c r="H22" s="12" t="s">
        <v>280</v>
      </c>
      <c r="I22" s="12"/>
      <c r="J22" s="12"/>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72E343B2-0500-4AD4-BE7C-D5047D7FA759}"/>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4A2984-5F57-4ACD-94D8-57320236AD9B}">
  <sheetPr>
    <tabColor theme="5" tint="0.39997558519241921"/>
  </sheetPr>
  <dimension ref="A1:M16"/>
  <sheetViews>
    <sheetView workbookViewId="0"/>
  </sheetViews>
  <sheetFormatPr defaultColWidth="8.88671875" defaultRowHeight="14.4"/>
  <cols>
    <col min="1" max="16384" width="8.88671875" style="40"/>
  </cols>
  <sheetData>
    <row r="1" spans="1:13">
      <c r="A1" s="40" t="s">
        <v>327</v>
      </c>
    </row>
    <row r="3" spans="1:13">
      <c r="A3" s="14" t="s">
        <v>0</v>
      </c>
    </row>
    <row r="4" spans="1:13">
      <c r="A4" s="15" t="s">
        <v>115</v>
      </c>
    </row>
    <row r="5" spans="1:13">
      <c r="A5" s="15"/>
    </row>
    <row r="6" spans="1:13" ht="15" thickBot="1">
      <c r="A6" s="41" t="s">
        <v>116</v>
      </c>
    </row>
    <row r="7" spans="1:13" ht="15" thickBot="1">
      <c r="A7" s="41" t="s">
        <v>37</v>
      </c>
      <c r="M7" s="42">
        <v>0.06</v>
      </c>
    </row>
    <row r="8" spans="1:13" ht="15" thickBot="1">
      <c r="A8" s="41" t="s">
        <v>38</v>
      </c>
    </row>
    <row r="9" spans="1:13" ht="15" thickBot="1">
      <c r="A9" s="41" t="s">
        <v>39</v>
      </c>
      <c r="H9" s="44">
        <v>1800</v>
      </c>
    </row>
    <row r="10" spans="1:13" ht="15" thickBot="1">
      <c r="A10" s="41" t="s">
        <v>40</v>
      </c>
      <c r="H10" s="44">
        <v>99</v>
      </c>
    </row>
    <row r="11" spans="1:13" ht="15" thickBot="1">
      <c r="A11" s="41" t="s">
        <v>41</v>
      </c>
      <c r="E11" s="44">
        <v>1200</v>
      </c>
    </row>
    <row r="12" spans="1:13" ht="15" thickBot="1">
      <c r="A12" s="41" t="s">
        <v>42</v>
      </c>
      <c r="I12" s="42">
        <v>0.25</v>
      </c>
    </row>
    <row r="13" spans="1:13">
      <c r="A13" s="46"/>
    </row>
    <row r="14" spans="1:13">
      <c r="A14" s="46" t="s">
        <v>282</v>
      </c>
    </row>
    <row r="16" spans="1:13">
      <c r="A16" s="46" t="s">
        <v>283</v>
      </c>
    </row>
  </sheetData>
  <pageMargins left="0.7" right="0.7" top="0.75" bottom="0.75" header="0.3" footer="0.3"/>
  <pageSetup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CBC1B-9FBE-4B7F-8298-C083218C0F23}">
  <sheetPr>
    <tabColor theme="9" tint="0.59999389629810485"/>
  </sheetPr>
  <dimension ref="A1:N33"/>
  <sheetViews>
    <sheetView workbookViewId="0"/>
  </sheetViews>
  <sheetFormatPr defaultColWidth="8.88671875" defaultRowHeight="14.4"/>
  <cols>
    <col min="1" max="1" width="11.6640625" style="40" customWidth="1"/>
    <col min="2" max="2" width="8.88671875" style="40"/>
    <col min="3" max="3" width="12.6640625" style="40" customWidth="1"/>
    <col min="4" max="4" width="8.88671875" style="40"/>
    <col min="5" max="5" width="11.88671875" style="40" customWidth="1"/>
    <col min="6" max="6" width="4.6640625" style="40" customWidth="1"/>
    <col min="7" max="7" width="5.44140625" style="40" customWidth="1"/>
    <col min="8" max="8" width="10" style="40" customWidth="1"/>
    <col min="9" max="9" width="5.109375" style="40" customWidth="1"/>
    <col min="10" max="10" width="7" style="40" customWidth="1"/>
    <col min="11" max="11" width="2.88671875" style="40" customWidth="1"/>
    <col min="12" max="12" width="15" style="40" customWidth="1"/>
    <col min="13" max="13" width="5" style="40" customWidth="1"/>
    <col min="14" max="16384" width="8.88671875" style="40"/>
  </cols>
  <sheetData>
    <row r="1" spans="1:13">
      <c r="A1" s="40" t="s">
        <v>327</v>
      </c>
    </row>
    <row r="3" spans="1:13">
      <c r="A3" s="14" t="s">
        <v>0</v>
      </c>
    </row>
    <row r="4" spans="1:13">
      <c r="A4" s="15" t="s">
        <v>115</v>
      </c>
    </row>
    <row r="5" spans="1:13">
      <c r="A5" s="15"/>
    </row>
    <row r="6" spans="1:13" ht="15" thickBot="1">
      <c r="A6" s="41" t="s">
        <v>116</v>
      </c>
    </row>
    <row r="7" spans="1:13" ht="15" thickBot="1">
      <c r="A7" s="41" t="s">
        <v>37</v>
      </c>
      <c r="M7" s="42">
        <v>0.06</v>
      </c>
    </row>
    <row r="8" spans="1:13" ht="15" thickBot="1">
      <c r="A8" s="41" t="s">
        <v>38</v>
      </c>
    </row>
    <row r="9" spans="1:13" ht="15" thickBot="1">
      <c r="A9" s="41" t="s">
        <v>39</v>
      </c>
      <c r="H9" s="44">
        <v>1800</v>
      </c>
    </row>
    <row r="10" spans="1:13" ht="15" thickBot="1">
      <c r="A10" s="41" t="s">
        <v>40</v>
      </c>
      <c r="H10" s="44">
        <v>99</v>
      </c>
    </row>
    <row r="11" spans="1:13" ht="15" thickBot="1">
      <c r="A11" s="41" t="s">
        <v>41</v>
      </c>
      <c r="E11" s="44">
        <v>1200</v>
      </c>
    </row>
    <row r="12" spans="1:13" ht="15" thickBot="1">
      <c r="A12" s="41" t="s">
        <v>42</v>
      </c>
      <c r="I12" s="42">
        <v>0.25</v>
      </c>
    </row>
    <row r="13" spans="1:13">
      <c r="A13" s="46"/>
    </row>
    <row r="14" spans="1:13">
      <c r="A14" s="46" t="s">
        <v>282</v>
      </c>
    </row>
    <row r="16" spans="1:13">
      <c r="A16" s="41" t="s">
        <v>43</v>
      </c>
    </row>
    <row r="18" spans="1:14">
      <c r="A18" s="40" t="s">
        <v>44</v>
      </c>
      <c r="B18" s="40">
        <f>H9/(1+M7)</f>
        <v>1698.1132075471696</v>
      </c>
    </row>
    <row r="19" spans="1:14">
      <c r="A19" s="40" t="s">
        <v>45</v>
      </c>
      <c r="B19" s="40">
        <f>H10</f>
        <v>99</v>
      </c>
    </row>
    <row r="20" spans="1:14">
      <c r="A20" s="40" t="s">
        <v>46</v>
      </c>
      <c r="F20" s="40" t="s">
        <v>47</v>
      </c>
      <c r="G20" s="40">
        <f>H9+H10</f>
        <v>1899</v>
      </c>
    </row>
    <row r="21" spans="1:14">
      <c r="A21" s="40" t="s">
        <v>48</v>
      </c>
      <c r="D21" s="45">
        <f>I12</f>
        <v>0.25</v>
      </c>
      <c r="E21" s="40" t="s">
        <v>49</v>
      </c>
      <c r="F21" s="40" t="s">
        <v>47</v>
      </c>
      <c r="G21" s="40">
        <f>G20</f>
        <v>1899</v>
      </c>
      <c r="H21" s="40" t="s">
        <v>50</v>
      </c>
    </row>
    <row r="22" spans="1:14">
      <c r="A22" s="40" t="s">
        <v>51</v>
      </c>
      <c r="E22" s="45">
        <f>D21</f>
        <v>0.25</v>
      </c>
      <c r="F22" s="40" t="s">
        <v>49</v>
      </c>
      <c r="G22" s="40" t="s">
        <v>47</v>
      </c>
      <c r="H22" s="40">
        <f>G21</f>
        <v>1899</v>
      </c>
      <c r="I22" s="40" t="s">
        <v>52</v>
      </c>
      <c r="J22" s="40">
        <f>1+M7</f>
        <v>1.06</v>
      </c>
      <c r="K22" s="40" t="s">
        <v>5</v>
      </c>
      <c r="L22" s="40">
        <f>E22/J22</f>
        <v>0.23584905660377356</v>
      </c>
      <c r="M22" s="40" t="s">
        <v>47</v>
      </c>
      <c r="N22" s="40">
        <f>E22*H22/J22</f>
        <v>447.877358490566</v>
      </c>
    </row>
    <row r="23" spans="1:14">
      <c r="A23" s="40" t="s">
        <v>53</v>
      </c>
      <c r="I23" s="40" t="s">
        <v>54</v>
      </c>
      <c r="J23" s="40">
        <f>E11-H10</f>
        <v>1101</v>
      </c>
      <c r="K23" s="40" t="s">
        <v>55</v>
      </c>
      <c r="L23" s="45">
        <f>M7</f>
        <v>0.06</v>
      </c>
    </row>
    <row r="24" spans="1:14">
      <c r="A24" s="40" t="s">
        <v>48</v>
      </c>
      <c r="E24" s="54">
        <f>D21*L23</f>
        <v>1.4999999999999999E-2</v>
      </c>
      <c r="F24" s="40" t="s">
        <v>4</v>
      </c>
      <c r="G24" s="40" t="s">
        <v>54</v>
      </c>
      <c r="H24" s="40">
        <f>J23</f>
        <v>1101</v>
      </c>
      <c r="I24" s="40" t="s">
        <v>50</v>
      </c>
    </row>
    <row r="25" spans="1:14">
      <c r="A25" s="40" t="s">
        <v>56</v>
      </c>
      <c r="E25" s="40">
        <f>E24/(1+M7)</f>
        <v>1.4150943396226414E-2</v>
      </c>
      <c r="F25" s="40" t="s">
        <v>57</v>
      </c>
      <c r="G25" s="40" t="s">
        <v>12</v>
      </c>
      <c r="H25" s="40">
        <f>E24*H24</f>
        <v>16.515000000000001</v>
      </c>
    </row>
    <row r="26" spans="1:14">
      <c r="A26" s="40" t="s">
        <v>3</v>
      </c>
      <c r="B26" s="40">
        <f>L22+E25</f>
        <v>0.24999999999999997</v>
      </c>
      <c r="C26" s="40" t="s">
        <v>57</v>
      </c>
      <c r="D26" s="40" t="s">
        <v>12</v>
      </c>
      <c r="E26" s="40">
        <f>B18+B19-N22+H25</f>
        <v>1365.7508490566038</v>
      </c>
    </row>
    <row r="27" spans="1:14" ht="15" thickBot="1">
      <c r="A27" s="40">
        <f>1-B26</f>
        <v>0.75</v>
      </c>
      <c r="B27" s="40" t="s">
        <v>58</v>
      </c>
      <c r="C27" s="40">
        <f>E26</f>
        <v>1365.7508490566038</v>
      </c>
    </row>
    <row r="28" spans="1:14" ht="15" thickBot="1">
      <c r="B28" s="40" t="s">
        <v>58</v>
      </c>
      <c r="C28" s="55">
        <f>C27/A27</f>
        <v>1821.0011320754718</v>
      </c>
    </row>
    <row r="30" spans="1:14">
      <c r="A30" s="46" t="s">
        <v>283</v>
      </c>
    </row>
    <row r="32" spans="1:14" ht="15" thickBot="1">
      <c r="A32" s="40" t="s">
        <v>59</v>
      </c>
      <c r="E32" s="40">
        <f>1-(H9+H10)/C28</f>
        <v>-4.2832959601529552E-2</v>
      </c>
    </row>
    <row r="33" spans="1:5" ht="15" thickBot="1">
      <c r="A33" s="40" t="s">
        <v>60</v>
      </c>
      <c r="E33" s="56">
        <f>E32</f>
        <v>-4.2832959601529552E-2</v>
      </c>
    </row>
  </sheetData>
  <pageMargins left="0.7" right="0.7" top="0.75" bottom="0.75" header="0.3" footer="0.3"/>
  <pageSetup orientation="portrait" horizontalDpi="0"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6B730-2074-4AB6-BC42-E06981F116E7}">
  <sheetPr>
    <tabColor theme="5" tint="0.39997558519241921"/>
  </sheetPr>
  <dimension ref="A1:R22"/>
  <sheetViews>
    <sheetView workbookViewId="0"/>
  </sheetViews>
  <sheetFormatPr defaultColWidth="8.88671875" defaultRowHeight="14.4"/>
  <cols>
    <col min="1" max="7" width="8.88671875" style="40"/>
    <col min="8" max="8" width="10.109375" style="40" customWidth="1"/>
    <col min="9" max="16384" width="8.88671875" style="40"/>
  </cols>
  <sheetData>
    <row r="1" spans="1:18">
      <c r="A1" s="40" t="s">
        <v>327</v>
      </c>
    </row>
    <row r="3" spans="1:18">
      <c r="A3" s="14" t="s">
        <v>0</v>
      </c>
    </row>
    <row r="4" spans="1:18">
      <c r="A4" s="15" t="s">
        <v>115</v>
      </c>
    </row>
    <row r="5" spans="1:18">
      <c r="A5" s="15"/>
    </row>
    <row r="6" spans="1:18" ht="15" thickBot="1">
      <c r="A6" s="41" t="s">
        <v>116</v>
      </c>
    </row>
    <row r="7" spans="1:18" ht="15" thickBot="1">
      <c r="A7" s="41" t="s">
        <v>61</v>
      </c>
      <c r="J7" s="42">
        <v>0.04</v>
      </c>
    </row>
    <row r="8" spans="1:18" ht="15" thickBot="1">
      <c r="A8" s="40" t="s">
        <v>62</v>
      </c>
      <c r="E8" s="43">
        <v>2.5000000000000001E-2</v>
      </c>
    </row>
    <row r="9" spans="1:18" ht="15" thickBot="1">
      <c r="A9" s="40" t="s">
        <v>63</v>
      </c>
      <c r="R9" s="42">
        <v>0.06</v>
      </c>
    </row>
    <row r="10" spans="1:18" ht="15" thickBot="1">
      <c r="A10" s="41" t="s">
        <v>64</v>
      </c>
    </row>
    <row r="11" spans="1:18" ht="15" thickBot="1">
      <c r="A11" s="40" t="s">
        <v>65</v>
      </c>
      <c r="D11" s="44">
        <v>2000</v>
      </c>
    </row>
    <row r="12" spans="1:18" ht="15" thickBot="1">
      <c r="A12" s="40" t="s">
        <v>66</v>
      </c>
    </row>
    <row r="13" spans="1:18" ht="15" thickBot="1">
      <c r="A13" s="40" t="s">
        <v>67</v>
      </c>
      <c r="E13" s="44">
        <v>165</v>
      </c>
    </row>
    <row r="14" spans="1:18" ht="15" thickBot="1">
      <c r="A14" s="41" t="s">
        <v>68</v>
      </c>
      <c r="I14" s="44">
        <v>85</v>
      </c>
    </row>
    <row r="15" spans="1:18" ht="15" thickBot="1">
      <c r="A15" s="41" t="s">
        <v>69</v>
      </c>
      <c r="I15" s="44">
        <f>E13-I14</f>
        <v>80</v>
      </c>
    </row>
    <row r="16" spans="1:18" ht="15" thickBot="1">
      <c r="A16" s="41" t="s">
        <v>70</v>
      </c>
      <c r="E16" s="44">
        <v>1200</v>
      </c>
    </row>
    <row r="17" spans="1:9" ht="15" thickBot="1">
      <c r="A17" s="41" t="s">
        <v>71</v>
      </c>
    </row>
    <row r="18" spans="1:9" ht="15" thickBot="1">
      <c r="A18" s="41" t="s">
        <v>72</v>
      </c>
      <c r="I18" s="42">
        <v>0.18</v>
      </c>
    </row>
    <row r="19" spans="1:9">
      <c r="A19" s="41"/>
      <c r="I19" s="45"/>
    </row>
    <row r="20" spans="1:9">
      <c r="A20" s="46" t="s">
        <v>282</v>
      </c>
    </row>
    <row r="22" spans="1:9">
      <c r="A22" s="46" t="s">
        <v>283</v>
      </c>
    </row>
  </sheetData>
  <pageMargins left="0.7" right="0.7" top="0.75" bottom="0.75" header="0.3" footer="0.3"/>
  <pageSetup orientation="portrait" horizontalDpi="0"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E720F-7D4C-47B9-85FE-C0F21C5CC4F7}">
  <sheetPr>
    <tabColor theme="9" tint="0.59999389629810485"/>
  </sheetPr>
  <dimension ref="A1:Q78"/>
  <sheetViews>
    <sheetView workbookViewId="0"/>
  </sheetViews>
  <sheetFormatPr defaultColWidth="8.88671875" defaultRowHeight="14.4"/>
  <cols>
    <col min="1" max="1" width="10.33203125" style="40" customWidth="1"/>
    <col min="2" max="3" width="8.88671875" style="40"/>
    <col min="4" max="4" width="12.6640625" style="40" customWidth="1"/>
    <col min="5" max="5" width="11" style="40" customWidth="1"/>
    <col min="6" max="6" width="13.88671875" style="40" customWidth="1"/>
    <col min="7" max="7" width="8.88671875" style="40"/>
    <col min="8" max="8" width="10.109375" style="40" customWidth="1"/>
    <col min="9" max="9" width="8.88671875" style="40"/>
    <col min="10" max="10" width="13.44140625" style="40" customWidth="1"/>
    <col min="11" max="11" width="8.88671875" style="40"/>
    <col min="12" max="12" width="15.33203125" style="40" customWidth="1"/>
    <col min="13" max="16384" width="8.88671875" style="40"/>
  </cols>
  <sheetData>
    <row r="1" spans="1:17">
      <c r="A1" s="40" t="s">
        <v>327</v>
      </c>
    </row>
    <row r="3" spans="1:17">
      <c r="A3" s="14" t="s">
        <v>0</v>
      </c>
    </row>
    <row r="4" spans="1:17">
      <c r="A4" s="15" t="s">
        <v>115</v>
      </c>
    </row>
    <row r="5" spans="1:17">
      <c r="A5" s="15"/>
    </row>
    <row r="6" spans="1:17" ht="15" thickBot="1">
      <c r="A6" s="41" t="s">
        <v>116</v>
      </c>
    </row>
    <row r="7" spans="1:17" ht="15" thickBot="1">
      <c r="A7" s="41" t="s">
        <v>61</v>
      </c>
      <c r="I7" s="42">
        <v>0.04</v>
      </c>
    </row>
    <row r="8" spans="1:17" ht="15" thickBot="1">
      <c r="A8" s="40" t="s">
        <v>62</v>
      </c>
      <c r="E8" s="43">
        <v>2.5000000000000001E-2</v>
      </c>
    </row>
    <row r="9" spans="1:17" ht="15" thickBot="1">
      <c r="A9" s="40" t="s">
        <v>63</v>
      </c>
      <c r="Q9" s="42">
        <v>0.06</v>
      </c>
    </row>
    <row r="10" spans="1:17" ht="15" thickBot="1">
      <c r="A10" s="41" t="s">
        <v>64</v>
      </c>
    </row>
    <row r="11" spans="1:17" ht="15" thickBot="1">
      <c r="A11" s="40" t="s">
        <v>65</v>
      </c>
      <c r="D11" s="44">
        <v>2000</v>
      </c>
    </row>
    <row r="12" spans="1:17" ht="15" thickBot="1">
      <c r="A12" s="40" t="s">
        <v>66</v>
      </c>
    </row>
    <row r="13" spans="1:17" ht="15" thickBot="1">
      <c r="A13" s="40" t="s">
        <v>67</v>
      </c>
      <c r="E13" s="44">
        <v>165</v>
      </c>
    </row>
    <row r="14" spans="1:17" ht="15" thickBot="1">
      <c r="A14" s="41" t="s">
        <v>68</v>
      </c>
      <c r="H14" s="44">
        <v>85</v>
      </c>
    </row>
    <row r="15" spans="1:17" ht="15" thickBot="1">
      <c r="A15" s="41" t="s">
        <v>69</v>
      </c>
      <c r="I15" s="44">
        <f>E13-H14</f>
        <v>80</v>
      </c>
    </row>
    <row r="16" spans="1:17" ht="15" thickBot="1">
      <c r="A16" s="41" t="s">
        <v>70</v>
      </c>
      <c r="E16" s="44">
        <v>1200</v>
      </c>
    </row>
    <row r="17" spans="1:9" ht="15" thickBot="1">
      <c r="A17" s="41" t="s">
        <v>71</v>
      </c>
    </row>
    <row r="18" spans="1:9" ht="15" thickBot="1">
      <c r="A18" s="41" t="s">
        <v>72</v>
      </c>
      <c r="H18" s="42">
        <v>0.18</v>
      </c>
    </row>
    <row r="19" spans="1:9">
      <c r="A19" s="41"/>
      <c r="I19" s="45"/>
    </row>
    <row r="20" spans="1:9">
      <c r="A20" s="46" t="s">
        <v>282</v>
      </c>
    </row>
    <row r="22" spans="1:9">
      <c r="A22" s="40" t="s">
        <v>73</v>
      </c>
    </row>
    <row r="23" spans="1:9">
      <c r="A23" s="40" t="s">
        <v>74</v>
      </c>
      <c r="B23" s="40">
        <f>(1+I7)^(1/12)</f>
        <v>1.0032737397821989</v>
      </c>
      <c r="C23" s="40" t="s">
        <v>5</v>
      </c>
      <c r="D23" s="40">
        <f>1/B23</f>
        <v>0.99673694261856227</v>
      </c>
      <c r="E23" s="40" t="s">
        <v>57</v>
      </c>
    </row>
    <row r="24" spans="1:9">
      <c r="B24" s="47" t="s">
        <v>75</v>
      </c>
      <c r="D24" s="47" t="s">
        <v>76</v>
      </c>
    </row>
    <row r="25" spans="1:9">
      <c r="A25" s="40" t="s">
        <v>44</v>
      </c>
      <c r="B25" s="40">
        <f>(D11/2)/(1+E8)</f>
        <v>975.6097560975611</v>
      </c>
      <c r="C25" s="48" t="s">
        <v>12</v>
      </c>
      <c r="D25" s="40">
        <f>(D11/2)/(1+E8)^2</f>
        <v>951.81439619274249</v>
      </c>
      <c r="E25" s="49" t="s">
        <v>5</v>
      </c>
      <c r="F25" s="40">
        <f>B25+D25</f>
        <v>1927.4241522903035</v>
      </c>
    </row>
    <row r="27" spans="1:9">
      <c r="A27" s="40" t="s">
        <v>77</v>
      </c>
      <c r="B27" s="40">
        <f>H14</f>
        <v>85</v>
      </c>
      <c r="C27" s="48" t="s">
        <v>12</v>
      </c>
      <c r="D27" s="40">
        <f>I15*(1+I7)^3</f>
        <v>89.989120000000014</v>
      </c>
      <c r="E27" s="49" t="s">
        <v>5</v>
      </c>
      <c r="F27" s="40">
        <f>B27+D27</f>
        <v>174.98912000000001</v>
      </c>
    </row>
    <row r="28" spans="1:9">
      <c r="D28" s="40" t="s">
        <v>78</v>
      </c>
    </row>
    <row r="30" spans="1:9">
      <c r="A30" s="40" t="s">
        <v>79</v>
      </c>
    </row>
    <row r="31" spans="1:9">
      <c r="A31" s="40" t="s">
        <v>80</v>
      </c>
    </row>
    <row r="33" spans="1:11">
      <c r="A33" s="40" t="s">
        <v>81</v>
      </c>
      <c r="E33" s="40">
        <f>F27</f>
        <v>174.98912000000001</v>
      </c>
    </row>
    <row r="34" spans="1:11">
      <c r="A34" s="40" t="s">
        <v>82</v>
      </c>
      <c r="F34" s="45">
        <f>H18</f>
        <v>0.18</v>
      </c>
      <c r="G34" s="40" t="s">
        <v>83</v>
      </c>
      <c r="H34" s="40">
        <f>E33</f>
        <v>174.98912000000001</v>
      </c>
      <c r="I34" s="40" t="s">
        <v>50</v>
      </c>
    </row>
    <row r="35" spans="1:11">
      <c r="A35" s="40" t="s">
        <v>84</v>
      </c>
      <c r="F35" s="45">
        <f>H18</f>
        <v>0.18</v>
      </c>
      <c r="G35" s="40" t="s">
        <v>83</v>
      </c>
      <c r="H35" s="40">
        <f>E33</f>
        <v>174.98912000000001</v>
      </c>
      <c r="I35" s="40" t="s">
        <v>52</v>
      </c>
      <c r="J35" s="50">
        <f>1+I7</f>
        <v>1.04</v>
      </c>
    </row>
    <row r="36" spans="1:11">
      <c r="A36" s="40" t="s">
        <v>85</v>
      </c>
      <c r="F36" s="40">
        <f>F35/J35</f>
        <v>0.17307692307692307</v>
      </c>
      <c r="G36" s="40" t="s">
        <v>86</v>
      </c>
      <c r="H36" s="40">
        <f>F35*H35/J35</f>
        <v>30.286578461538461</v>
      </c>
    </row>
    <row r="38" spans="1:11">
      <c r="A38" s="40" t="s">
        <v>87</v>
      </c>
    </row>
    <row r="39" spans="1:11">
      <c r="A39" s="40" t="s">
        <v>88</v>
      </c>
      <c r="F39" s="40">
        <f>(D11/2)</f>
        <v>1000</v>
      </c>
      <c r="G39" s="49" t="s">
        <v>12</v>
      </c>
      <c r="H39" s="40">
        <f>(D11/2)/(1+Q9)</f>
        <v>943.39622641509425</v>
      </c>
      <c r="I39" s="49" t="s">
        <v>5</v>
      </c>
      <c r="J39" s="40">
        <f>F39+H39</f>
        <v>1943.3962264150941</v>
      </c>
    </row>
    <row r="40" spans="1:11">
      <c r="A40" s="40" t="s">
        <v>89</v>
      </c>
      <c r="E40" s="40">
        <f>H18*J39</f>
        <v>349.81132075471692</v>
      </c>
    </row>
    <row r="41" spans="1:11">
      <c r="A41" s="40" t="s">
        <v>90</v>
      </c>
      <c r="H41" s="40">
        <f>E40/(1+E8)</f>
        <v>341.27933732167509</v>
      </c>
    </row>
    <row r="42" spans="1:11">
      <c r="A42" s="40" t="s">
        <v>91</v>
      </c>
    </row>
    <row r="43" spans="1:11">
      <c r="A43" s="40" t="s">
        <v>92</v>
      </c>
      <c r="F43" s="40">
        <f>F39-H39</f>
        <v>56.603773584905753</v>
      </c>
    </row>
    <row r="44" spans="1:11">
      <c r="A44" s="40" t="s">
        <v>89</v>
      </c>
      <c r="F44" s="40">
        <f>H18*F43</f>
        <v>10.188679245283035</v>
      </c>
    </row>
    <row r="45" spans="1:11">
      <c r="A45" s="40" t="s">
        <v>93</v>
      </c>
      <c r="H45" s="40">
        <f>F44/(1+E8)^2</f>
        <v>9.6977315838505991</v>
      </c>
    </row>
    <row r="47" spans="1:11">
      <c r="A47" s="40" t="s">
        <v>94</v>
      </c>
      <c r="D47" s="40">
        <f>F36</f>
        <v>0.17307692307692307</v>
      </c>
      <c r="E47" s="40" t="s">
        <v>86</v>
      </c>
      <c r="F47" s="40">
        <f>H36</f>
        <v>30.286578461538461</v>
      </c>
      <c r="G47" s="48" t="s">
        <v>95</v>
      </c>
      <c r="H47" s="40">
        <f>H41</f>
        <v>341.27933732167509</v>
      </c>
      <c r="I47" s="48" t="s">
        <v>95</v>
      </c>
      <c r="J47" s="40">
        <f>H45</f>
        <v>9.6977315838505991</v>
      </c>
      <c r="K47" s="40" t="s">
        <v>5</v>
      </c>
    </row>
    <row r="48" spans="1:11">
      <c r="B48" s="40" t="s">
        <v>96</v>
      </c>
      <c r="D48" s="40">
        <f>D47</f>
        <v>0.17307692307692307</v>
      </c>
      <c r="E48" s="40" t="s">
        <v>86</v>
      </c>
      <c r="F48" s="40">
        <f>F47+H47+J47</f>
        <v>381.26364736706415</v>
      </c>
    </row>
    <row r="50" spans="1:13">
      <c r="A50" s="40" t="s">
        <v>97</v>
      </c>
    </row>
    <row r="51" spans="1:13">
      <c r="A51" s="40" t="s">
        <v>98</v>
      </c>
    </row>
    <row r="52" spans="1:13">
      <c r="A52" s="40" t="s">
        <v>99</v>
      </c>
      <c r="H52" s="45">
        <f>I7</f>
        <v>0.04</v>
      </c>
      <c r="I52" s="49" t="s">
        <v>5</v>
      </c>
    </row>
    <row r="53" spans="1:13">
      <c r="A53" s="40" t="s">
        <v>100</v>
      </c>
      <c r="B53" s="40">
        <f>E16-E13</f>
        <v>1035</v>
      </c>
      <c r="C53" s="40" t="s">
        <v>55</v>
      </c>
      <c r="D53" s="45">
        <f>H52</f>
        <v>0.04</v>
      </c>
    </row>
    <row r="54" spans="1:13">
      <c r="A54" s="40" t="s">
        <v>101</v>
      </c>
    </row>
    <row r="55" spans="1:13">
      <c r="A55" s="40" t="s">
        <v>100</v>
      </c>
      <c r="B55" s="40">
        <f>B53</f>
        <v>1035</v>
      </c>
      <c r="C55" s="40" t="s">
        <v>55</v>
      </c>
      <c r="D55" s="45">
        <f>D53</f>
        <v>0.04</v>
      </c>
      <c r="E55" s="40" t="s">
        <v>4</v>
      </c>
      <c r="F55" s="45">
        <f>H18</f>
        <v>0.18</v>
      </c>
      <c r="G55" s="40" t="s">
        <v>6</v>
      </c>
      <c r="H55" s="50">
        <f>1+I7</f>
        <v>1.04</v>
      </c>
      <c r="I55" s="49" t="s">
        <v>5</v>
      </c>
    </row>
    <row r="56" spans="1:13">
      <c r="A56" s="40">
        <f>D55*F55/H55</f>
        <v>6.9230769230769224E-3</v>
      </c>
      <c r="B56" s="40" t="s">
        <v>102</v>
      </c>
      <c r="C56" s="40">
        <f>B55*D55*F55/H55</f>
        <v>7.1653846153846139</v>
      </c>
    </row>
    <row r="58" spans="1:13">
      <c r="A58" s="40" t="s">
        <v>103</v>
      </c>
      <c r="G58" s="40">
        <f>E16/2</f>
        <v>600</v>
      </c>
      <c r="H58" s="40" t="s">
        <v>104</v>
      </c>
    </row>
    <row r="59" spans="1:13">
      <c r="A59" s="40" t="s">
        <v>105</v>
      </c>
    </row>
    <row r="61" spans="1:13">
      <c r="A61" s="40" t="s">
        <v>106</v>
      </c>
      <c r="D61" s="40">
        <f>D11/2</f>
        <v>1000</v>
      </c>
      <c r="E61" s="40" t="s">
        <v>107</v>
      </c>
    </row>
    <row r="62" spans="1:13">
      <c r="A62" s="40" t="s">
        <v>108</v>
      </c>
      <c r="H62" s="40" t="s">
        <v>109</v>
      </c>
      <c r="I62" s="40">
        <f>G58-E13-D61</f>
        <v>-565</v>
      </c>
      <c r="J62" s="40" t="s">
        <v>50</v>
      </c>
    </row>
    <row r="63" spans="1:13">
      <c r="A63" s="40" t="s">
        <v>110</v>
      </c>
      <c r="E63" s="40">
        <f>-I62</f>
        <v>565</v>
      </c>
      <c r="F63" s="40" t="s">
        <v>55</v>
      </c>
      <c r="G63" s="45">
        <f>I7</f>
        <v>0.04</v>
      </c>
    </row>
    <row r="64" spans="1:13">
      <c r="A64" s="40" t="s">
        <v>111</v>
      </c>
      <c r="F64" s="40">
        <f>E63</f>
        <v>565</v>
      </c>
      <c r="G64" s="40" t="s">
        <v>55</v>
      </c>
      <c r="H64" s="45">
        <f>D55</f>
        <v>0.04</v>
      </c>
      <c r="I64" s="40" t="s">
        <v>4</v>
      </c>
      <c r="J64" s="45">
        <f>F55</f>
        <v>0.18</v>
      </c>
      <c r="K64" s="40" t="s">
        <v>6</v>
      </c>
      <c r="L64" s="51">
        <f>H55^2</f>
        <v>1.0816000000000001</v>
      </c>
      <c r="M64" s="49" t="s">
        <v>5</v>
      </c>
    </row>
    <row r="65" spans="1:13">
      <c r="A65" s="40">
        <f>H64*J64/L64</f>
        <v>6.65680473372781E-3</v>
      </c>
      <c r="B65" s="40" t="s">
        <v>112</v>
      </c>
      <c r="C65" s="40">
        <f>F64*H64*J64/L64</f>
        <v>3.761094674556213</v>
      </c>
    </row>
    <row r="67" spans="1:13">
      <c r="A67" s="40" t="s">
        <v>113</v>
      </c>
      <c r="C67" s="40">
        <f>A56</f>
        <v>6.9230769230769224E-3</v>
      </c>
      <c r="D67" s="40" t="str">
        <f t="shared" ref="D67:E67" si="0">B56</f>
        <v xml:space="preserve"> P + </v>
      </c>
      <c r="E67" s="40">
        <f t="shared" si="0"/>
        <v>7.1653846153846139</v>
      </c>
      <c r="F67" s="40" t="s">
        <v>12</v>
      </c>
      <c r="G67" s="40">
        <f>A65</f>
        <v>6.65680473372781E-3</v>
      </c>
      <c r="H67" s="40" t="str">
        <f t="shared" ref="H67:I67" si="1">B65</f>
        <v xml:space="preserve"> P  –</v>
      </c>
      <c r="I67" s="40">
        <f t="shared" si="1"/>
        <v>3.761094674556213</v>
      </c>
      <c r="J67" s="49" t="s">
        <v>5</v>
      </c>
    </row>
    <row r="68" spans="1:13">
      <c r="A68" s="40">
        <f>C67+G67</f>
        <v>1.3579881656804732E-2</v>
      </c>
      <c r="B68" s="40" t="str">
        <f>D67</f>
        <v xml:space="preserve"> P + </v>
      </c>
      <c r="C68" s="40">
        <f>E67-I67</f>
        <v>3.4042899408284009</v>
      </c>
    </row>
    <row r="70" spans="1:13">
      <c r="A70" s="40" t="s">
        <v>114</v>
      </c>
    </row>
    <row r="71" spans="1:13">
      <c r="A71" s="40">
        <f>D23</f>
        <v>0.99673694261856227</v>
      </c>
      <c r="B71" s="40" t="s">
        <v>57</v>
      </c>
      <c r="C71" s="40" t="s">
        <v>5</v>
      </c>
      <c r="D71" s="40">
        <f>F25+F27</f>
        <v>2102.4132722903037</v>
      </c>
      <c r="E71" s="40" t="s">
        <v>12</v>
      </c>
      <c r="F71" s="40">
        <f>D48</f>
        <v>0.17307692307692307</v>
      </c>
      <c r="G71" s="40" t="str">
        <f t="shared" ref="G71:H71" si="2">E48</f>
        <v>P  –</v>
      </c>
      <c r="H71" s="40">
        <f t="shared" si="2"/>
        <v>381.26364736706415</v>
      </c>
      <c r="I71" s="40" t="s">
        <v>12</v>
      </c>
      <c r="J71" s="40">
        <f>A68</f>
        <v>1.3579881656804732E-2</v>
      </c>
      <c r="K71" s="40" t="str">
        <f t="shared" ref="K71:L71" si="3">B68</f>
        <v xml:space="preserve"> P + </v>
      </c>
      <c r="L71" s="40">
        <f t="shared" si="3"/>
        <v>3.4042899408284009</v>
      </c>
      <c r="M71" s="49"/>
    </row>
    <row r="72" spans="1:13">
      <c r="A72" s="40">
        <f>A71</f>
        <v>0.99673694261856227</v>
      </c>
      <c r="B72" s="40" t="s">
        <v>57</v>
      </c>
      <c r="C72" s="40" t="s">
        <v>5</v>
      </c>
      <c r="D72" s="40">
        <f>D71-H71+L71</f>
        <v>1724.553914864068</v>
      </c>
      <c r="E72" s="40" t="s">
        <v>12</v>
      </c>
      <c r="F72" s="40">
        <f>F71+J71</f>
        <v>0.18665680473372781</v>
      </c>
      <c r="G72" s="40" t="s">
        <v>57</v>
      </c>
    </row>
    <row r="73" spans="1:13" ht="15" thickBot="1">
      <c r="A73" s="40">
        <f>A72-F72</f>
        <v>0.81008013788483446</v>
      </c>
      <c r="B73" s="40" t="s">
        <v>57</v>
      </c>
      <c r="C73" s="40" t="s">
        <v>5</v>
      </c>
      <c r="D73" s="40">
        <f>D72-H72+L72</f>
        <v>1724.553914864068</v>
      </c>
    </row>
    <row r="74" spans="1:13" ht="15" thickBot="1">
      <c r="B74" s="40" t="s">
        <v>57</v>
      </c>
      <c r="C74" s="40" t="s">
        <v>5</v>
      </c>
      <c r="D74" s="52">
        <f>D73/A73</f>
        <v>2128.8682862500209</v>
      </c>
    </row>
    <row r="76" spans="1:13">
      <c r="A76" s="46" t="s">
        <v>283</v>
      </c>
    </row>
    <row r="77" spans="1:13" ht="15" thickBot="1"/>
    <row r="78" spans="1:13" ht="15" thickBot="1">
      <c r="A78" s="40" t="s">
        <v>59</v>
      </c>
      <c r="E78" s="40">
        <f>1-(D11+E13)/D74</f>
        <v>-1.697226361224291E-2</v>
      </c>
      <c r="F78" s="48" t="s">
        <v>5</v>
      </c>
      <c r="G78" s="53">
        <f>E78</f>
        <v>-1.697226361224291E-2</v>
      </c>
    </row>
  </sheetData>
  <pageMargins left="0.7" right="0.7" top="0.75" bottom="0.75"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2ABF1-58D9-4F03-B0E8-39E2CF809390}">
  <sheetPr>
    <tabColor theme="5" tint="0.39997558519241921"/>
  </sheetPr>
  <dimension ref="A1:R42"/>
  <sheetViews>
    <sheetView workbookViewId="0"/>
  </sheetViews>
  <sheetFormatPr defaultColWidth="8.88671875" defaultRowHeight="14.4"/>
  <cols>
    <col min="1" max="1" width="8.88671875" style="13"/>
    <col min="2" max="2" width="64.109375" style="13" bestFit="1" customWidth="1"/>
    <col min="3" max="3" width="8.88671875" style="13"/>
    <col min="4" max="4" width="10.6640625" style="13" customWidth="1"/>
    <col min="5" max="16384" width="8.88671875" style="13"/>
  </cols>
  <sheetData>
    <row r="1" spans="1:5">
      <c r="A1" s="40" t="s">
        <v>328</v>
      </c>
    </row>
    <row r="3" spans="1:5">
      <c r="A3" s="14" t="s">
        <v>0</v>
      </c>
    </row>
    <row r="4" spans="1:5">
      <c r="A4" s="15" t="s">
        <v>2</v>
      </c>
    </row>
    <row r="6" spans="1:5">
      <c r="A6" s="16" t="s">
        <v>137</v>
      </c>
    </row>
    <row r="7" spans="1:5">
      <c r="A7" s="16" t="s">
        <v>136</v>
      </c>
    </row>
    <row r="8" spans="1:5">
      <c r="A8" s="16"/>
      <c r="B8" s="16"/>
      <c r="C8" s="16" t="s">
        <v>135</v>
      </c>
      <c r="D8" s="16"/>
      <c r="E8" s="16" t="s">
        <v>134</v>
      </c>
    </row>
    <row r="9" spans="1:5">
      <c r="A9" s="19" t="s">
        <v>132</v>
      </c>
      <c r="B9" s="16" t="s">
        <v>131</v>
      </c>
      <c r="C9" s="16">
        <v>2023</v>
      </c>
      <c r="D9" s="16">
        <v>2024</v>
      </c>
    </row>
    <row r="10" spans="1:5">
      <c r="A10" s="13">
        <v>1</v>
      </c>
      <c r="B10" s="13" t="s">
        <v>129</v>
      </c>
      <c r="C10" s="13">
        <v>144</v>
      </c>
      <c r="D10" s="13">
        <v>154</v>
      </c>
      <c r="E10" s="13">
        <v>98</v>
      </c>
    </row>
    <row r="11" spans="1:5">
      <c r="A11" s="13">
        <v>2</v>
      </c>
      <c r="B11" s="13" t="s">
        <v>128</v>
      </c>
      <c r="C11" s="13">
        <v>288</v>
      </c>
      <c r="D11" s="13">
        <v>282</v>
      </c>
      <c r="E11" s="13">
        <v>208</v>
      </c>
    </row>
    <row r="12" spans="1:5">
      <c r="A12" s="13">
        <v>3</v>
      </c>
      <c r="B12" s="13" t="s">
        <v>127</v>
      </c>
      <c r="C12" s="13">
        <v>233</v>
      </c>
      <c r="D12" s="13">
        <v>228</v>
      </c>
      <c r="E12" s="13">
        <v>127</v>
      </c>
    </row>
    <row r="13" spans="1:5">
      <c r="A13" s="13">
        <v>4</v>
      </c>
      <c r="B13" s="13" t="s">
        <v>126</v>
      </c>
      <c r="C13" s="13">
        <v>200</v>
      </c>
      <c r="D13" s="13">
        <v>195</v>
      </c>
      <c r="E13" s="13">
        <v>128</v>
      </c>
    </row>
    <row r="14" spans="1:5">
      <c r="A14" s="13">
        <v>5</v>
      </c>
      <c r="B14" s="13" t="s">
        <v>125</v>
      </c>
      <c r="C14" s="13">
        <v>89</v>
      </c>
      <c r="D14" s="13">
        <v>89</v>
      </c>
      <c r="E14" s="13">
        <v>60</v>
      </c>
    </row>
    <row r="15" spans="1:5">
      <c r="A15" s="13">
        <v>6</v>
      </c>
      <c r="B15" s="13" t="s">
        <v>124</v>
      </c>
      <c r="C15" s="13">
        <v>89</v>
      </c>
      <c r="D15" s="13">
        <v>92</v>
      </c>
      <c r="E15" s="13">
        <v>47</v>
      </c>
    </row>
    <row r="16" spans="1:5">
      <c r="A16" s="13">
        <v>7</v>
      </c>
      <c r="B16" s="13" t="s">
        <v>123</v>
      </c>
      <c r="C16" s="13">
        <v>65</v>
      </c>
      <c r="D16" s="13">
        <v>65</v>
      </c>
      <c r="E16" s="13">
        <v>45</v>
      </c>
    </row>
    <row r="17" spans="1:18">
      <c r="A17" s="13">
        <v>8</v>
      </c>
      <c r="B17" s="13" t="s">
        <v>122</v>
      </c>
      <c r="C17" s="13">
        <v>267</v>
      </c>
      <c r="D17" s="13">
        <v>265</v>
      </c>
      <c r="E17" s="13">
        <v>146</v>
      </c>
    </row>
    <row r="18" spans="1:18">
      <c r="A18" s="13">
        <v>9</v>
      </c>
      <c r="B18" s="13" t="s">
        <v>121</v>
      </c>
      <c r="C18" s="13">
        <v>200</v>
      </c>
      <c r="D18" s="13">
        <v>209</v>
      </c>
      <c r="E18" s="13">
        <v>108</v>
      </c>
    </row>
    <row r="19" spans="1:18">
      <c r="A19" s="13">
        <v>10</v>
      </c>
      <c r="B19" s="13" t="s">
        <v>120</v>
      </c>
      <c r="C19" s="13">
        <v>227</v>
      </c>
      <c r="D19" s="13">
        <v>220</v>
      </c>
      <c r="E19" s="13">
        <v>173</v>
      </c>
    </row>
    <row r="20" spans="1:18">
      <c r="A20" s="13">
        <v>11</v>
      </c>
      <c r="B20" s="13" t="s">
        <v>119</v>
      </c>
      <c r="C20" s="13">
        <v>55</v>
      </c>
      <c r="D20" s="13">
        <v>55</v>
      </c>
      <c r="E20" s="13">
        <v>43</v>
      </c>
    </row>
    <row r="21" spans="1:18">
      <c r="A21" s="13">
        <v>12</v>
      </c>
      <c r="B21" s="13" t="s">
        <v>118</v>
      </c>
      <c r="C21" s="13">
        <v>292</v>
      </c>
      <c r="D21" s="13">
        <v>294</v>
      </c>
      <c r="E21" s="13">
        <v>218</v>
      </c>
    </row>
    <row r="23" spans="1:18">
      <c r="A23" s="16" t="s">
        <v>133</v>
      </c>
    </row>
    <row r="24" spans="1:18">
      <c r="A24" s="16"/>
    </row>
    <row r="25" spans="1:18">
      <c r="F25" s="16" t="s">
        <v>130</v>
      </c>
    </row>
    <row r="26" spans="1:18">
      <c r="A26" s="19" t="s">
        <v>132</v>
      </c>
      <c r="B26" s="16" t="s">
        <v>131</v>
      </c>
      <c r="C26" s="19" t="s">
        <v>237</v>
      </c>
      <c r="D26" s="19" t="s">
        <v>238</v>
      </c>
      <c r="G26" s="13">
        <v>1</v>
      </c>
      <c r="H26" s="13">
        <v>2</v>
      </c>
      <c r="I26" s="13">
        <v>3</v>
      </c>
      <c r="J26" s="13">
        <v>4</v>
      </c>
      <c r="K26" s="13">
        <v>5</v>
      </c>
      <c r="L26" s="13">
        <v>6</v>
      </c>
      <c r="M26" s="13">
        <v>7</v>
      </c>
      <c r="N26" s="13">
        <v>8</v>
      </c>
      <c r="O26" s="13">
        <v>9</v>
      </c>
      <c r="P26" s="13">
        <v>10</v>
      </c>
      <c r="Q26" s="13">
        <v>11</v>
      </c>
      <c r="R26" s="13">
        <v>12</v>
      </c>
    </row>
    <row r="27" spans="1:18">
      <c r="A27" s="13">
        <v>1</v>
      </c>
      <c r="B27" s="13" t="s">
        <v>129</v>
      </c>
      <c r="C27" s="26">
        <v>0.1</v>
      </c>
      <c r="D27" s="26">
        <v>0.09</v>
      </c>
      <c r="F27" s="13">
        <v>1</v>
      </c>
      <c r="G27" s="25">
        <v>1</v>
      </c>
      <c r="H27" s="25">
        <v>0.5</v>
      </c>
      <c r="I27" s="25">
        <v>0.5</v>
      </c>
      <c r="J27" s="25">
        <v>0.25</v>
      </c>
      <c r="K27" s="25">
        <v>0.5</v>
      </c>
      <c r="L27" s="25">
        <v>0.25</v>
      </c>
      <c r="M27" s="25">
        <v>0.5</v>
      </c>
      <c r="N27" s="25">
        <v>0.25</v>
      </c>
      <c r="O27" s="25">
        <v>0.5</v>
      </c>
      <c r="P27" s="25">
        <v>0.25</v>
      </c>
      <c r="Q27" s="25">
        <v>0.25</v>
      </c>
      <c r="R27" s="25">
        <v>0.25</v>
      </c>
    </row>
    <row r="28" spans="1:18">
      <c r="A28" s="13">
        <v>2</v>
      </c>
      <c r="B28" s="13" t="s">
        <v>128</v>
      </c>
      <c r="C28" s="26">
        <v>0.08</v>
      </c>
      <c r="D28" s="26">
        <v>0.08</v>
      </c>
      <c r="F28" s="13">
        <v>2</v>
      </c>
      <c r="G28" s="25">
        <v>0.5</v>
      </c>
      <c r="H28" s="25">
        <v>1</v>
      </c>
      <c r="I28" s="25">
        <v>0.25</v>
      </c>
      <c r="J28" s="25">
        <v>0.25</v>
      </c>
      <c r="K28" s="25">
        <v>0.25</v>
      </c>
      <c r="L28" s="25">
        <v>0.25</v>
      </c>
      <c r="M28" s="25">
        <v>0.5</v>
      </c>
      <c r="N28" s="25">
        <v>0.5</v>
      </c>
      <c r="O28" s="25">
        <v>0.5</v>
      </c>
      <c r="P28" s="25">
        <v>0.25</v>
      </c>
      <c r="Q28" s="25">
        <v>0.25</v>
      </c>
      <c r="R28" s="25">
        <v>0.25</v>
      </c>
    </row>
    <row r="29" spans="1:18">
      <c r="A29" s="13">
        <v>3</v>
      </c>
      <c r="B29" s="13" t="s">
        <v>127</v>
      </c>
      <c r="C29" s="26">
        <v>0.15</v>
      </c>
      <c r="D29" s="26">
        <v>0.11</v>
      </c>
      <c r="F29" s="13">
        <v>3</v>
      </c>
      <c r="G29" s="25">
        <v>0.5</v>
      </c>
      <c r="H29" s="25">
        <v>0.25</v>
      </c>
      <c r="I29" s="25">
        <v>1</v>
      </c>
      <c r="J29" s="25">
        <v>0.25</v>
      </c>
      <c r="K29" s="25">
        <v>0.25</v>
      </c>
      <c r="L29" s="25">
        <v>0.25</v>
      </c>
      <c r="M29" s="25">
        <v>0.25</v>
      </c>
      <c r="N29" s="25">
        <v>0.5</v>
      </c>
      <c r="O29" s="25">
        <v>0.5</v>
      </c>
      <c r="P29" s="25">
        <v>0.25</v>
      </c>
      <c r="Q29" s="25">
        <v>0.5</v>
      </c>
      <c r="R29" s="25">
        <v>0.25</v>
      </c>
    </row>
    <row r="30" spans="1:18">
      <c r="A30" s="13">
        <v>4</v>
      </c>
      <c r="B30" s="13" t="s">
        <v>126</v>
      </c>
      <c r="C30" s="26">
        <v>0.08</v>
      </c>
      <c r="D30" s="26">
        <v>0.1</v>
      </c>
      <c r="F30" s="13">
        <v>4</v>
      </c>
      <c r="G30" s="25">
        <v>0.25</v>
      </c>
      <c r="H30" s="25">
        <v>0.25</v>
      </c>
      <c r="I30" s="25">
        <v>0.25</v>
      </c>
      <c r="J30" s="25">
        <v>1</v>
      </c>
      <c r="K30" s="25">
        <v>0.25</v>
      </c>
      <c r="L30" s="25">
        <v>0.25</v>
      </c>
      <c r="M30" s="25">
        <v>0.25</v>
      </c>
      <c r="N30" s="25">
        <v>0.5</v>
      </c>
      <c r="O30" s="25">
        <v>0.5</v>
      </c>
      <c r="P30" s="25">
        <v>0.25</v>
      </c>
      <c r="Q30" s="25">
        <v>0.5</v>
      </c>
      <c r="R30" s="25">
        <v>0.5</v>
      </c>
    </row>
    <row r="31" spans="1:18">
      <c r="A31" s="13">
        <v>5</v>
      </c>
      <c r="B31" s="13" t="s">
        <v>125</v>
      </c>
      <c r="C31" s="26">
        <v>0.14000000000000001</v>
      </c>
      <c r="D31" s="26">
        <v>0.11</v>
      </c>
      <c r="F31" s="13">
        <v>5</v>
      </c>
      <c r="G31" s="25">
        <v>0.5</v>
      </c>
      <c r="H31" s="25">
        <v>0.25</v>
      </c>
      <c r="I31" s="25">
        <v>0.25</v>
      </c>
      <c r="J31" s="25">
        <v>0.25</v>
      </c>
      <c r="K31" s="25">
        <v>1</v>
      </c>
      <c r="L31" s="25">
        <v>0.5</v>
      </c>
      <c r="M31" s="25">
        <v>0.5</v>
      </c>
      <c r="N31" s="25">
        <v>0.25</v>
      </c>
      <c r="O31" s="25">
        <v>0.5</v>
      </c>
      <c r="P31" s="25">
        <v>0.5</v>
      </c>
      <c r="Q31" s="25">
        <v>0.25</v>
      </c>
      <c r="R31" s="25">
        <v>0.25</v>
      </c>
    </row>
    <row r="32" spans="1:18">
      <c r="A32" s="13">
        <v>6</v>
      </c>
      <c r="B32" s="13" t="s">
        <v>124</v>
      </c>
      <c r="C32" s="26">
        <v>0.19</v>
      </c>
      <c r="D32" s="26">
        <v>0.17199999999999999</v>
      </c>
      <c r="F32" s="13">
        <v>6</v>
      </c>
      <c r="G32" s="25">
        <v>0.25</v>
      </c>
      <c r="H32" s="25">
        <v>0.25</v>
      </c>
      <c r="I32" s="25">
        <v>0.25</v>
      </c>
      <c r="J32" s="25">
        <v>0.25</v>
      </c>
      <c r="K32" s="25">
        <v>0.5</v>
      </c>
      <c r="L32" s="25">
        <v>1</v>
      </c>
      <c r="M32" s="25">
        <v>0.5</v>
      </c>
      <c r="N32" s="25">
        <v>0.25</v>
      </c>
      <c r="O32" s="25">
        <v>0.5</v>
      </c>
      <c r="P32" s="25">
        <v>0.5</v>
      </c>
      <c r="Q32" s="25">
        <v>0.25</v>
      </c>
      <c r="R32" s="25">
        <v>0.25</v>
      </c>
    </row>
    <row r="33" spans="1:18">
      <c r="A33" s="13">
        <v>7</v>
      </c>
      <c r="B33" s="13" t="s">
        <v>123</v>
      </c>
      <c r="C33" s="26">
        <v>8.3000000000000004E-2</v>
      </c>
      <c r="D33" s="26">
        <v>5.5E-2</v>
      </c>
      <c r="F33" s="13">
        <v>7</v>
      </c>
      <c r="G33" s="25">
        <v>0.5</v>
      </c>
      <c r="H33" s="25">
        <v>0.5</v>
      </c>
      <c r="I33" s="25">
        <v>0.25</v>
      </c>
      <c r="J33" s="25">
        <v>0.25</v>
      </c>
      <c r="K33" s="25">
        <v>0.5</v>
      </c>
      <c r="L33" s="25">
        <v>0.5</v>
      </c>
      <c r="M33" s="25">
        <v>1</v>
      </c>
      <c r="N33" s="25">
        <v>0.25</v>
      </c>
      <c r="O33" s="25">
        <v>0.5</v>
      </c>
      <c r="P33" s="25">
        <v>0.5</v>
      </c>
      <c r="Q33" s="25">
        <v>0.25</v>
      </c>
      <c r="R33" s="25">
        <v>0.25</v>
      </c>
    </row>
    <row r="34" spans="1:18">
      <c r="A34" s="13">
        <v>8</v>
      </c>
      <c r="B34" s="13" t="s">
        <v>122</v>
      </c>
      <c r="C34" s="26">
        <v>6.4000000000000001E-2</v>
      </c>
      <c r="D34" s="26">
        <v>0.22</v>
      </c>
      <c r="F34" s="13">
        <v>8</v>
      </c>
      <c r="G34" s="25">
        <v>0.25</v>
      </c>
      <c r="H34" s="25">
        <v>0.5</v>
      </c>
      <c r="I34" s="25">
        <v>0.5</v>
      </c>
      <c r="J34" s="25">
        <v>0.5</v>
      </c>
      <c r="K34" s="25">
        <v>0.25</v>
      </c>
      <c r="L34" s="25">
        <v>0.25</v>
      </c>
      <c r="M34" s="25">
        <v>0.25</v>
      </c>
      <c r="N34" s="25">
        <v>1</v>
      </c>
      <c r="O34" s="25">
        <v>0.5</v>
      </c>
      <c r="P34" s="25">
        <v>0.25</v>
      </c>
      <c r="Q34" s="25">
        <v>0.25</v>
      </c>
      <c r="R34" s="25">
        <v>0.5</v>
      </c>
    </row>
    <row r="35" spans="1:18">
      <c r="A35" s="13">
        <v>9</v>
      </c>
      <c r="B35" s="13" t="s">
        <v>121</v>
      </c>
      <c r="C35" s="26">
        <v>0.13</v>
      </c>
      <c r="D35" s="26">
        <v>0.2</v>
      </c>
      <c r="F35" s="13">
        <v>9</v>
      </c>
      <c r="G35" s="25">
        <v>0.5</v>
      </c>
      <c r="H35" s="25">
        <v>0.5</v>
      </c>
      <c r="I35" s="25">
        <v>0.5</v>
      </c>
      <c r="J35" s="25">
        <v>0.5</v>
      </c>
      <c r="K35" s="25">
        <v>0.5</v>
      </c>
      <c r="L35" s="25">
        <v>0.5</v>
      </c>
      <c r="M35" s="25">
        <v>0.5</v>
      </c>
      <c r="N35" s="25">
        <v>0.5</v>
      </c>
      <c r="O35" s="25">
        <v>1</v>
      </c>
      <c r="P35" s="25">
        <v>0.25</v>
      </c>
      <c r="Q35" s="25">
        <v>0.5</v>
      </c>
      <c r="R35" s="25">
        <v>0.25</v>
      </c>
    </row>
    <row r="36" spans="1:18">
      <c r="A36" s="13">
        <v>10</v>
      </c>
      <c r="B36" s="13" t="s">
        <v>120</v>
      </c>
      <c r="C36" s="26">
        <v>0.17</v>
      </c>
      <c r="D36" s="26">
        <v>0.2</v>
      </c>
      <c r="F36" s="13">
        <v>10</v>
      </c>
      <c r="G36" s="25">
        <v>0.25</v>
      </c>
      <c r="H36" s="25">
        <v>0.25</v>
      </c>
      <c r="I36" s="25">
        <v>0.25</v>
      </c>
      <c r="J36" s="25">
        <v>0.25</v>
      </c>
      <c r="K36" s="25">
        <v>0.5</v>
      </c>
      <c r="L36" s="25">
        <v>0.5</v>
      </c>
      <c r="M36" s="25">
        <v>0.5</v>
      </c>
      <c r="N36" s="25">
        <v>0.25</v>
      </c>
      <c r="O36" s="25">
        <v>0.25</v>
      </c>
      <c r="P36" s="25">
        <v>1</v>
      </c>
      <c r="Q36" s="25">
        <v>0.25</v>
      </c>
      <c r="R36" s="25">
        <v>0.25</v>
      </c>
    </row>
    <row r="37" spans="1:18">
      <c r="A37" s="13">
        <v>11</v>
      </c>
      <c r="B37" s="13" t="s">
        <v>119</v>
      </c>
      <c r="C37" s="26">
        <v>0.17</v>
      </c>
      <c r="D37" s="26">
        <v>0.2</v>
      </c>
      <c r="F37" s="13">
        <v>11</v>
      </c>
      <c r="G37" s="25">
        <v>0.25</v>
      </c>
      <c r="H37" s="25">
        <v>0.25</v>
      </c>
      <c r="I37" s="25">
        <v>0.5</v>
      </c>
      <c r="J37" s="25">
        <v>0.5</v>
      </c>
      <c r="K37" s="25">
        <v>0.25</v>
      </c>
      <c r="L37" s="25">
        <v>0.25</v>
      </c>
      <c r="M37" s="25">
        <v>0.25</v>
      </c>
      <c r="N37" s="25">
        <v>0.25</v>
      </c>
      <c r="O37" s="25">
        <v>0.5</v>
      </c>
      <c r="P37" s="25">
        <v>0.25</v>
      </c>
      <c r="Q37" s="25">
        <v>1</v>
      </c>
      <c r="R37" s="25">
        <v>0.25</v>
      </c>
    </row>
    <row r="38" spans="1:18">
      <c r="A38" s="13">
        <v>12</v>
      </c>
      <c r="B38" s="13" t="s">
        <v>118</v>
      </c>
      <c r="C38" s="26">
        <v>0.17</v>
      </c>
      <c r="D38" s="26">
        <v>0.2</v>
      </c>
      <c r="F38" s="13">
        <v>12</v>
      </c>
      <c r="G38" s="25">
        <v>0.25</v>
      </c>
      <c r="H38" s="25">
        <v>0.25</v>
      </c>
      <c r="I38" s="25">
        <v>0.25</v>
      </c>
      <c r="J38" s="25">
        <v>0.5</v>
      </c>
      <c r="K38" s="25">
        <v>0.25</v>
      </c>
      <c r="L38" s="25">
        <v>0.25</v>
      </c>
      <c r="M38" s="25">
        <v>0.25</v>
      </c>
      <c r="N38" s="25">
        <v>0.5</v>
      </c>
      <c r="O38" s="25">
        <v>0.25</v>
      </c>
      <c r="P38" s="25">
        <v>0.25</v>
      </c>
      <c r="Q38" s="25">
        <v>0.25</v>
      </c>
      <c r="R38" s="25">
        <v>1</v>
      </c>
    </row>
    <row r="39" spans="1:18">
      <c r="C39" s="26"/>
      <c r="D39" s="26"/>
    </row>
    <row r="40" spans="1:18">
      <c r="A40" s="13" t="s">
        <v>258</v>
      </c>
      <c r="C40" s="26"/>
      <c r="D40" s="26"/>
      <c r="G40" s="25"/>
      <c r="H40" s="25"/>
      <c r="I40" s="25"/>
      <c r="J40" s="25"/>
      <c r="K40" s="25"/>
      <c r="L40" s="25"/>
      <c r="M40" s="25"/>
      <c r="N40" s="25"/>
      <c r="O40" s="25"/>
      <c r="P40" s="25"/>
      <c r="Q40" s="25"/>
      <c r="R40" s="25"/>
    </row>
    <row r="42" spans="1:18">
      <c r="A42" s="16" t="s">
        <v>263</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11386-33BC-45F8-9BDE-5B166163E108}">
  <sheetPr>
    <tabColor theme="9" tint="0.59999389629810485"/>
  </sheetPr>
  <dimension ref="A1:R77"/>
  <sheetViews>
    <sheetView workbookViewId="0"/>
  </sheetViews>
  <sheetFormatPr defaultColWidth="8.88671875" defaultRowHeight="14.4"/>
  <cols>
    <col min="1" max="1" width="9.33203125" style="13" customWidth="1"/>
    <col min="2" max="2" width="64.109375" style="13" bestFit="1" customWidth="1"/>
    <col min="3" max="16384" width="8.88671875" style="13"/>
  </cols>
  <sheetData>
    <row r="1" spans="1:5">
      <c r="A1" s="40" t="s">
        <v>328</v>
      </c>
    </row>
    <row r="3" spans="1:5">
      <c r="A3" s="14" t="s">
        <v>0</v>
      </c>
    </row>
    <row r="4" spans="1:5">
      <c r="A4" s="15" t="s">
        <v>2</v>
      </c>
    </row>
    <row r="6" spans="1:5">
      <c r="A6" s="16" t="s">
        <v>137</v>
      </c>
    </row>
    <row r="7" spans="1:5">
      <c r="A7" s="16" t="s">
        <v>136</v>
      </c>
    </row>
    <row r="8" spans="1:5">
      <c r="A8" s="16"/>
      <c r="B8" s="16"/>
      <c r="C8" s="16" t="s">
        <v>135</v>
      </c>
      <c r="D8" s="16"/>
      <c r="E8" s="16" t="s">
        <v>134</v>
      </c>
    </row>
    <row r="9" spans="1:5">
      <c r="A9" s="19" t="s">
        <v>132</v>
      </c>
      <c r="B9" s="16" t="s">
        <v>131</v>
      </c>
      <c r="C9" s="16">
        <v>2023</v>
      </c>
      <c r="D9" s="16">
        <v>2024</v>
      </c>
    </row>
    <row r="10" spans="1:5">
      <c r="A10" s="13">
        <v>1</v>
      </c>
      <c r="B10" s="13" t="s">
        <v>129</v>
      </c>
      <c r="C10" s="13">
        <v>144</v>
      </c>
      <c r="D10" s="13">
        <v>154</v>
      </c>
      <c r="E10" s="13">
        <v>98</v>
      </c>
    </row>
    <row r="11" spans="1:5">
      <c r="A11" s="13">
        <v>2</v>
      </c>
      <c r="B11" s="13" t="s">
        <v>128</v>
      </c>
      <c r="C11" s="13">
        <v>288</v>
      </c>
      <c r="D11" s="13">
        <v>282</v>
      </c>
      <c r="E11" s="13">
        <v>208</v>
      </c>
    </row>
    <row r="12" spans="1:5">
      <c r="A12" s="13">
        <v>3</v>
      </c>
      <c r="B12" s="13" t="s">
        <v>127</v>
      </c>
      <c r="C12" s="13">
        <v>233</v>
      </c>
      <c r="D12" s="13">
        <v>228</v>
      </c>
      <c r="E12" s="13">
        <v>127</v>
      </c>
    </row>
    <row r="13" spans="1:5">
      <c r="A13" s="13">
        <v>4</v>
      </c>
      <c r="B13" s="13" t="s">
        <v>126</v>
      </c>
      <c r="C13" s="13">
        <v>200</v>
      </c>
      <c r="D13" s="13">
        <v>195</v>
      </c>
      <c r="E13" s="13">
        <v>128</v>
      </c>
    </row>
    <row r="14" spans="1:5">
      <c r="A14" s="13">
        <v>5</v>
      </c>
      <c r="B14" s="13" t="s">
        <v>125</v>
      </c>
      <c r="C14" s="13">
        <v>89</v>
      </c>
      <c r="D14" s="13">
        <v>89</v>
      </c>
      <c r="E14" s="13">
        <v>60</v>
      </c>
    </row>
    <row r="15" spans="1:5">
      <c r="A15" s="13">
        <v>6</v>
      </c>
      <c r="B15" s="13" t="s">
        <v>124</v>
      </c>
      <c r="C15" s="13">
        <v>89</v>
      </c>
      <c r="D15" s="13">
        <v>92</v>
      </c>
      <c r="E15" s="13">
        <v>47</v>
      </c>
    </row>
    <row r="16" spans="1:5">
      <c r="A16" s="13">
        <v>7</v>
      </c>
      <c r="B16" s="13" t="s">
        <v>123</v>
      </c>
      <c r="C16" s="13">
        <v>65</v>
      </c>
      <c r="D16" s="13">
        <v>65</v>
      </c>
      <c r="E16" s="13">
        <v>45</v>
      </c>
    </row>
    <row r="17" spans="1:18">
      <c r="A17" s="13">
        <v>8</v>
      </c>
      <c r="B17" s="13" t="s">
        <v>122</v>
      </c>
      <c r="C17" s="13">
        <v>267</v>
      </c>
      <c r="D17" s="13">
        <v>265</v>
      </c>
      <c r="E17" s="13">
        <v>146</v>
      </c>
    </row>
    <row r="18" spans="1:18">
      <c r="A18" s="13">
        <v>9</v>
      </c>
      <c r="B18" s="13" t="s">
        <v>121</v>
      </c>
      <c r="C18" s="13">
        <v>200</v>
      </c>
      <c r="D18" s="13">
        <v>209</v>
      </c>
      <c r="E18" s="13">
        <v>108</v>
      </c>
    </row>
    <row r="19" spans="1:18">
      <c r="A19" s="13">
        <v>10</v>
      </c>
      <c r="B19" s="13" t="s">
        <v>120</v>
      </c>
      <c r="C19" s="13">
        <v>227</v>
      </c>
      <c r="D19" s="13">
        <v>220</v>
      </c>
      <c r="E19" s="13">
        <v>173</v>
      </c>
    </row>
    <row r="20" spans="1:18">
      <c r="A20" s="13">
        <v>11</v>
      </c>
      <c r="B20" s="13" t="s">
        <v>119</v>
      </c>
      <c r="C20" s="13">
        <v>55</v>
      </c>
      <c r="D20" s="13">
        <v>55</v>
      </c>
      <c r="E20" s="13">
        <v>43</v>
      </c>
    </row>
    <row r="21" spans="1:18" ht="15" customHeight="1">
      <c r="A21" s="13">
        <v>12</v>
      </c>
      <c r="B21" s="13" t="s">
        <v>118</v>
      </c>
      <c r="C21" s="13">
        <v>292</v>
      </c>
      <c r="D21" s="13">
        <v>294</v>
      </c>
      <c r="E21" s="13">
        <v>218</v>
      </c>
    </row>
    <row r="22" spans="1:18" ht="15" customHeight="1"/>
    <row r="23" spans="1:18" ht="15" customHeight="1">
      <c r="A23" s="16" t="s">
        <v>133</v>
      </c>
    </row>
    <row r="24" spans="1:18" ht="15" customHeight="1"/>
    <row r="25" spans="1:18">
      <c r="F25" s="16" t="s">
        <v>130</v>
      </c>
    </row>
    <row r="26" spans="1:18">
      <c r="A26" s="19" t="s">
        <v>132</v>
      </c>
      <c r="B26" s="16" t="s">
        <v>131</v>
      </c>
      <c r="C26" s="19" t="s">
        <v>237</v>
      </c>
      <c r="D26" s="19" t="s">
        <v>238</v>
      </c>
      <c r="G26" s="13">
        <v>1</v>
      </c>
      <c r="H26" s="13">
        <v>2</v>
      </c>
      <c r="I26" s="13">
        <v>3</v>
      </c>
      <c r="J26" s="13">
        <v>4</v>
      </c>
      <c r="K26" s="13">
        <v>5</v>
      </c>
      <c r="L26" s="13">
        <v>6</v>
      </c>
      <c r="M26" s="13">
        <v>7</v>
      </c>
      <c r="N26" s="13">
        <v>8</v>
      </c>
      <c r="O26" s="13">
        <v>9</v>
      </c>
      <c r="P26" s="13">
        <v>10</v>
      </c>
      <c r="Q26" s="13">
        <v>11</v>
      </c>
      <c r="R26" s="13">
        <v>12</v>
      </c>
    </row>
    <row r="27" spans="1:18">
      <c r="A27" s="13">
        <v>1</v>
      </c>
      <c r="B27" s="13" t="s">
        <v>129</v>
      </c>
      <c r="C27" s="26">
        <v>0.1</v>
      </c>
      <c r="D27" s="26">
        <v>0.09</v>
      </c>
      <c r="F27" s="13">
        <v>1</v>
      </c>
      <c r="G27" s="25">
        <v>1</v>
      </c>
      <c r="H27" s="25">
        <v>0.5</v>
      </c>
      <c r="I27" s="25">
        <v>0.5</v>
      </c>
      <c r="J27" s="25">
        <v>0.25</v>
      </c>
      <c r="K27" s="25">
        <v>0.5</v>
      </c>
      <c r="L27" s="25">
        <v>0.25</v>
      </c>
      <c r="M27" s="25">
        <v>0.5</v>
      </c>
      <c r="N27" s="25">
        <v>0.25</v>
      </c>
      <c r="O27" s="25">
        <v>0.5</v>
      </c>
      <c r="P27" s="25">
        <v>0.25</v>
      </c>
      <c r="Q27" s="25">
        <v>0.25</v>
      </c>
      <c r="R27" s="25">
        <v>0.25</v>
      </c>
    </row>
    <row r="28" spans="1:18">
      <c r="A28" s="13">
        <v>2</v>
      </c>
      <c r="B28" s="13" t="s">
        <v>128</v>
      </c>
      <c r="C28" s="26">
        <v>0.08</v>
      </c>
      <c r="D28" s="26">
        <v>0.08</v>
      </c>
      <c r="F28" s="13">
        <v>2</v>
      </c>
      <c r="G28" s="25">
        <v>0.5</v>
      </c>
      <c r="H28" s="25">
        <v>1</v>
      </c>
      <c r="I28" s="25">
        <v>0.25</v>
      </c>
      <c r="J28" s="25">
        <v>0.25</v>
      </c>
      <c r="K28" s="25">
        <v>0.25</v>
      </c>
      <c r="L28" s="25">
        <v>0.25</v>
      </c>
      <c r="M28" s="25">
        <v>0.5</v>
      </c>
      <c r="N28" s="25">
        <v>0.5</v>
      </c>
      <c r="O28" s="25">
        <v>0.5</v>
      </c>
      <c r="P28" s="25">
        <v>0.25</v>
      </c>
      <c r="Q28" s="25">
        <v>0.25</v>
      </c>
      <c r="R28" s="25">
        <v>0.25</v>
      </c>
    </row>
    <row r="29" spans="1:18">
      <c r="A29" s="13">
        <v>3</v>
      </c>
      <c r="B29" s="13" t="s">
        <v>127</v>
      </c>
      <c r="C29" s="26">
        <v>0.15</v>
      </c>
      <c r="D29" s="26">
        <v>0.11</v>
      </c>
      <c r="F29" s="13">
        <v>3</v>
      </c>
      <c r="G29" s="25">
        <v>0.5</v>
      </c>
      <c r="H29" s="25">
        <v>0.25</v>
      </c>
      <c r="I29" s="25">
        <v>1</v>
      </c>
      <c r="J29" s="25">
        <v>0.25</v>
      </c>
      <c r="K29" s="25">
        <v>0.25</v>
      </c>
      <c r="L29" s="25">
        <v>0.25</v>
      </c>
      <c r="M29" s="25">
        <v>0.25</v>
      </c>
      <c r="N29" s="25">
        <v>0.5</v>
      </c>
      <c r="O29" s="25">
        <v>0.5</v>
      </c>
      <c r="P29" s="25">
        <v>0.25</v>
      </c>
      <c r="Q29" s="25">
        <v>0.5</v>
      </c>
      <c r="R29" s="25">
        <v>0.25</v>
      </c>
    </row>
    <row r="30" spans="1:18">
      <c r="A30" s="13">
        <v>4</v>
      </c>
      <c r="B30" s="13" t="s">
        <v>126</v>
      </c>
      <c r="C30" s="26">
        <v>0.08</v>
      </c>
      <c r="D30" s="26">
        <v>0.1</v>
      </c>
      <c r="F30" s="13">
        <v>4</v>
      </c>
      <c r="G30" s="25">
        <v>0.25</v>
      </c>
      <c r="H30" s="25">
        <v>0.25</v>
      </c>
      <c r="I30" s="25">
        <v>0.25</v>
      </c>
      <c r="J30" s="25">
        <v>1</v>
      </c>
      <c r="K30" s="25">
        <v>0.25</v>
      </c>
      <c r="L30" s="25">
        <v>0.25</v>
      </c>
      <c r="M30" s="25">
        <v>0.25</v>
      </c>
      <c r="N30" s="25">
        <v>0.5</v>
      </c>
      <c r="O30" s="25">
        <v>0.5</v>
      </c>
      <c r="P30" s="25">
        <v>0.25</v>
      </c>
      <c r="Q30" s="25">
        <v>0.5</v>
      </c>
      <c r="R30" s="25">
        <v>0.5</v>
      </c>
    </row>
    <row r="31" spans="1:18">
      <c r="A31" s="13">
        <v>5</v>
      </c>
      <c r="B31" s="13" t="s">
        <v>125</v>
      </c>
      <c r="C31" s="26">
        <v>0.14000000000000001</v>
      </c>
      <c r="D31" s="26">
        <v>0.11</v>
      </c>
      <c r="F31" s="13">
        <v>5</v>
      </c>
      <c r="G31" s="25">
        <v>0.5</v>
      </c>
      <c r="H31" s="25">
        <v>0.25</v>
      </c>
      <c r="I31" s="25">
        <v>0.25</v>
      </c>
      <c r="J31" s="25">
        <v>0.25</v>
      </c>
      <c r="K31" s="25">
        <v>1</v>
      </c>
      <c r="L31" s="25">
        <v>0.5</v>
      </c>
      <c r="M31" s="25">
        <v>0.5</v>
      </c>
      <c r="N31" s="25">
        <v>0.25</v>
      </c>
      <c r="O31" s="25">
        <v>0.5</v>
      </c>
      <c r="P31" s="25">
        <v>0.5</v>
      </c>
      <c r="Q31" s="25">
        <v>0.25</v>
      </c>
      <c r="R31" s="25">
        <v>0.25</v>
      </c>
    </row>
    <row r="32" spans="1:18">
      <c r="A32" s="13">
        <v>6</v>
      </c>
      <c r="B32" s="13" t="s">
        <v>124</v>
      </c>
      <c r="C32" s="26">
        <v>0.19</v>
      </c>
      <c r="D32" s="26">
        <v>0.17199999999999999</v>
      </c>
      <c r="F32" s="13">
        <v>6</v>
      </c>
      <c r="G32" s="25">
        <v>0.25</v>
      </c>
      <c r="H32" s="25">
        <v>0.25</v>
      </c>
      <c r="I32" s="25">
        <v>0.25</v>
      </c>
      <c r="J32" s="25">
        <v>0.25</v>
      </c>
      <c r="K32" s="25">
        <v>0.5</v>
      </c>
      <c r="L32" s="25">
        <v>1</v>
      </c>
      <c r="M32" s="25">
        <v>0.5</v>
      </c>
      <c r="N32" s="25">
        <v>0.25</v>
      </c>
      <c r="O32" s="25">
        <v>0.5</v>
      </c>
      <c r="P32" s="25">
        <v>0.5</v>
      </c>
      <c r="Q32" s="25">
        <v>0.25</v>
      </c>
      <c r="R32" s="25">
        <v>0.25</v>
      </c>
    </row>
    <row r="33" spans="1:18">
      <c r="A33" s="13">
        <v>7</v>
      </c>
      <c r="B33" s="13" t="s">
        <v>123</v>
      </c>
      <c r="C33" s="26">
        <v>8.3000000000000004E-2</v>
      </c>
      <c r="D33" s="26">
        <v>5.5E-2</v>
      </c>
      <c r="F33" s="13">
        <v>7</v>
      </c>
      <c r="G33" s="25">
        <v>0.5</v>
      </c>
      <c r="H33" s="25">
        <v>0.5</v>
      </c>
      <c r="I33" s="25">
        <v>0.25</v>
      </c>
      <c r="J33" s="25">
        <v>0.25</v>
      </c>
      <c r="K33" s="25">
        <v>0.5</v>
      </c>
      <c r="L33" s="25">
        <v>0.5</v>
      </c>
      <c r="M33" s="25">
        <v>1</v>
      </c>
      <c r="N33" s="25">
        <v>0.25</v>
      </c>
      <c r="O33" s="25">
        <v>0.5</v>
      </c>
      <c r="P33" s="25">
        <v>0.5</v>
      </c>
      <c r="Q33" s="25">
        <v>0.25</v>
      </c>
      <c r="R33" s="25">
        <v>0.25</v>
      </c>
    </row>
    <row r="34" spans="1:18">
      <c r="A34" s="13">
        <v>8</v>
      </c>
      <c r="B34" s="13" t="s">
        <v>122</v>
      </c>
      <c r="C34" s="26">
        <v>6.4000000000000001E-2</v>
      </c>
      <c r="D34" s="26">
        <v>0.22</v>
      </c>
      <c r="F34" s="13">
        <v>8</v>
      </c>
      <c r="G34" s="25">
        <v>0.25</v>
      </c>
      <c r="H34" s="25">
        <v>0.5</v>
      </c>
      <c r="I34" s="25">
        <v>0.5</v>
      </c>
      <c r="J34" s="25">
        <v>0.5</v>
      </c>
      <c r="K34" s="25">
        <v>0.25</v>
      </c>
      <c r="L34" s="25">
        <v>0.25</v>
      </c>
      <c r="M34" s="25">
        <v>0.25</v>
      </c>
      <c r="N34" s="25">
        <v>1</v>
      </c>
      <c r="O34" s="25">
        <v>0.5</v>
      </c>
      <c r="P34" s="25">
        <v>0.25</v>
      </c>
      <c r="Q34" s="25">
        <v>0.25</v>
      </c>
      <c r="R34" s="25">
        <v>0.5</v>
      </c>
    </row>
    <row r="35" spans="1:18">
      <c r="A35" s="13">
        <v>9</v>
      </c>
      <c r="B35" s="13" t="s">
        <v>121</v>
      </c>
      <c r="C35" s="26">
        <v>0.13</v>
      </c>
      <c r="D35" s="26">
        <v>0.2</v>
      </c>
      <c r="F35" s="13">
        <v>9</v>
      </c>
      <c r="G35" s="25">
        <v>0.5</v>
      </c>
      <c r="H35" s="25">
        <v>0.5</v>
      </c>
      <c r="I35" s="25">
        <v>0.5</v>
      </c>
      <c r="J35" s="25">
        <v>0.5</v>
      </c>
      <c r="K35" s="25">
        <v>0.5</v>
      </c>
      <c r="L35" s="25">
        <v>0.5</v>
      </c>
      <c r="M35" s="25">
        <v>0.5</v>
      </c>
      <c r="N35" s="25">
        <v>0.5</v>
      </c>
      <c r="O35" s="25">
        <v>1</v>
      </c>
      <c r="P35" s="25">
        <v>0.25</v>
      </c>
      <c r="Q35" s="25">
        <v>0.5</v>
      </c>
      <c r="R35" s="25">
        <v>0.25</v>
      </c>
    </row>
    <row r="36" spans="1:18">
      <c r="A36" s="13">
        <v>10</v>
      </c>
      <c r="B36" s="13" t="s">
        <v>120</v>
      </c>
      <c r="C36" s="26">
        <v>0.17</v>
      </c>
      <c r="D36" s="26">
        <v>0.2</v>
      </c>
      <c r="F36" s="13">
        <v>10</v>
      </c>
      <c r="G36" s="25">
        <v>0.25</v>
      </c>
      <c r="H36" s="25">
        <v>0.25</v>
      </c>
      <c r="I36" s="25">
        <v>0.25</v>
      </c>
      <c r="J36" s="25">
        <v>0.25</v>
      </c>
      <c r="K36" s="25">
        <v>0.5</v>
      </c>
      <c r="L36" s="25">
        <v>0.5</v>
      </c>
      <c r="M36" s="25">
        <v>0.5</v>
      </c>
      <c r="N36" s="25">
        <v>0.25</v>
      </c>
      <c r="O36" s="25">
        <v>0.25</v>
      </c>
      <c r="P36" s="25">
        <v>1</v>
      </c>
      <c r="Q36" s="25">
        <v>0.25</v>
      </c>
      <c r="R36" s="25">
        <v>0.25</v>
      </c>
    </row>
    <row r="37" spans="1:18">
      <c r="A37" s="13">
        <v>11</v>
      </c>
      <c r="B37" s="13" t="s">
        <v>119</v>
      </c>
      <c r="C37" s="26">
        <v>0.17</v>
      </c>
      <c r="D37" s="26">
        <v>0.2</v>
      </c>
      <c r="F37" s="13">
        <v>11</v>
      </c>
      <c r="G37" s="25">
        <v>0.25</v>
      </c>
      <c r="H37" s="25">
        <v>0.25</v>
      </c>
      <c r="I37" s="25">
        <v>0.5</v>
      </c>
      <c r="J37" s="25">
        <v>0.5</v>
      </c>
      <c r="K37" s="25">
        <v>0.25</v>
      </c>
      <c r="L37" s="25">
        <v>0.25</v>
      </c>
      <c r="M37" s="25">
        <v>0.25</v>
      </c>
      <c r="N37" s="25">
        <v>0.25</v>
      </c>
      <c r="O37" s="25">
        <v>0.5</v>
      </c>
      <c r="P37" s="25">
        <v>0.25</v>
      </c>
      <c r="Q37" s="25">
        <v>1</v>
      </c>
      <c r="R37" s="25">
        <v>0.25</v>
      </c>
    </row>
    <row r="38" spans="1:18">
      <c r="A38" s="13">
        <v>12</v>
      </c>
      <c r="B38" s="13" t="s">
        <v>118</v>
      </c>
      <c r="C38" s="26">
        <v>0.17</v>
      </c>
      <c r="D38" s="26">
        <v>0.2</v>
      </c>
      <c r="F38" s="13">
        <v>12</v>
      </c>
      <c r="G38" s="25">
        <v>0.25</v>
      </c>
      <c r="H38" s="25">
        <v>0.25</v>
      </c>
      <c r="I38" s="25">
        <v>0.25</v>
      </c>
      <c r="J38" s="25">
        <v>0.5</v>
      </c>
      <c r="K38" s="25">
        <v>0.25</v>
      </c>
      <c r="L38" s="25">
        <v>0.25</v>
      </c>
      <c r="M38" s="25">
        <v>0.25</v>
      </c>
      <c r="N38" s="25">
        <v>0.5</v>
      </c>
      <c r="O38" s="25">
        <v>0.25</v>
      </c>
      <c r="P38" s="25">
        <v>0.25</v>
      </c>
      <c r="Q38" s="25">
        <v>0.25</v>
      </c>
      <c r="R38" s="25">
        <v>1</v>
      </c>
    </row>
    <row r="39" spans="1:18">
      <c r="C39" s="26"/>
      <c r="D39" s="26"/>
    </row>
    <row r="40" spans="1:18">
      <c r="A40" s="13" t="s">
        <v>258</v>
      </c>
      <c r="C40" s="26"/>
      <c r="D40" s="26"/>
      <c r="G40" s="25"/>
      <c r="H40" s="25"/>
      <c r="I40" s="25"/>
      <c r="J40" s="25"/>
      <c r="K40" s="25"/>
      <c r="L40" s="25"/>
      <c r="M40" s="25"/>
      <c r="N40" s="25"/>
      <c r="O40" s="25"/>
      <c r="P40" s="25"/>
      <c r="Q40" s="25"/>
      <c r="R40" s="25"/>
    </row>
    <row r="42" spans="1:18">
      <c r="A42" s="16" t="s">
        <v>264</v>
      </c>
    </row>
    <row r="44" spans="1:18">
      <c r="A44" s="17" t="s">
        <v>202</v>
      </c>
    </row>
    <row r="46" spans="1:18">
      <c r="A46" s="13" t="s">
        <v>320</v>
      </c>
    </row>
    <row r="47" spans="1:18">
      <c r="A47" s="13" t="s">
        <v>321</v>
      </c>
    </row>
    <row r="48" spans="1:18">
      <c r="A48" s="13" t="s">
        <v>201</v>
      </c>
    </row>
    <row r="50" spans="1:7">
      <c r="A50" s="13" t="s">
        <v>200</v>
      </c>
    </row>
    <row r="52" spans="1:7">
      <c r="A52" s="19" t="s">
        <v>132</v>
      </c>
      <c r="B52" s="16" t="s">
        <v>131</v>
      </c>
      <c r="C52" s="16" t="s">
        <v>322</v>
      </c>
      <c r="D52" s="16" t="s">
        <v>323</v>
      </c>
      <c r="E52" s="16" t="s">
        <v>324</v>
      </c>
      <c r="F52" s="16" t="s">
        <v>325</v>
      </c>
      <c r="G52" s="16" t="s">
        <v>199</v>
      </c>
    </row>
    <row r="53" spans="1:7">
      <c r="A53" s="13">
        <v>1</v>
      </c>
      <c r="B53" s="13" t="s">
        <v>129</v>
      </c>
      <c r="C53" s="13">
        <f t="shared" ref="C53:C64" si="0">MAX(C10:D10)</f>
        <v>154</v>
      </c>
      <c r="D53" s="13">
        <f t="shared" ref="D53:D64" si="1">E10</f>
        <v>98</v>
      </c>
      <c r="E53" s="20">
        <f t="shared" ref="E53:E64" si="2">(C53+D53)*(0.75+0.25*0.25)</f>
        <v>204.75</v>
      </c>
      <c r="F53" s="21">
        <f t="shared" ref="F53:F64" si="3">SQRT(C27^2*C53^2+D53^2*D27^2+C27*C53*D53*D27)/(C53+D53)</f>
        <v>8.425233996823743E-2</v>
      </c>
      <c r="G53" s="20">
        <f t="shared" ref="G53:G64" si="4">E53*F53</f>
        <v>17.250666608496616</v>
      </c>
    </row>
    <row r="54" spans="1:7">
      <c r="A54" s="13">
        <v>2</v>
      </c>
      <c r="B54" s="13" t="s">
        <v>128</v>
      </c>
      <c r="C54" s="13">
        <f t="shared" si="0"/>
        <v>288</v>
      </c>
      <c r="D54" s="13">
        <f t="shared" si="1"/>
        <v>208</v>
      </c>
      <c r="E54" s="20">
        <f t="shared" si="2"/>
        <v>403</v>
      </c>
      <c r="F54" s="21">
        <f t="shared" si="3"/>
        <v>6.9581774259162649E-2</v>
      </c>
      <c r="G54" s="20">
        <f t="shared" si="4"/>
        <v>28.041455026442549</v>
      </c>
    </row>
    <row r="55" spans="1:7">
      <c r="A55" s="13">
        <v>3</v>
      </c>
      <c r="B55" s="13" t="s">
        <v>127</v>
      </c>
      <c r="C55" s="13">
        <f t="shared" si="0"/>
        <v>233</v>
      </c>
      <c r="D55" s="13">
        <f t="shared" si="1"/>
        <v>127</v>
      </c>
      <c r="E55" s="20">
        <f t="shared" si="2"/>
        <v>292.5</v>
      </c>
      <c r="F55" s="21">
        <f t="shared" si="3"/>
        <v>0.12123702997958836</v>
      </c>
      <c r="G55" s="20">
        <f t="shared" si="4"/>
        <v>35.461831269029595</v>
      </c>
    </row>
    <row r="56" spans="1:7">
      <c r="A56" s="13">
        <v>4</v>
      </c>
      <c r="B56" s="13" t="s">
        <v>126</v>
      </c>
      <c r="C56" s="13">
        <f t="shared" si="0"/>
        <v>200</v>
      </c>
      <c r="D56" s="13">
        <f t="shared" si="1"/>
        <v>128</v>
      </c>
      <c r="E56" s="20">
        <f t="shared" si="2"/>
        <v>266.5</v>
      </c>
      <c r="F56" s="21">
        <f t="shared" si="3"/>
        <v>7.6197557813723463E-2</v>
      </c>
      <c r="G56" s="20">
        <f t="shared" si="4"/>
        <v>20.306649157357302</v>
      </c>
    </row>
    <row r="57" spans="1:7">
      <c r="A57" s="13">
        <v>5</v>
      </c>
      <c r="B57" s="13" t="s">
        <v>125</v>
      </c>
      <c r="C57" s="13">
        <f t="shared" si="0"/>
        <v>89</v>
      </c>
      <c r="D57" s="13">
        <f t="shared" si="1"/>
        <v>60</v>
      </c>
      <c r="E57" s="20">
        <f t="shared" si="2"/>
        <v>121.0625</v>
      </c>
      <c r="F57" s="21">
        <f t="shared" si="3"/>
        <v>0.11251325062474052</v>
      </c>
      <c r="G57" s="20">
        <f t="shared" si="4"/>
        <v>13.621135403757648</v>
      </c>
    </row>
    <row r="58" spans="1:7">
      <c r="A58" s="13">
        <v>6</v>
      </c>
      <c r="B58" s="13" t="s">
        <v>124</v>
      </c>
      <c r="C58" s="13">
        <f t="shared" si="0"/>
        <v>92</v>
      </c>
      <c r="D58" s="13">
        <f t="shared" si="1"/>
        <v>47</v>
      </c>
      <c r="E58" s="20">
        <f t="shared" si="2"/>
        <v>112.9375</v>
      </c>
      <c r="F58" s="21">
        <f t="shared" si="3"/>
        <v>0.16282051771053463</v>
      </c>
      <c r="G58" s="20">
        <f t="shared" si="4"/>
        <v>18.388542218933505</v>
      </c>
    </row>
    <row r="59" spans="1:7">
      <c r="A59" s="13">
        <v>7</v>
      </c>
      <c r="B59" s="13" t="s">
        <v>123</v>
      </c>
      <c r="C59" s="13">
        <f t="shared" si="0"/>
        <v>65</v>
      </c>
      <c r="D59" s="13">
        <f t="shared" si="1"/>
        <v>45</v>
      </c>
      <c r="E59" s="20">
        <f t="shared" si="2"/>
        <v>89.375</v>
      </c>
      <c r="F59" s="21">
        <f t="shared" si="3"/>
        <v>6.3365837316672266E-2</v>
      </c>
      <c r="G59" s="20">
        <f t="shared" si="4"/>
        <v>5.6633217101775841</v>
      </c>
    </row>
    <row r="60" spans="1:7">
      <c r="A60" s="13">
        <v>8</v>
      </c>
      <c r="B60" s="13" t="s">
        <v>122</v>
      </c>
      <c r="C60" s="13">
        <f t="shared" si="0"/>
        <v>267</v>
      </c>
      <c r="D60" s="13">
        <f t="shared" si="1"/>
        <v>146</v>
      </c>
      <c r="E60" s="20">
        <f t="shared" si="2"/>
        <v>335.5625</v>
      </c>
      <c r="F60" s="21">
        <f t="shared" si="3"/>
        <v>0.10477746842211912</v>
      </c>
      <c r="G60" s="20">
        <f t="shared" si="4"/>
        <v>35.159389247397343</v>
      </c>
    </row>
    <row r="61" spans="1:7">
      <c r="A61" s="13">
        <v>9</v>
      </c>
      <c r="B61" s="13" t="s">
        <v>121</v>
      </c>
      <c r="C61" s="13">
        <f t="shared" si="0"/>
        <v>209</v>
      </c>
      <c r="D61" s="13">
        <f t="shared" si="1"/>
        <v>108</v>
      </c>
      <c r="E61" s="20">
        <f t="shared" si="2"/>
        <v>257.5625</v>
      </c>
      <c r="F61" s="21">
        <f t="shared" si="3"/>
        <v>0.13352611764811956</v>
      </c>
      <c r="G61" s="20">
        <f t="shared" si="4"/>
        <v>34.391320676743796</v>
      </c>
    </row>
    <row r="62" spans="1:7">
      <c r="A62" s="13">
        <v>10</v>
      </c>
      <c r="B62" s="13" t="s">
        <v>120</v>
      </c>
      <c r="C62" s="13">
        <f t="shared" si="0"/>
        <v>227</v>
      </c>
      <c r="D62" s="13">
        <f t="shared" si="1"/>
        <v>173</v>
      </c>
      <c r="E62" s="20">
        <f t="shared" si="2"/>
        <v>325</v>
      </c>
      <c r="F62" s="21">
        <f t="shared" si="3"/>
        <v>0.15853946866632299</v>
      </c>
      <c r="G62" s="20">
        <f t="shared" si="4"/>
        <v>51.525327316554971</v>
      </c>
    </row>
    <row r="63" spans="1:7">
      <c r="A63" s="13">
        <v>11</v>
      </c>
      <c r="B63" s="13" t="s">
        <v>119</v>
      </c>
      <c r="C63" s="13">
        <f t="shared" si="0"/>
        <v>55</v>
      </c>
      <c r="D63" s="13">
        <f t="shared" si="1"/>
        <v>43</v>
      </c>
      <c r="E63" s="20">
        <f t="shared" si="2"/>
        <v>79.625</v>
      </c>
      <c r="F63" s="21">
        <f t="shared" si="3"/>
        <v>0.15867018829864418</v>
      </c>
      <c r="G63" s="20">
        <f t="shared" si="4"/>
        <v>12.634113743279544</v>
      </c>
    </row>
    <row r="64" spans="1:7">
      <c r="A64" s="13">
        <v>12</v>
      </c>
      <c r="B64" s="13" t="s">
        <v>118</v>
      </c>
      <c r="C64" s="13">
        <f t="shared" si="0"/>
        <v>294</v>
      </c>
      <c r="D64" s="13">
        <f t="shared" si="1"/>
        <v>218</v>
      </c>
      <c r="E64" s="20">
        <f t="shared" si="2"/>
        <v>416</v>
      </c>
      <c r="F64" s="21">
        <f t="shared" si="3"/>
        <v>0.15840901436635332</v>
      </c>
      <c r="G64" s="20">
        <f t="shared" si="4"/>
        <v>65.898149976402976</v>
      </c>
    </row>
    <row r="66" spans="1:2">
      <c r="A66" s="13" t="s">
        <v>198</v>
      </c>
    </row>
    <row r="67" spans="1:2">
      <c r="A67" s="13" t="s">
        <v>197</v>
      </c>
      <c r="B67" s="20">
        <f>SUM(E53:E64)</f>
        <v>2903.875</v>
      </c>
    </row>
    <row r="69" spans="1:2">
      <c r="A69" s="13" t="s">
        <v>196</v>
      </c>
    </row>
    <row r="74" spans="1:2">
      <c r="A74" s="13" t="s">
        <v>195</v>
      </c>
      <c r="B74" s="21" cm="1">
        <f t="array" ref="B74">SQRT(MMULT(TRANSPOSE(G53:G64), MMULT(G27:R38, G53:G64)))/B67</f>
        <v>7.4755135445455853E-2</v>
      </c>
    </row>
    <row r="76" spans="1:2">
      <c r="A76" s="16" t="s">
        <v>260</v>
      </c>
      <c r="B76" s="16"/>
    </row>
    <row r="77" spans="1:2">
      <c r="A77" s="16" t="s">
        <v>326</v>
      </c>
      <c r="B77" s="39">
        <f>3*B74*B67</f>
        <v>651.23870682501934</v>
      </c>
    </row>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35900D-62FE-4E1A-8524-DCDC77B164F9}">
  <sheetPr>
    <tabColor theme="5" tint="0.39997558519241921"/>
  </sheetPr>
  <dimension ref="A1:D39"/>
  <sheetViews>
    <sheetView workbookViewId="0"/>
  </sheetViews>
  <sheetFormatPr defaultColWidth="8.88671875" defaultRowHeight="14.4"/>
  <cols>
    <col min="1" max="1" width="10.21875" style="13" bestFit="1" customWidth="1"/>
    <col min="2" max="2" width="48.44140625" style="13" bestFit="1" customWidth="1"/>
    <col min="3" max="3" width="18.88671875" style="13" bestFit="1" customWidth="1"/>
    <col min="4" max="16384" width="8.88671875" style="13"/>
  </cols>
  <sheetData>
    <row r="1" spans="1:4">
      <c r="A1" s="40" t="s">
        <v>328</v>
      </c>
    </row>
    <row r="3" spans="1:4">
      <c r="A3" s="14" t="s">
        <v>0</v>
      </c>
    </row>
    <row r="4" spans="1:4">
      <c r="A4" s="15" t="s">
        <v>2</v>
      </c>
    </row>
    <row r="6" spans="1:4">
      <c r="A6" s="16" t="s">
        <v>168</v>
      </c>
    </row>
    <row r="7" spans="1:4">
      <c r="A7" s="16" t="s">
        <v>310</v>
      </c>
    </row>
    <row r="9" spans="1:4">
      <c r="A9" s="16" t="s">
        <v>167</v>
      </c>
      <c r="B9" s="28" t="s">
        <v>165</v>
      </c>
      <c r="C9" s="16" t="s">
        <v>166</v>
      </c>
      <c r="D9" s="19" t="s">
        <v>165</v>
      </c>
    </row>
    <row r="10" spans="1:4">
      <c r="A10" s="13" t="s">
        <v>164</v>
      </c>
      <c r="B10" s="29">
        <v>152</v>
      </c>
      <c r="C10" s="13" t="s">
        <v>163</v>
      </c>
      <c r="D10" s="13">
        <v>121</v>
      </c>
    </row>
    <row r="11" spans="1:4">
      <c r="A11" s="13" t="s">
        <v>162</v>
      </c>
      <c r="B11" s="29">
        <v>229</v>
      </c>
      <c r="C11" s="13" t="s">
        <v>161</v>
      </c>
      <c r="D11" s="13">
        <v>238</v>
      </c>
    </row>
    <row r="12" spans="1:4">
      <c r="A12" s="13" t="s">
        <v>160</v>
      </c>
      <c r="B12" s="29">
        <v>142</v>
      </c>
      <c r="C12" s="13" t="s">
        <v>159</v>
      </c>
      <c r="D12" s="13">
        <v>70</v>
      </c>
    </row>
    <row r="13" spans="1:4">
      <c r="A13" s="13" t="s">
        <v>158</v>
      </c>
      <c r="B13" s="29">
        <v>64</v>
      </c>
      <c r="C13" s="13" t="s">
        <v>157</v>
      </c>
      <c r="D13" s="13">
        <v>152</v>
      </c>
    </row>
    <row r="14" spans="1:4">
      <c r="A14" s="13" t="s">
        <v>156</v>
      </c>
      <c r="B14" s="29">
        <v>156</v>
      </c>
      <c r="C14" s="13" t="s">
        <v>155</v>
      </c>
      <c r="D14" s="13">
        <v>171</v>
      </c>
    </row>
    <row r="15" spans="1:4">
      <c r="C15" s="13" t="s">
        <v>154</v>
      </c>
      <c r="D15" s="13">
        <v>260</v>
      </c>
    </row>
    <row r="16" spans="1:4">
      <c r="C16" s="13" t="s">
        <v>153</v>
      </c>
      <c r="D16" s="13">
        <v>264</v>
      </c>
    </row>
    <row r="17" spans="1:3">
      <c r="A17" s="16" t="s">
        <v>311</v>
      </c>
    </row>
    <row r="18" spans="1:3">
      <c r="A18" s="16"/>
    </row>
    <row r="19" spans="1:3">
      <c r="A19" s="16" t="s">
        <v>261</v>
      </c>
    </row>
    <row r="21" spans="1:3">
      <c r="A21" s="16" t="s">
        <v>312</v>
      </c>
      <c r="C21" s="16"/>
    </row>
    <row r="23" spans="1:3">
      <c r="A23" s="16" t="s">
        <v>259</v>
      </c>
      <c r="B23" s="16"/>
      <c r="C23" s="16"/>
    </row>
    <row r="24" spans="1:3">
      <c r="A24" s="16" t="s">
        <v>152</v>
      </c>
      <c r="B24" s="16" t="s">
        <v>151</v>
      </c>
      <c r="C24" s="19" t="s">
        <v>150</v>
      </c>
    </row>
    <row r="25" spans="1:3">
      <c r="A25" s="13" t="s">
        <v>145</v>
      </c>
      <c r="B25" s="13" t="s">
        <v>149</v>
      </c>
      <c r="C25" s="13">
        <v>15.2</v>
      </c>
    </row>
    <row r="26" spans="1:3">
      <c r="A26" s="13" t="s">
        <v>145</v>
      </c>
      <c r="B26" s="13" t="s">
        <v>148</v>
      </c>
      <c r="C26" s="13">
        <v>22.9</v>
      </c>
    </row>
    <row r="27" spans="1:3">
      <c r="A27" s="13" t="s">
        <v>145</v>
      </c>
      <c r="B27" s="13" t="s">
        <v>147</v>
      </c>
      <c r="C27" s="13">
        <v>14.2</v>
      </c>
    </row>
    <row r="28" spans="1:3">
      <c r="A28" s="13" t="s">
        <v>145</v>
      </c>
      <c r="B28" s="13" t="s">
        <v>146</v>
      </c>
      <c r="C28" s="13">
        <v>6.4</v>
      </c>
    </row>
    <row r="29" spans="1:3">
      <c r="A29" s="13" t="s">
        <v>145</v>
      </c>
      <c r="B29" s="13" t="s">
        <v>144</v>
      </c>
      <c r="C29" s="13">
        <v>15.6</v>
      </c>
    </row>
    <row r="30" spans="1:3">
      <c r="A30" s="13" t="s">
        <v>139</v>
      </c>
      <c r="B30" s="13" t="s">
        <v>143</v>
      </c>
      <c r="C30" s="13">
        <v>0.7</v>
      </c>
    </row>
    <row r="31" spans="1:3">
      <c r="A31" s="13" t="s">
        <v>139</v>
      </c>
      <c r="B31" s="13" t="s">
        <v>142</v>
      </c>
      <c r="C31" s="13">
        <v>0.6</v>
      </c>
    </row>
    <row r="32" spans="1:3">
      <c r="A32" s="13" t="s">
        <v>139</v>
      </c>
      <c r="B32" s="13" t="s">
        <v>141</v>
      </c>
      <c r="C32" s="13">
        <v>1.8</v>
      </c>
    </row>
    <row r="33" spans="1:3">
      <c r="A33" s="13" t="s">
        <v>139</v>
      </c>
      <c r="B33" s="13" t="s">
        <v>140</v>
      </c>
      <c r="C33" s="13">
        <v>0.2</v>
      </c>
    </row>
    <row r="34" spans="1:3">
      <c r="A34" s="13" t="s">
        <v>139</v>
      </c>
      <c r="B34" s="13" t="s">
        <v>138</v>
      </c>
      <c r="C34" s="13">
        <v>0.2</v>
      </c>
    </row>
    <row r="37" spans="1:3">
      <c r="A37" s="16" t="s">
        <v>265</v>
      </c>
    </row>
    <row r="38" spans="1:3">
      <c r="A38" s="15"/>
    </row>
    <row r="39" spans="1:3">
      <c r="A39" s="15"/>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7CC5C-5F1A-4E1E-B35B-A646993C4536}">
  <sheetPr>
    <tabColor theme="9" tint="0.59999389629810485"/>
  </sheetPr>
  <dimension ref="A1:F109"/>
  <sheetViews>
    <sheetView workbookViewId="0"/>
  </sheetViews>
  <sheetFormatPr defaultColWidth="8.88671875" defaultRowHeight="14.4"/>
  <cols>
    <col min="1" max="1" width="12.21875" style="13" customWidth="1"/>
    <col min="2" max="2" width="48.44140625" style="13" bestFit="1" customWidth="1"/>
    <col min="3" max="3" width="18.88671875" style="13" bestFit="1" customWidth="1"/>
    <col min="4" max="16384" width="8.88671875" style="13"/>
  </cols>
  <sheetData>
    <row r="1" spans="1:4">
      <c r="A1" s="40" t="s">
        <v>328</v>
      </c>
    </row>
    <row r="3" spans="1:4">
      <c r="A3" s="14" t="s">
        <v>0</v>
      </c>
    </row>
    <row r="4" spans="1:4">
      <c r="A4" s="15" t="s">
        <v>2</v>
      </c>
    </row>
    <row r="6" spans="1:4">
      <c r="A6" s="16" t="s">
        <v>168</v>
      </c>
    </row>
    <row r="7" spans="1:4">
      <c r="A7" s="16" t="s">
        <v>310</v>
      </c>
    </row>
    <row r="9" spans="1:4">
      <c r="A9" s="16" t="s">
        <v>167</v>
      </c>
      <c r="B9" s="28" t="s">
        <v>165</v>
      </c>
      <c r="C9" s="16" t="s">
        <v>166</v>
      </c>
      <c r="D9" s="19" t="s">
        <v>165</v>
      </c>
    </row>
    <row r="10" spans="1:4">
      <c r="A10" s="13" t="s">
        <v>164</v>
      </c>
      <c r="B10" s="29">
        <v>152</v>
      </c>
      <c r="C10" s="13" t="s">
        <v>163</v>
      </c>
      <c r="D10" s="13">
        <v>121</v>
      </c>
    </row>
    <row r="11" spans="1:4">
      <c r="A11" s="13" t="s">
        <v>162</v>
      </c>
      <c r="B11" s="29">
        <v>229</v>
      </c>
      <c r="C11" s="13" t="s">
        <v>161</v>
      </c>
      <c r="D11" s="13">
        <v>238</v>
      </c>
    </row>
    <row r="12" spans="1:4">
      <c r="A12" s="13" t="s">
        <v>160</v>
      </c>
      <c r="B12" s="29">
        <v>142</v>
      </c>
      <c r="C12" s="13" t="s">
        <v>159</v>
      </c>
      <c r="D12" s="13">
        <v>70</v>
      </c>
    </row>
    <row r="13" spans="1:4">
      <c r="A13" s="13" t="s">
        <v>158</v>
      </c>
      <c r="B13" s="29">
        <v>64</v>
      </c>
      <c r="C13" s="13" t="s">
        <v>157</v>
      </c>
      <c r="D13" s="13">
        <v>152</v>
      </c>
    </row>
    <row r="14" spans="1:4">
      <c r="A14" s="13" t="s">
        <v>156</v>
      </c>
      <c r="B14" s="29">
        <v>156</v>
      </c>
      <c r="C14" s="13" t="s">
        <v>155</v>
      </c>
      <c r="D14" s="13">
        <v>171</v>
      </c>
    </row>
    <row r="15" spans="1:4">
      <c r="C15" s="13" t="s">
        <v>154</v>
      </c>
      <c r="D15" s="13">
        <v>260</v>
      </c>
    </row>
    <row r="16" spans="1:4">
      <c r="C16" s="13" t="s">
        <v>153</v>
      </c>
      <c r="D16" s="13">
        <v>264</v>
      </c>
    </row>
    <row r="17" spans="1:3">
      <c r="A17" s="16" t="s">
        <v>311</v>
      </c>
    </row>
    <row r="18" spans="1:3">
      <c r="A18" s="16"/>
    </row>
    <row r="19" spans="1:3">
      <c r="A19" s="16" t="s">
        <v>261</v>
      </c>
    </row>
    <row r="21" spans="1:3">
      <c r="A21" s="16" t="s">
        <v>312</v>
      </c>
      <c r="C21" s="16"/>
    </row>
    <row r="23" spans="1:3">
      <c r="A23" s="16" t="s">
        <v>259</v>
      </c>
      <c r="B23" s="16"/>
      <c r="C23" s="16"/>
    </row>
    <row r="24" spans="1:3">
      <c r="A24" s="16" t="s">
        <v>152</v>
      </c>
      <c r="B24" s="16" t="s">
        <v>151</v>
      </c>
      <c r="C24" s="19" t="s">
        <v>150</v>
      </c>
    </row>
    <row r="25" spans="1:3">
      <c r="A25" s="13" t="s">
        <v>145</v>
      </c>
      <c r="B25" s="13" t="s">
        <v>149</v>
      </c>
      <c r="C25" s="13">
        <v>15.2</v>
      </c>
    </row>
    <row r="26" spans="1:3">
      <c r="A26" s="13" t="s">
        <v>145</v>
      </c>
      <c r="B26" s="13" t="s">
        <v>148</v>
      </c>
      <c r="C26" s="13">
        <v>22.9</v>
      </c>
    </row>
    <row r="27" spans="1:3">
      <c r="A27" s="13" t="s">
        <v>145</v>
      </c>
      <c r="B27" s="13" t="s">
        <v>147</v>
      </c>
      <c r="C27" s="13">
        <v>14.2</v>
      </c>
    </row>
    <row r="28" spans="1:3">
      <c r="A28" s="13" t="s">
        <v>145</v>
      </c>
      <c r="B28" s="13" t="s">
        <v>146</v>
      </c>
      <c r="C28" s="13">
        <v>6.4</v>
      </c>
    </row>
    <row r="29" spans="1:3">
      <c r="A29" s="13" t="s">
        <v>145</v>
      </c>
      <c r="B29" s="13" t="s">
        <v>144</v>
      </c>
      <c r="C29" s="13">
        <v>15.6</v>
      </c>
    </row>
    <row r="30" spans="1:3">
      <c r="A30" s="13" t="s">
        <v>139</v>
      </c>
      <c r="B30" s="13" t="s">
        <v>143</v>
      </c>
      <c r="C30" s="13">
        <v>0.7</v>
      </c>
    </row>
    <row r="31" spans="1:3">
      <c r="A31" s="13" t="s">
        <v>139</v>
      </c>
      <c r="B31" s="13" t="s">
        <v>142</v>
      </c>
      <c r="C31" s="13">
        <v>0.6</v>
      </c>
    </row>
    <row r="32" spans="1:3">
      <c r="A32" s="13" t="s">
        <v>139</v>
      </c>
      <c r="B32" s="13" t="s">
        <v>141</v>
      </c>
      <c r="C32" s="13">
        <v>1.8</v>
      </c>
    </row>
    <row r="33" spans="1:6">
      <c r="A33" s="13" t="s">
        <v>139</v>
      </c>
      <c r="B33" s="13" t="s">
        <v>140</v>
      </c>
      <c r="C33" s="13">
        <v>0.2</v>
      </c>
    </row>
    <row r="34" spans="1:6">
      <c r="A34" s="13" t="s">
        <v>139</v>
      </c>
      <c r="B34" s="13" t="s">
        <v>138</v>
      </c>
      <c r="C34" s="13">
        <v>0.2</v>
      </c>
    </row>
    <row r="37" spans="1:6">
      <c r="A37" s="16" t="s">
        <v>265</v>
      </c>
    </row>
    <row r="38" spans="1:6">
      <c r="A38" s="15"/>
    </row>
    <row r="39" spans="1:6">
      <c r="A39" s="15"/>
    </row>
    <row r="40" spans="1:6">
      <c r="A40" s="15"/>
    </row>
    <row r="41" spans="1:6">
      <c r="A41" s="30" t="s">
        <v>202</v>
      </c>
      <c r="B41" s="31" t="s">
        <v>311</v>
      </c>
    </row>
    <row r="42" spans="1:6">
      <c r="A42" s="15"/>
    </row>
    <row r="43" spans="1:6">
      <c r="A43" s="13" t="s">
        <v>215</v>
      </c>
    </row>
    <row r="44" spans="1:6">
      <c r="A44" s="13" t="s">
        <v>214</v>
      </c>
    </row>
    <row r="45" spans="1:6">
      <c r="B45" s="13">
        <v>1</v>
      </c>
      <c r="C45" s="13">
        <v>2</v>
      </c>
      <c r="D45" s="13">
        <v>3</v>
      </c>
      <c r="E45" s="13">
        <v>4</v>
      </c>
      <c r="F45" s="13">
        <v>5</v>
      </c>
    </row>
    <row r="46" spans="1:6">
      <c r="A46" s="13">
        <v>1</v>
      </c>
      <c r="B46" s="32">
        <v>1</v>
      </c>
      <c r="C46" s="32">
        <v>0.25</v>
      </c>
      <c r="D46" s="32">
        <v>0.25</v>
      </c>
      <c r="E46" s="32">
        <v>0.25</v>
      </c>
      <c r="F46" s="32">
        <v>0.25</v>
      </c>
    </row>
    <row r="47" spans="1:6">
      <c r="A47" s="13">
        <v>2</v>
      </c>
      <c r="B47" s="32">
        <v>0.25</v>
      </c>
      <c r="C47" s="32">
        <v>1</v>
      </c>
      <c r="D47" s="32">
        <v>0.25</v>
      </c>
      <c r="E47" s="32">
        <v>0.25</v>
      </c>
      <c r="F47" s="32">
        <v>0.25</v>
      </c>
    </row>
    <row r="48" spans="1:6">
      <c r="A48" s="13">
        <v>3</v>
      </c>
      <c r="B48" s="32">
        <v>0.25</v>
      </c>
      <c r="C48" s="32">
        <v>0.25</v>
      </c>
      <c r="D48" s="32">
        <v>1</v>
      </c>
      <c r="E48" s="32">
        <v>0.25</v>
      </c>
      <c r="F48" s="32">
        <v>0.25</v>
      </c>
    </row>
    <row r="49" spans="1:6">
      <c r="A49" s="13">
        <v>4</v>
      </c>
      <c r="B49" s="32">
        <v>0.25</v>
      </c>
      <c r="C49" s="32">
        <v>0.25</v>
      </c>
      <c r="D49" s="32">
        <v>0.25</v>
      </c>
      <c r="E49" s="32">
        <v>1</v>
      </c>
      <c r="F49" s="32">
        <v>0.25</v>
      </c>
    </row>
    <row r="50" spans="1:6">
      <c r="A50" s="13">
        <v>5</v>
      </c>
      <c r="B50" s="32">
        <v>0.25</v>
      </c>
      <c r="C50" s="32">
        <v>0.25</v>
      </c>
      <c r="D50" s="32">
        <v>0.25</v>
      </c>
      <c r="E50" s="32">
        <v>0.25</v>
      </c>
      <c r="F50" s="32">
        <v>1</v>
      </c>
    </row>
    <row r="52" spans="1:6">
      <c r="A52" s="16" t="s">
        <v>167</v>
      </c>
      <c r="B52" s="28" t="s">
        <v>165</v>
      </c>
      <c r="C52" s="16" t="s">
        <v>166</v>
      </c>
      <c r="D52" s="19" t="s">
        <v>165</v>
      </c>
    </row>
    <row r="53" spans="1:6">
      <c r="A53" s="13" t="s">
        <v>164</v>
      </c>
      <c r="B53" s="29">
        <f>B10</f>
        <v>152</v>
      </c>
      <c r="C53" s="13" t="s">
        <v>163</v>
      </c>
      <c r="D53" s="13">
        <f>D10</f>
        <v>121</v>
      </c>
    </row>
    <row r="54" spans="1:6">
      <c r="A54" s="13" t="s">
        <v>162</v>
      </c>
      <c r="B54" s="29">
        <f t="shared" ref="B54:B57" si="0">B11</f>
        <v>229</v>
      </c>
      <c r="C54" s="13" t="s">
        <v>161</v>
      </c>
      <c r="D54" s="13">
        <f t="shared" ref="D54:D59" si="1">D11</f>
        <v>238</v>
      </c>
    </row>
    <row r="55" spans="1:6">
      <c r="A55" s="13" t="s">
        <v>160</v>
      </c>
      <c r="B55" s="29">
        <f t="shared" si="0"/>
        <v>142</v>
      </c>
      <c r="C55" s="13" t="s">
        <v>159</v>
      </c>
      <c r="D55" s="13">
        <f t="shared" si="1"/>
        <v>70</v>
      </c>
    </row>
    <row r="56" spans="1:6">
      <c r="A56" s="13" t="s">
        <v>158</v>
      </c>
      <c r="B56" s="29">
        <f t="shared" si="0"/>
        <v>64</v>
      </c>
      <c r="C56" s="13" t="s">
        <v>157</v>
      </c>
      <c r="D56" s="13">
        <f t="shared" si="1"/>
        <v>152</v>
      </c>
    </row>
    <row r="57" spans="1:6">
      <c r="A57" s="13" t="s">
        <v>156</v>
      </c>
      <c r="B57" s="29">
        <f t="shared" si="0"/>
        <v>156</v>
      </c>
      <c r="C57" s="13" t="s">
        <v>155</v>
      </c>
      <c r="D57" s="13">
        <f t="shared" si="1"/>
        <v>171</v>
      </c>
    </row>
    <row r="58" spans="1:6">
      <c r="C58" s="13" t="s">
        <v>154</v>
      </c>
      <c r="D58" s="13">
        <f t="shared" si="1"/>
        <v>260</v>
      </c>
    </row>
    <row r="59" spans="1:6">
      <c r="C59" s="13" t="s">
        <v>153</v>
      </c>
      <c r="D59" s="13">
        <f t="shared" si="1"/>
        <v>264</v>
      </c>
    </row>
    <row r="61" spans="1:6">
      <c r="A61" s="13" t="s">
        <v>213</v>
      </c>
    </row>
    <row r="65" spans="1:6">
      <c r="A65" s="13" t="s">
        <v>313</v>
      </c>
      <c r="B65" s="33" cm="1">
        <f t="array" ref="B65">SQRT(MMULT(TRANSPOSE(B53:B57), MMULT(B46:F50, B53:B57)))</f>
        <v>480.7473348860085</v>
      </c>
    </row>
    <row r="67" spans="1:6">
      <c r="A67" s="13" t="s">
        <v>212</v>
      </c>
    </row>
    <row r="68" spans="1:6">
      <c r="A68" s="13" t="s">
        <v>314</v>
      </c>
      <c r="B68" s="20">
        <f>SQRT(D53^2+D54^2+D55^2+D56^2+D57^2+D58^2+D59^2)</f>
        <v>515.58316496953239</v>
      </c>
    </row>
    <row r="70" spans="1:6">
      <c r="A70" s="13" t="s">
        <v>315</v>
      </c>
    </row>
    <row r="71" spans="1:6">
      <c r="A71" s="34" t="s">
        <v>316</v>
      </c>
      <c r="B71" s="35">
        <f>SQRT(B65^2+B68^2)</f>
        <v>704.9425508507768</v>
      </c>
    </row>
    <row r="73" spans="1:6">
      <c r="A73" s="30" t="s">
        <v>202</v>
      </c>
      <c r="B73" s="31" t="s">
        <v>312</v>
      </c>
      <c r="C73" s="36"/>
      <c r="D73" s="36"/>
      <c r="E73" s="36"/>
      <c r="F73" s="36"/>
    </row>
    <row r="75" spans="1:6">
      <c r="A75" s="13" t="s">
        <v>211</v>
      </c>
    </row>
    <row r="77" spans="1:6">
      <c r="A77" s="16" t="s">
        <v>210</v>
      </c>
      <c r="B77" s="16" t="s">
        <v>165</v>
      </c>
    </row>
    <row r="78" spans="1:6">
      <c r="A78" s="13" t="s">
        <v>209</v>
      </c>
      <c r="B78" s="20">
        <f>'A1 LO 6d'!B77</f>
        <v>651.23870682501934</v>
      </c>
    </row>
    <row r="79" spans="1:6">
      <c r="A79" s="13" t="s">
        <v>208</v>
      </c>
      <c r="B79" s="20">
        <f>B71</f>
        <v>704.9425508507768</v>
      </c>
    </row>
    <row r="80" spans="1:6">
      <c r="A80" s="13" t="s">
        <v>207</v>
      </c>
      <c r="B80" s="20">
        <v>100</v>
      </c>
    </row>
    <row r="82" spans="1:5">
      <c r="A82" s="13" t="s">
        <v>206</v>
      </c>
    </row>
    <row r="83" spans="1:5">
      <c r="B83" s="13">
        <v>1</v>
      </c>
      <c r="C83" s="13">
        <v>2</v>
      </c>
      <c r="D83" s="13">
        <v>3</v>
      </c>
    </row>
    <row r="84" spans="1:5">
      <c r="A84" s="13">
        <v>1</v>
      </c>
      <c r="B84" s="32">
        <v>1</v>
      </c>
      <c r="C84" s="32">
        <v>0.25</v>
      </c>
      <c r="D84" s="32">
        <v>0</v>
      </c>
    </row>
    <row r="85" spans="1:5">
      <c r="A85" s="13">
        <v>2</v>
      </c>
      <c r="B85" s="32">
        <v>0.25</v>
      </c>
      <c r="C85" s="32">
        <v>1</v>
      </c>
      <c r="D85" s="32">
        <v>0</v>
      </c>
    </row>
    <row r="86" spans="1:5">
      <c r="A86" s="13">
        <v>3</v>
      </c>
      <c r="B86" s="32">
        <v>0</v>
      </c>
      <c r="C86" s="32">
        <v>0</v>
      </c>
      <c r="D86" s="32">
        <v>1</v>
      </c>
    </row>
    <row r="88" spans="1:5">
      <c r="A88" s="13" t="s">
        <v>317</v>
      </c>
    </row>
    <row r="89" spans="1:5">
      <c r="A89" s="37" t="s">
        <v>318</v>
      </c>
      <c r="B89" s="38" cm="1">
        <f t="array" ref="B89">SQRT(MMULT(TRANSPOSE(B78:B80), MMULT(B84:D86, B78:B80)))</f>
        <v>1077.31090724457</v>
      </c>
    </row>
    <row r="91" spans="1:5">
      <c r="A91" s="30" t="s">
        <v>202</v>
      </c>
      <c r="B91" s="31" t="s">
        <v>265</v>
      </c>
      <c r="C91" s="36"/>
      <c r="D91" s="36"/>
      <c r="E91" s="36"/>
    </row>
    <row r="93" spans="1:5">
      <c r="A93" s="16" t="s">
        <v>152</v>
      </c>
      <c r="B93" s="16" t="s">
        <v>151</v>
      </c>
      <c r="C93" s="16" t="s">
        <v>150</v>
      </c>
      <c r="D93" s="16" t="s">
        <v>205</v>
      </c>
    </row>
    <row r="94" spans="1:5">
      <c r="A94" s="13" t="s">
        <v>145</v>
      </c>
      <c r="B94" s="13" t="s">
        <v>149</v>
      </c>
      <c r="C94" s="13">
        <f>C25</f>
        <v>15.2</v>
      </c>
      <c r="D94" s="13">
        <f t="shared" ref="D94:D103" si="2">C94^2</f>
        <v>231.04</v>
      </c>
    </row>
    <row r="95" spans="1:5">
      <c r="A95" s="13" t="s">
        <v>145</v>
      </c>
      <c r="B95" s="13" t="s">
        <v>148</v>
      </c>
      <c r="C95" s="13">
        <f t="shared" ref="C95:C103" si="3">C26</f>
        <v>22.9</v>
      </c>
      <c r="D95" s="13">
        <f t="shared" si="2"/>
        <v>524.41</v>
      </c>
    </row>
    <row r="96" spans="1:5">
      <c r="A96" s="13" t="s">
        <v>145</v>
      </c>
      <c r="B96" s="13" t="s">
        <v>147</v>
      </c>
      <c r="C96" s="13">
        <f t="shared" si="3"/>
        <v>14.2</v>
      </c>
      <c r="D96" s="13">
        <f t="shared" si="2"/>
        <v>201.64</v>
      </c>
    </row>
    <row r="97" spans="1:4">
      <c r="A97" s="13" t="s">
        <v>145</v>
      </c>
      <c r="B97" s="13" t="s">
        <v>146</v>
      </c>
      <c r="C97" s="13">
        <f t="shared" si="3"/>
        <v>6.4</v>
      </c>
      <c r="D97" s="13">
        <f t="shared" si="2"/>
        <v>40.960000000000008</v>
      </c>
    </row>
    <row r="98" spans="1:4">
      <c r="A98" s="13" t="s">
        <v>145</v>
      </c>
      <c r="B98" s="13" t="s">
        <v>144</v>
      </c>
      <c r="C98" s="13">
        <f t="shared" si="3"/>
        <v>15.6</v>
      </c>
      <c r="D98" s="13">
        <f t="shared" si="2"/>
        <v>243.35999999999999</v>
      </c>
    </row>
    <row r="99" spans="1:4">
      <c r="A99" s="13" t="s">
        <v>139</v>
      </c>
      <c r="B99" s="13" t="s">
        <v>143</v>
      </c>
      <c r="C99" s="13">
        <f t="shared" si="3"/>
        <v>0.7</v>
      </c>
      <c r="D99" s="13">
        <f t="shared" si="2"/>
        <v>0.48999999999999994</v>
      </c>
    </row>
    <row r="100" spans="1:4">
      <c r="A100" s="13" t="s">
        <v>139</v>
      </c>
      <c r="B100" s="13" t="s">
        <v>142</v>
      </c>
      <c r="C100" s="13">
        <f t="shared" si="3"/>
        <v>0.6</v>
      </c>
      <c r="D100" s="13">
        <f t="shared" si="2"/>
        <v>0.36</v>
      </c>
    </row>
    <row r="101" spans="1:4">
      <c r="A101" s="13" t="s">
        <v>139</v>
      </c>
      <c r="B101" s="13" t="s">
        <v>141</v>
      </c>
      <c r="C101" s="13">
        <f t="shared" si="3"/>
        <v>1.8</v>
      </c>
      <c r="D101" s="13">
        <f t="shared" si="2"/>
        <v>3.24</v>
      </c>
    </row>
    <row r="102" spans="1:4">
      <c r="A102" s="13" t="s">
        <v>139</v>
      </c>
      <c r="B102" s="13" t="s">
        <v>140</v>
      </c>
      <c r="C102" s="13">
        <f t="shared" si="3"/>
        <v>0.2</v>
      </c>
      <c r="D102" s="13">
        <f t="shared" si="2"/>
        <v>4.0000000000000008E-2</v>
      </c>
    </row>
    <row r="103" spans="1:4">
      <c r="A103" s="13" t="s">
        <v>139</v>
      </c>
      <c r="B103" s="13" t="s">
        <v>138</v>
      </c>
      <c r="C103" s="13">
        <f t="shared" si="3"/>
        <v>0.2</v>
      </c>
      <c r="D103" s="13">
        <f t="shared" si="2"/>
        <v>4.0000000000000008E-2</v>
      </c>
    </row>
    <row r="105" spans="1:4">
      <c r="A105" s="13" t="s">
        <v>204</v>
      </c>
      <c r="B105" s="20">
        <f>SQRT(SUM(D94:D99))</f>
        <v>35.240601583968456</v>
      </c>
    </row>
    <row r="106" spans="1:4">
      <c r="A106" s="13" t="s">
        <v>203</v>
      </c>
      <c r="B106" s="20">
        <f>SQRT(SUM(D99:D103))</f>
        <v>2.0420577856662137</v>
      </c>
    </row>
    <row r="107" spans="1:4">
      <c r="A107" s="13" t="s">
        <v>262</v>
      </c>
      <c r="B107" s="20"/>
    </row>
    <row r="109" spans="1:4">
      <c r="A109" s="37" t="s">
        <v>319</v>
      </c>
      <c r="B109" s="35">
        <f>SQRT(B105^2+B106^2+2*0.75*B105*B106)</f>
        <v>36.796943042244095</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4D103-0CFA-462E-9A95-A89C38F2BD32}">
  <sheetPr>
    <tabColor theme="5" tint="0.39997558519241921"/>
  </sheetPr>
  <dimension ref="A1:B45"/>
  <sheetViews>
    <sheetView workbookViewId="0"/>
  </sheetViews>
  <sheetFormatPr defaultColWidth="8.88671875" defaultRowHeight="14.4"/>
  <cols>
    <col min="1" max="1" width="47.6640625" style="13" customWidth="1"/>
    <col min="2" max="16384" width="8.88671875" style="13"/>
  </cols>
  <sheetData>
    <row r="1" spans="1:2">
      <c r="A1" s="40" t="s">
        <v>328</v>
      </c>
    </row>
    <row r="3" spans="1:2">
      <c r="A3" s="14" t="s">
        <v>0</v>
      </c>
    </row>
    <row r="4" spans="1:2">
      <c r="A4" s="15" t="s">
        <v>2</v>
      </c>
    </row>
    <row r="6" spans="1:2">
      <c r="A6" s="16" t="s">
        <v>239</v>
      </c>
    </row>
    <row r="8" spans="1:2">
      <c r="A8" s="16" t="s">
        <v>266</v>
      </c>
    </row>
    <row r="10" spans="1:2">
      <c r="A10" s="16" t="s">
        <v>194</v>
      </c>
    </row>
    <row r="11" spans="1:2">
      <c r="A11" s="13" t="s">
        <v>193</v>
      </c>
      <c r="B11" s="13">
        <v>6</v>
      </c>
    </row>
    <row r="12" spans="1:2">
      <c r="A12" s="13" t="s">
        <v>192</v>
      </c>
      <c r="B12" s="13">
        <v>11</v>
      </c>
    </row>
    <row r="14" spans="1:2">
      <c r="A14" s="16" t="s">
        <v>191</v>
      </c>
    </row>
    <row r="15" spans="1:2">
      <c r="A15" s="13" t="s">
        <v>190</v>
      </c>
      <c r="B15" s="13">
        <v>14</v>
      </c>
    </row>
    <row r="16" spans="1:2">
      <c r="A16" s="13" t="s">
        <v>189</v>
      </c>
      <c r="B16" s="13">
        <v>10</v>
      </c>
    </row>
    <row r="18" spans="1:2">
      <c r="A18" s="16" t="s">
        <v>188</v>
      </c>
      <c r="B18" s="13">
        <v>7</v>
      </c>
    </row>
    <row r="20" spans="1:2">
      <c r="A20" s="16" t="s">
        <v>187</v>
      </c>
    </row>
    <row r="21" spans="1:2">
      <c r="A21" s="13" t="s">
        <v>186</v>
      </c>
      <c r="B21" s="13">
        <v>16</v>
      </c>
    </row>
    <row r="22" spans="1:2">
      <c r="A22" s="13" t="s">
        <v>185</v>
      </c>
      <c r="B22" s="13">
        <v>9</v>
      </c>
    </row>
    <row r="23" spans="1:2">
      <c r="A23" s="13" t="s">
        <v>184</v>
      </c>
      <c r="B23" s="13">
        <v>3</v>
      </c>
    </row>
    <row r="25" spans="1:2">
      <c r="A25" s="16" t="s">
        <v>183</v>
      </c>
    </row>
    <row r="26" spans="1:2">
      <c r="A26" s="13" t="s">
        <v>182</v>
      </c>
      <c r="B26" s="13">
        <v>8</v>
      </c>
    </row>
    <row r="27" spans="1:2">
      <c r="A27" s="13" t="s">
        <v>181</v>
      </c>
      <c r="B27" s="13">
        <v>12</v>
      </c>
    </row>
    <row r="28" spans="1:2">
      <c r="A28" s="13" t="s">
        <v>180</v>
      </c>
      <c r="B28" s="13">
        <v>5</v>
      </c>
    </row>
    <row r="29" spans="1:2">
      <c r="A29" s="13" t="s">
        <v>179</v>
      </c>
      <c r="B29" s="13">
        <v>7</v>
      </c>
    </row>
    <row r="30" spans="1:2">
      <c r="A30" s="13" t="s">
        <v>178</v>
      </c>
      <c r="B30" s="13">
        <v>4</v>
      </c>
    </row>
    <row r="31" spans="1:2">
      <c r="A31" s="13" t="s">
        <v>177</v>
      </c>
      <c r="B31" s="13">
        <v>9</v>
      </c>
    </row>
    <row r="33" spans="1:2">
      <c r="A33" s="16" t="s">
        <v>176</v>
      </c>
      <c r="B33" s="13">
        <v>12</v>
      </c>
    </row>
    <row r="35" spans="1:2">
      <c r="A35" s="16" t="s">
        <v>175</v>
      </c>
      <c r="B35" s="13">
        <v>37</v>
      </c>
    </row>
    <row r="37" spans="1:2">
      <c r="A37" s="16" t="s">
        <v>267</v>
      </c>
    </row>
    <row r="39" spans="1:2">
      <c r="A39" s="16" t="s">
        <v>174</v>
      </c>
      <c r="B39" s="16" t="s">
        <v>150</v>
      </c>
    </row>
    <row r="40" spans="1:2">
      <c r="A40" s="13" t="s">
        <v>173</v>
      </c>
      <c r="B40" s="13">
        <v>235</v>
      </c>
    </row>
    <row r="41" spans="1:2">
      <c r="A41" s="13" t="s">
        <v>172</v>
      </c>
      <c r="B41" s="13">
        <v>127</v>
      </c>
    </row>
    <row r="42" spans="1:2">
      <c r="A42" s="13" t="s">
        <v>171</v>
      </c>
      <c r="B42" s="13">
        <v>31</v>
      </c>
    </row>
    <row r="44" spans="1:2">
      <c r="A44" s="16" t="s">
        <v>170</v>
      </c>
      <c r="B44" s="13">
        <v>2749</v>
      </c>
    </row>
    <row r="45" spans="1:2">
      <c r="A45" s="16" t="s">
        <v>169</v>
      </c>
      <c r="B45" s="13">
        <v>293</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B2C7B-C2FE-4EFB-BBDD-C916810D7B1B}">
  <sheetPr>
    <tabColor theme="9" tint="0.59999389629810485"/>
  </sheetPr>
  <dimension ref="A1:J97"/>
  <sheetViews>
    <sheetView workbookViewId="0"/>
  </sheetViews>
  <sheetFormatPr defaultColWidth="8.88671875" defaultRowHeight="14.4"/>
  <cols>
    <col min="1" max="1" width="47.6640625" style="13" customWidth="1"/>
    <col min="2" max="2" width="15.33203125" style="13" bestFit="1" customWidth="1"/>
    <col min="3" max="3" width="12.77734375" style="13" customWidth="1"/>
    <col min="4" max="17" width="8.88671875" style="13"/>
    <col min="18" max="18" width="10.77734375" style="13" bestFit="1" customWidth="1"/>
    <col min="19" max="16384" width="8.88671875" style="13"/>
  </cols>
  <sheetData>
    <row r="1" spans="1:3">
      <c r="A1" s="40" t="s">
        <v>328</v>
      </c>
    </row>
    <row r="3" spans="1:3">
      <c r="A3" s="14" t="s">
        <v>0</v>
      </c>
    </row>
    <row r="4" spans="1:3">
      <c r="A4" s="15" t="s">
        <v>2</v>
      </c>
    </row>
    <row r="6" spans="1:3">
      <c r="A6" s="16" t="s">
        <v>268</v>
      </c>
    </row>
    <row r="7" spans="1:3">
      <c r="A7" s="16"/>
    </row>
    <row r="8" spans="1:3">
      <c r="A8" s="17" t="s">
        <v>202</v>
      </c>
    </row>
    <row r="9" spans="1:3">
      <c r="A9" s="13" t="s">
        <v>236</v>
      </c>
    </row>
    <row r="11" spans="1:3">
      <c r="A11" s="16" t="s">
        <v>194</v>
      </c>
    </row>
    <row r="12" spans="1:3">
      <c r="A12" s="13" t="s">
        <v>193</v>
      </c>
      <c r="B12" s="13">
        <v>6</v>
      </c>
    </row>
    <row r="13" spans="1:3">
      <c r="A13" s="13" t="s">
        <v>192</v>
      </c>
      <c r="B13" s="13">
        <v>11</v>
      </c>
    </row>
    <row r="14" spans="1:3">
      <c r="A14" s="18" t="s">
        <v>235</v>
      </c>
      <c r="B14" s="13">
        <f>MAX(B12,B13)</f>
        <v>11</v>
      </c>
    </row>
    <row r="16" spans="1:3">
      <c r="A16" s="16" t="s">
        <v>191</v>
      </c>
      <c r="C16" s="19" t="s">
        <v>165</v>
      </c>
    </row>
    <row r="17" spans="1:4">
      <c r="A17" s="13" t="s">
        <v>190</v>
      </c>
      <c r="B17" s="13">
        <v>14</v>
      </c>
      <c r="C17" s="20">
        <f>B17*0.39</f>
        <v>5.46</v>
      </c>
    </row>
    <row r="18" spans="1:4">
      <c r="A18" s="13" t="s">
        <v>189</v>
      </c>
      <c r="B18" s="13">
        <v>10</v>
      </c>
      <c r="C18" s="20">
        <f>B18*0.49</f>
        <v>4.9000000000000004</v>
      </c>
    </row>
    <row r="19" spans="1:4">
      <c r="A19" s="18" t="s">
        <v>234</v>
      </c>
      <c r="B19" s="20">
        <f>SQRT(C17^2+C18^2+C17*C18*0.75*2)</f>
        <v>9.6929149382422626</v>
      </c>
      <c r="D19" s="13" t="s">
        <v>233</v>
      </c>
    </row>
    <row r="21" spans="1:4">
      <c r="A21" s="16" t="s">
        <v>188</v>
      </c>
      <c r="B21" s="13">
        <v>7</v>
      </c>
    </row>
    <row r="22" spans="1:4">
      <c r="A22" s="18" t="s">
        <v>232</v>
      </c>
      <c r="B22" s="20">
        <f>B21*0.25</f>
        <v>1.75</v>
      </c>
    </row>
    <row r="24" spans="1:4">
      <c r="A24" s="16" t="s">
        <v>187</v>
      </c>
    </row>
    <row r="25" spans="1:4">
      <c r="A25" s="13" t="s">
        <v>186</v>
      </c>
      <c r="B25" s="13">
        <v>16</v>
      </c>
    </row>
    <row r="26" spans="1:4">
      <c r="A26" s="13" t="s">
        <v>185</v>
      </c>
      <c r="B26" s="13">
        <v>9</v>
      </c>
    </row>
    <row r="27" spans="1:4">
      <c r="A27" s="13" t="s">
        <v>184</v>
      </c>
      <c r="B27" s="13">
        <v>3</v>
      </c>
    </row>
    <row r="28" spans="1:4">
      <c r="A28" s="18" t="s">
        <v>231</v>
      </c>
      <c r="B28" s="13">
        <f>SUM(B25:B27)</f>
        <v>28</v>
      </c>
    </row>
    <row r="30" spans="1:4">
      <c r="A30" s="16" t="s">
        <v>183</v>
      </c>
    </row>
    <row r="31" spans="1:4">
      <c r="A31" s="13" t="s">
        <v>182</v>
      </c>
      <c r="B31" s="13">
        <v>8</v>
      </c>
    </row>
    <row r="32" spans="1:4">
      <c r="A32" s="13" t="s">
        <v>181</v>
      </c>
      <c r="B32" s="13">
        <v>12</v>
      </c>
    </row>
    <row r="33" spans="1:10">
      <c r="A33" s="13" t="s">
        <v>180</v>
      </c>
      <c r="B33" s="13">
        <v>5</v>
      </c>
    </row>
    <row r="34" spans="1:10">
      <c r="A34" s="13" t="s">
        <v>179</v>
      </c>
      <c r="B34" s="13">
        <v>7</v>
      </c>
    </row>
    <row r="35" spans="1:10">
      <c r="A35" s="13" t="s">
        <v>178</v>
      </c>
      <c r="B35" s="13">
        <v>4</v>
      </c>
    </row>
    <row r="36" spans="1:10">
      <c r="A36" s="13" t="s">
        <v>177</v>
      </c>
      <c r="B36" s="13">
        <v>9</v>
      </c>
    </row>
    <row r="37" spans="1:10">
      <c r="A37" s="18" t="s">
        <v>230</v>
      </c>
      <c r="B37" s="20">
        <f>0.25*SUM(B31:B36)</f>
        <v>11.25</v>
      </c>
    </row>
    <row r="39" spans="1:10">
      <c r="A39" s="16" t="s">
        <v>176</v>
      </c>
      <c r="B39" s="13">
        <v>12</v>
      </c>
    </row>
    <row r="41" spans="1:10">
      <c r="A41" s="16" t="s">
        <v>175</v>
      </c>
      <c r="B41" s="13">
        <v>37</v>
      </c>
    </row>
    <row r="42" spans="1:10">
      <c r="A42" s="18" t="s">
        <v>229</v>
      </c>
      <c r="B42" s="20">
        <f>B41*0.65</f>
        <v>24.05</v>
      </c>
    </row>
    <row r="44" spans="1:10">
      <c r="A44" s="13" t="s">
        <v>228</v>
      </c>
    </row>
    <row r="45" spans="1:10">
      <c r="B45" s="13">
        <v>1</v>
      </c>
      <c r="C45" s="13">
        <v>2</v>
      </c>
      <c r="D45" s="13">
        <v>3</v>
      </c>
      <c r="E45" s="13">
        <v>4</v>
      </c>
      <c r="F45" s="13">
        <v>5</v>
      </c>
      <c r="G45" s="13">
        <v>6</v>
      </c>
      <c r="H45" s="13">
        <v>7</v>
      </c>
      <c r="J45" s="13" t="s">
        <v>227</v>
      </c>
    </row>
    <row r="46" spans="1:10">
      <c r="A46" s="13">
        <v>1</v>
      </c>
      <c r="B46" s="21">
        <v>1</v>
      </c>
      <c r="C46" s="21">
        <v>0.5</v>
      </c>
      <c r="D46" s="21">
        <v>0.5</v>
      </c>
      <c r="E46" s="21">
        <v>0.5</v>
      </c>
      <c r="F46" s="21">
        <v>0.25</v>
      </c>
      <c r="G46" s="21">
        <v>0</v>
      </c>
      <c r="H46" s="21">
        <v>0</v>
      </c>
      <c r="J46" s="13">
        <f>B14</f>
        <v>11</v>
      </c>
    </row>
    <row r="47" spans="1:10">
      <c r="A47" s="13">
        <v>2</v>
      </c>
      <c r="B47" s="21">
        <v>0.5</v>
      </c>
      <c r="C47" s="21">
        <v>1</v>
      </c>
      <c r="D47" s="21">
        <v>0.75</v>
      </c>
      <c r="E47" s="21">
        <v>0.75</v>
      </c>
      <c r="F47" s="21">
        <v>0.25</v>
      </c>
      <c r="G47" s="21">
        <v>0</v>
      </c>
      <c r="H47" s="21">
        <v>0</v>
      </c>
      <c r="J47" s="20">
        <f>B19</f>
        <v>9.6929149382422626</v>
      </c>
    </row>
    <row r="48" spans="1:10">
      <c r="A48" s="13">
        <v>3</v>
      </c>
      <c r="B48" s="21">
        <v>0.5</v>
      </c>
      <c r="C48" s="21">
        <v>0.75</v>
      </c>
      <c r="D48" s="21">
        <v>1</v>
      </c>
      <c r="E48" s="21">
        <v>0.5</v>
      </c>
      <c r="F48" s="21">
        <v>0.25</v>
      </c>
      <c r="G48" s="21">
        <v>0</v>
      </c>
      <c r="H48" s="21">
        <v>0</v>
      </c>
      <c r="J48" s="20">
        <f>B22</f>
        <v>1.75</v>
      </c>
    </row>
    <row r="49" spans="1:10">
      <c r="A49" s="13">
        <v>4</v>
      </c>
      <c r="B49" s="21">
        <v>0.5</v>
      </c>
      <c r="C49" s="21">
        <v>0.75</v>
      </c>
      <c r="D49" s="21">
        <v>0.5</v>
      </c>
      <c r="E49" s="21">
        <v>1</v>
      </c>
      <c r="F49" s="21">
        <v>0.25</v>
      </c>
      <c r="G49" s="21">
        <v>0</v>
      </c>
      <c r="H49" s="21">
        <v>-5.0000000000000001E-3</v>
      </c>
      <c r="J49" s="13">
        <f>B28</f>
        <v>28</v>
      </c>
    </row>
    <row r="50" spans="1:10">
      <c r="A50" s="13">
        <v>5</v>
      </c>
      <c r="B50" s="21">
        <v>0.25</v>
      </c>
      <c r="C50" s="21">
        <v>0.25</v>
      </c>
      <c r="D50" s="21">
        <v>0.25</v>
      </c>
      <c r="E50" s="21">
        <v>0.25</v>
      </c>
      <c r="F50" s="21">
        <v>1</v>
      </c>
      <c r="G50" s="21">
        <v>0</v>
      </c>
      <c r="H50" s="21">
        <v>0</v>
      </c>
      <c r="J50" s="20">
        <f>B37</f>
        <v>11.25</v>
      </c>
    </row>
    <row r="51" spans="1:10">
      <c r="A51" s="13">
        <v>6</v>
      </c>
      <c r="B51" s="21">
        <v>0</v>
      </c>
      <c r="C51" s="21">
        <v>0</v>
      </c>
      <c r="D51" s="21">
        <v>0</v>
      </c>
      <c r="E51" s="21">
        <v>0</v>
      </c>
      <c r="F51" s="21">
        <v>0</v>
      </c>
      <c r="G51" s="21">
        <v>1</v>
      </c>
      <c r="H51" s="21">
        <v>0</v>
      </c>
      <c r="J51" s="13">
        <f>B39</f>
        <v>12</v>
      </c>
    </row>
    <row r="52" spans="1:10">
      <c r="A52" s="13">
        <v>7</v>
      </c>
      <c r="B52" s="21">
        <v>0</v>
      </c>
      <c r="C52" s="21">
        <v>0</v>
      </c>
      <c r="D52" s="21">
        <v>0</v>
      </c>
      <c r="E52" s="21">
        <v>-5.0000000000000001E-3</v>
      </c>
      <c r="F52" s="21">
        <v>0</v>
      </c>
      <c r="G52" s="21">
        <v>0</v>
      </c>
      <c r="H52" s="21">
        <v>1</v>
      </c>
      <c r="J52" s="20">
        <f>B42</f>
        <v>24.05</v>
      </c>
    </row>
    <row r="53" spans="1:10">
      <c r="A53" s="13" t="s">
        <v>226</v>
      </c>
      <c r="B53" s="21"/>
      <c r="C53" s="21"/>
      <c r="D53" s="21"/>
      <c r="E53" s="21"/>
      <c r="F53" s="21"/>
      <c r="G53" s="21"/>
      <c r="H53" s="21"/>
    </row>
    <row r="54" spans="1:10">
      <c r="A54" s="13" t="s">
        <v>307</v>
      </c>
      <c r="B54" s="20" cm="1">
        <f t="array" ref="B54">SQRT(MMULT(TRANSPOSE(J46:J52), MMULT(B46:H52, J46:J52)))</f>
        <v>55.167072515834469</v>
      </c>
    </row>
    <row r="55" spans="1:10">
      <c r="B55" s="20"/>
    </row>
    <row r="56" spans="1:10">
      <c r="A56" s="16" t="s">
        <v>269</v>
      </c>
    </row>
    <row r="57" spans="1:10">
      <c r="A57" s="16"/>
    </row>
    <row r="58" spans="1:10">
      <c r="A58" s="17" t="s">
        <v>202</v>
      </c>
    </row>
    <row r="59" spans="1:10">
      <c r="A59" s="17"/>
    </row>
    <row r="60" spans="1:10">
      <c r="A60" s="13" t="s">
        <v>225</v>
      </c>
    </row>
    <row r="62" spans="1:10">
      <c r="A62" s="16" t="s">
        <v>174</v>
      </c>
      <c r="B62" s="16" t="s">
        <v>150</v>
      </c>
    </row>
    <row r="63" spans="1:10">
      <c r="A63" s="13" t="s">
        <v>173</v>
      </c>
      <c r="B63" s="13">
        <v>235</v>
      </c>
    </row>
    <row r="64" spans="1:10">
      <c r="A64" s="13" t="s">
        <v>172</v>
      </c>
      <c r="B64" s="13">
        <v>127</v>
      </c>
    </row>
    <row r="65" spans="1:10">
      <c r="A65" s="13" t="s">
        <v>171</v>
      </c>
      <c r="B65" s="13">
        <v>31</v>
      </c>
    </row>
    <row r="67" spans="1:10">
      <c r="A67" s="16" t="s">
        <v>170</v>
      </c>
      <c r="B67" s="13">
        <v>2749</v>
      </c>
    </row>
    <row r="68" spans="1:10">
      <c r="A68" s="16" t="s">
        <v>169</v>
      </c>
      <c r="B68" s="13">
        <v>293</v>
      </c>
    </row>
    <row r="70" spans="1:10">
      <c r="A70" s="13" t="s">
        <v>224</v>
      </c>
    </row>
    <row r="72" spans="1:10">
      <c r="A72" s="16" t="s">
        <v>174</v>
      </c>
      <c r="B72" s="19" t="s">
        <v>165</v>
      </c>
    </row>
    <row r="73" spans="1:10">
      <c r="A73" s="22" t="s">
        <v>222</v>
      </c>
      <c r="B73" s="20">
        <f>B54</f>
        <v>55.167072515834469</v>
      </c>
    </row>
    <row r="74" spans="1:10">
      <c r="A74" s="22" t="s">
        <v>221</v>
      </c>
      <c r="B74" s="20">
        <f>'A2 LO 6d'!B109</f>
        <v>36.796943042244095</v>
      </c>
    </row>
    <row r="75" spans="1:10">
      <c r="A75" s="22" t="s">
        <v>173</v>
      </c>
      <c r="B75" s="20">
        <f>B63</f>
        <v>235</v>
      </c>
    </row>
    <row r="76" spans="1:10">
      <c r="A76" s="22" t="s">
        <v>172</v>
      </c>
      <c r="B76" s="20">
        <f>B64</f>
        <v>127</v>
      </c>
    </row>
    <row r="77" spans="1:10">
      <c r="A77" s="22" t="s">
        <v>220</v>
      </c>
      <c r="B77" s="20">
        <f>'A2 LO 6d'!B89</f>
        <v>1077.31090724457</v>
      </c>
    </row>
    <row r="78" spans="1:10">
      <c r="A78" s="22" t="s">
        <v>171</v>
      </c>
      <c r="B78" s="20">
        <f>B65</f>
        <v>31</v>
      </c>
    </row>
    <row r="79" spans="1:10">
      <c r="J79" s="20"/>
    </row>
    <row r="80" spans="1:10">
      <c r="A80" s="13" t="s">
        <v>223</v>
      </c>
      <c r="C80" s="23" t="s">
        <v>221</v>
      </c>
    </row>
    <row r="81" spans="1:6">
      <c r="B81" s="24" t="s">
        <v>222</v>
      </c>
      <c r="C81" s="23"/>
      <c r="D81" s="24" t="s">
        <v>173</v>
      </c>
      <c r="E81" s="24" t="s">
        <v>172</v>
      </c>
      <c r="F81" s="24" t="s">
        <v>220</v>
      </c>
    </row>
    <row r="82" spans="1:6">
      <c r="A82" s="22" t="s">
        <v>222</v>
      </c>
      <c r="B82" s="25">
        <v>1</v>
      </c>
      <c r="C82" s="25">
        <v>0.25</v>
      </c>
      <c r="D82" s="26">
        <v>0.25</v>
      </c>
      <c r="E82" s="26">
        <v>0.25</v>
      </c>
      <c r="F82" s="26">
        <v>0.25</v>
      </c>
    </row>
    <row r="83" spans="1:6">
      <c r="A83" s="22" t="s">
        <v>221</v>
      </c>
      <c r="B83" s="25">
        <v>0.25</v>
      </c>
      <c r="C83" s="25">
        <v>1</v>
      </c>
      <c r="D83" s="25">
        <v>0.25</v>
      </c>
      <c r="E83" s="26">
        <v>0.25</v>
      </c>
      <c r="F83" s="26">
        <v>0.5</v>
      </c>
    </row>
    <row r="84" spans="1:6">
      <c r="A84" s="22" t="s">
        <v>173</v>
      </c>
      <c r="B84" s="25">
        <v>0.25</v>
      </c>
      <c r="C84" s="25">
        <v>0.25</v>
      </c>
      <c r="D84" s="25">
        <v>1</v>
      </c>
      <c r="E84" s="25">
        <v>0.25</v>
      </c>
      <c r="F84" s="26">
        <v>0</v>
      </c>
    </row>
    <row r="85" spans="1:6">
      <c r="A85" s="22" t="s">
        <v>172</v>
      </c>
      <c r="B85" s="25">
        <v>0.25</v>
      </c>
      <c r="C85" s="25">
        <v>0.25</v>
      </c>
      <c r="D85" s="25">
        <v>0.25</v>
      </c>
      <c r="E85" s="25">
        <v>1</v>
      </c>
      <c r="F85" s="25">
        <v>0</v>
      </c>
    </row>
    <row r="86" spans="1:6">
      <c r="A86" s="22" t="s">
        <v>220</v>
      </c>
      <c r="B86" s="25">
        <v>0.25</v>
      </c>
      <c r="C86" s="25">
        <v>0.5</v>
      </c>
      <c r="D86" s="25">
        <v>0</v>
      </c>
      <c r="E86" s="25">
        <v>0</v>
      </c>
      <c r="F86" s="25">
        <v>1</v>
      </c>
    </row>
    <row r="88" spans="1:6">
      <c r="A88" s="13" t="s">
        <v>219</v>
      </c>
    </row>
    <row r="91" spans="1:6">
      <c r="A91" s="13" t="s">
        <v>218</v>
      </c>
      <c r="B91" s="20" cm="1">
        <f t="array" ref="B91">SQRT(MMULT(TRANSPOSE(B73:B77), MMULT(B82:F86, B73:B77)))+B78</f>
        <v>1187.845270970857</v>
      </c>
    </row>
    <row r="93" spans="1:6">
      <c r="A93" s="13" t="s">
        <v>217</v>
      </c>
    </row>
    <row r="94" spans="1:6">
      <c r="A94" s="13" t="s">
        <v>308</v>
      </c>
      <c r="B94" s="20">
        <f>MIN(0.3*B91,0.03*MAX(B67,B68))</f>
        <v>82.47</v>
      </c>
    </row>
    <row r="96" spans="1:6">
      <c r="A96" s="16" t="s">
        <v>309</v>
      </c>
      <c r="B96" s="16"/>
    </row>
    <row r="97" spans="1:2">
      <c r="A97" s="16" t="s">
        <v>216</v>
      </c>
      <c r="B97" s="27">
        <f>B91+B94</f>
        <v>1270.315270970857</v>
      </c>
    </row>
  </sheetData>
  <mergeCells count="1">
    <mergeCell ref="C80:C8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51D6D-48D7-4B3C-8EB2-FEEFE5A238F6}">
  <sheetPr>
    <tabColor theme="5" tint="0.39997558519241921"/>
  </sheetPr>
  <dimension ref="A1:F22"/>
  <sheetViews>
    <sheetView workbookViewId="0"/>
  </sheetViews>
  <sheetFormatPr defaultRowHeight="14.4"/>
  <cols>
    <col min="1" max="1" width="18.109375" style="40" customWidth="1"/>
    <col min="2" max="2" width="17.88671875" style="40" customWidth="1"/>
    <col min="3" max="3" width="13.5546875" style="40" customWidth="1"/>
    <col min="4" max="4" width="11" style="40" customWidth="1"/>
    <col min="5" max="5" width="12.88671875" style="40" customWidth="1"/>
    <col min="6" max="6" width="14.6640625" style="40" customWidth="1"/>
    <col min="7" max="16384" width="8.88671875" style="40"/>
  </cols>
  <sheetData>
    <row r="1" spans="1:6">
      <c r="A1" s="40" t="s">
        <v>327</v>
      </c>
    </row>
    <row r="3" spans="1:6">
      <c r="A3" s="14" t="s">
        <v>0</v>
      </c>
    </row>
    <row r="4" spans="1:6">
      <c r="A4" s="15" t="s">
        <v>254</v>
      </c>
    </row>
    <row r="6" spans="1:6">
      <c r="A6" s="40" t="s">
        <v>255</v>
      </c>
    </row>
    <row r="7" spans="1:6" ht="15" thickBot="1"/>
    <row r="8" spans="1:6">
      <c r="C8" s="68" t="s">
        <v>245</v>
      </c>
      <c r="D8" s="69"/>
      <c r="E8" s="69"/>
      <c r="F8" s="70"/>
    </row>
    <row r="9" spans="1:6" ht="43.8" thickBot="1">
      <c r="A9" s="71" t="s">
        <v>7</v>
      </c>
      <c r="B9" s="71" t="s">
        <v>244</v>
      </c>
      <c r="C9" s="72" t="s">
        <v>117</v>
      </c>
      <c r="D9" s="73" t="s">
        <v>243</v>
      </c>
      <c r="E9" s="73" t="s">
        <v>242</v>
      </c>
      <c r="F9" s="74" t="s">
        <v>241</v>
      </c>
    </row>
    <row r="10" spans="1:6">
      <c r="A10" s="48" t="s">
        <v>240</v>
      </c>
      <c r="B10" s="75"/>
      <c r="C10" s="76"/>
      <c r="D10" s="77">
        <v>190345</v>
      </c>
      <c r="E10" s="78">
        <v>0</v>
      </c>
      <c r="F10" s="88"/>
    </row>
    <row r="11" spans="1:6">
      <c r="A11" s="48">
        <v>2022</v>
      </c>
      <c r="B11" s="89"/>
      <c r="C11" s="81">
        <v>11129188</v>
      </c>
      <c r="D11" s="81">
        <v>56555</v>
      </c>
      <c r="E11" s="90"/>
      <c r="F11" s="81">
        <v>120424</v>
      </c>
    </row>
    <row r="12" spans="1:6">
      <c r="A12" s="48">
        <v>2023</v>
      </c>
      <c r="B12" s="89"/>
      <c r="C12" s="81">
        <v>10092290</v>
      </c>
      <c r="D12" s="89"/>
      <c r="E12" s="81">
        <v>640000</v>
      </c>
      <c r="F12" s="81">
        <v>1345120</v>
      </c>
    </row>
    <row r="13" spans="1:6">
      <c r="A13" s="48">
        <v>2024</v>
      </c>
      <c r="B13" s="81">
        <v>12350250</v>
      </c>
      <c r="C13" s="89"/>
      <c r="D13" s="81">
        <v>980140</v>
      </c>
      <c r="E13" s="81">
        <v>1111111</v>
      </c>
      <c r="F13" s="89"/>
    </row>
    <row r="14" spans="1:6">
      <c r="A14" s="48">
        <v>2025</v>
      </c>
      <c r="B14" s="83">
        <v>13677310</v>
      </c>
      <c r="C14" s="89"/>
      <c r="D14" s="83">
        <v>1245545</v>
      </c>
      <c r="E14" s="89"/>
      <c r="F14" s="83">
        <v>2125215</v>
      </c>
    </row>
    <row r="15" spans="1:6">
      <c r="A15" s="48">
        <v>2026</v>
      </c>
      <c r="B15" s="81">
        <v>12510150</v>
      </c>
      <c r="C15" s="89"/>
      <c r="D15" s="89"/>
      <c r="E15" s="81">
        <v>1350510</v>
      </c>
      <c r="F15" s="81">
        <v>2398204</v>
      </c>
    </row>
    <row r="16" spans="1:6">
      <c r="A16" s="48">
        <v>2027</v>
      </c>
      <c r="B16" s="89"/>
      <c r="C16" s="81">
        <v>9240120</v>
      </c>
      <c r="D16" s="81">
        <v>1414213</v>
      </c>
      <c r="E16" s="89"/>
      <c r="F16" s="81">
        <v>3192195</v>
      </c>
    </row>
    <row r="17" spans="1:6">
      <c r="A17" s="48">
        <v>2028</v>
      </c>
      <c r="B17" s="81">
        <v>11765681</v>
      </c>
      <c r="C17" s="81">
        <v>8358390</v>
      </c>
      <c r="D17" s="81">
        <v>1618033</v>
      </c>
      <c r="E17" s="89"/>
      <c r="F17" s="89"/>
    </row>
    <row r="18" spans="1:6">
      <c r="A18" s="48">
        <v>2029</v>
      </c>
      <c r="B18" s="91"/>
      <c r="C18" s="81">
        <v>7911004</v>
      </c>
      <c r="D18" s="81">
        <v>2718281</v>
      </c>
      <c r="E18" s="89"/>
      <c r="F18" s="81">
        <v>3583572</v>
      </c>
    </row>
    <row r="19" spans="1:6" ht="15" thickBot="1">
      <c r="A19" s="48">
        <v>2030</v>
      </c>
      <c r="B19" s="89"/>
      <c r="C19" s="81">
        <v>7736710</v>
      </c>
      <c r="D19" s="81">
        <v>3141592</v>
      </c>
      <c r="E19" s="81">
        <v>763755</v>
      </c>
      <c r="F19" s="89"/>
    </row>
    <row r="20" spans="1:6" ht="15" thickBot="1">
      <c r="A20" s="86" t="s">
        <v>1</v>
      </c>
      <c r="B20" s="92"/>
      <c r="C20" s="92"/>
      <c r="D20" s="92"/>
      <c r="E20" s="92"/>
      <c r="F20" s="93"/>
    </row>
    <row r="22" spans="1:6">
      <c r="A22" s="40" t="s">
        <v>256</v>
      </c>
    </row>
  </sheetData>
  <mergeCells count="1">
    <mergeCell ref="C8:F8"/>
  </mergeCells>
  <pageMargins left="0.7" right="0.7" top="0.75" bottom="0.75" header="0.3" footer="0.3"/>
  <pageSetup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87B49-A3DA-4304-A0DD-CC67B60D4745}">
  <sheetPr>
    <tabColor theme="9" tint="0.59999389629810485"/>
  </sheetPr>
  <dimension ref="A1:F32"/>
  <sheetViews>
    <sheetView workbookViewId="0"/>
  </sheetViews>
  <sheetFormatPr defaultRowHeight="14.4"/>
  <cols>
    <col min="1" max="1" width="18.109375" style="40" customWidth="1"/>
    <col min="2" max="2" width="17.88671875" style="40" customWidth="1"/>
    <col min="3" max="3" width="13.5546875" style="40" customWidth="1"/>
    <col min="4" max="4" width="11" style="40" customWidth="1"/>
    <col min="5" max="5" width="12.88671875" style="40" customWidth="1"/>
    <col min="6" max="6" width="14.6640625" style="40" customWidth="1"/>
    <col min="7" max="16384" width="8.88671875" style="40"/>
  </cols>
  <sheetData>
    <row r="1" spans="1:6">
      <c r="A1" s="40" t="s">
        <v>327</v>
      </c>
    </row>
    <row r="3" spans="1:6">
      <c r="A3" s="40" t="s">
        <v>0</v>
      </c>
    </row>
    <row r="4" spans="1:6">
      <c r="A4" s="15" t="s">
        <v>246</v>
      </c>
    </row>
    <row r="6" spans="1:6">
      <c r="A6" s="40" t="s">
        <v>306</v>
      </c>
    </row>
    <row r="7" spans="1:6" ht="15" thickBot="1"/>
    <row r="8" spans="1:6">
      <c r="C8" s="68" t="s">
        <v>245</v>
      </c>
      <c r="D8" s="69"/>
      <c r="E8" s="69"/>
      <c r="F8" s="70"/>
    </row>
    <row r="9" spans="1:6" ht="43.8" thickBot="1">
      <c r="A9" s="71" t="s">
        <v>7</v>
      </c>
      <c r="B9" s="71" t="s">
        <v>244</v>
      </c>
      <c r="C9" s="72" t="s">
        <v>117</v>
      </c>
      <c r="D9" s="73" t="s">
        <v>243</v>
      </c>
      <c r="E9" s="73" t="s">
        <v>242</v>
      </c>
      <c r="F9" s="74" t="s">
        <v>241</v>
      </c>
    </row>
    <row r="10" spans="1:6">
      <c r="A10" s="48" t="s">
        <v>240</v>
      </c>
      <c r="B10" s="75"/>
      <c r="C10" s="76"/>
      <c r="D10" s="77">
        <v>190345</v>
      </c>
      <c r="E10" s="78">
        <v>0</v>
      </c>
      <c r="F10" s="79">
        <f>D10+E10</f>
        <v>190345</v>
      </c>
    </row>
    <row r="11" spans="1:6">
      <c r="A11" s="48">
        <v>2022</v>
      </c>
      <c r="B11" s="80">
        <f>C11+F11</f>
        <v>11249612</v>
      </c>
      <c r="C11" s="81">
        <v>11129188</v>
      </c>
      <c r="D11" s="81">
        <v>56555</v>
      </c>
      <c r="E11" s="82">
        <f>F11-D11</f>
        <v>63869</v>
      </c>
      <c r="F11" s="81">
        <v>120424</v>
      </c>
    </row>
    <row r="12" spans="1:6">
      <c r="A12" s="48">
        <v>2023</v>
      </c>
      <c r="B12" s="80">
        <f>C12+F12</f>
        <v>11437410</v>
      </c>
      <c r="C12" s="81">
        <v>10092290</v>
      </c>
      <c r="D12" s="80">
        <f>F12-E12</f>
        <v>705120</v>
      </c>
      <c r="E12" s="81">
        <v>640000</v>
      </c>
      <c r="F12" s="81">
        <v>1345120</v>
      </c>
    </row>
    <row r="13" spans="1:6">
      <c r="A13" s="48">
        <v>2024</v>
      </c>
      <c r="B13" s="81">
        <v>12350250</v>
      </c>
      <c r="C13" s="80">
        <f>B13-F13</f>
        <v>10258999</v>
      </c>
      <c r="D13" s="81">
        <v>980140</v>
      </c>
      <c r="E13" s="81">
        <v>1111111</v>
      </c>
      <c r="F13" s="80">
        <f>D13+E13</f>
        <v>2091251</v>
      </c>
    </row>
    <row r="14" spans="1:6">
      <c r="A14" s="48">
        <v>2025</v>
      </c>
      <c r="B14" s="83">
        <v>13677310</v>
      </c>
      <c r="C14" s="80">
        <f>B14-F14</f>
        <v>11552095</v>
      </c>
      <c r="D14" s="83">
        <v>1245545</v>
      </c>
      <c r="E14" s="80">
        <f>F14-D14</f>
        <v>879670</v>
      </c>
      <c r="F14" s="83">
        <v>2125215</v>
      </c>
    </row>
    <row r="15" spans="1:6">
      <c r="A15" s="48">
        <v>2026</v>
      </c>
      <c r="B15" s="81">
        <v>12510150</v>
      </c>
      <c r="C15" s="80">
        <f>B15-F15</f>
        <v>10111946</v>
      </c>
      <c r="D15" s="80">
        <f>F15-E15</f>
        <v>1047694</v>
      </c>
      <c r="E15" s="81">
        <v>1350510</v>
      </c>
      <c r="F15" s="81">
        <v>2398204</v>
      </c>
    </row>
    <row r="16" spans="1:6">
      <c r="A16" s="48">
        <v>2027</v>
      </c>
      <c r="B16" s="80">
        <f>C16+F16</f>
        <v>12432315</v>
      </c>
      <c r="C16" s="81">
        <v>9240120</v>
      </c>
      <c r="D16" s="81">
        <v>1414213</v>
      </c>
      <c r="E16" s="80">
        <f>F16-D16</f>
        <v>1777982</v>
      </c>
      <c r="F16" s="81">
        <v>3192195</v>
      </c>
    </row>
    <row r="17" spans="1:6">
      <c r="A17" s="48">
        <v>2028</v>
      </c>
      <c r="B17" s="81">
        <v>11765681</v>
      </c>
      <c r="C17" s="81">
        <v>8358390</v>
      </c>
      <c r="D17" s="81">
        <v>1618033</v>
      </c>
      <c r="E17" s="80">
        <f>F17-D17</f>
        <v>1789258</v>
      </c>
      <c r="F17" s="80">
        <f>B17-C17</f>
        <v>3407291</v>
      </c>
    </row>
    <row r="18" spans="1:6">
      <c r="A18" s="48">
        <v>2029</v>
      </c>
      <c r="B18" s="80">
        <f>C18+F18</f>
        <v>11494576</v>
      </c>
      <c r="C18" s="81">
        <v>7911004</v>
      </c>
      <c r="D18" s="81">
        <v>2718281</v>
      </c>
      <c r="E18" s="80">
        <f>F18-D18</f>
        <v>865291</v>
      </c>
      <c r="F18" s="81">
        <v>3583572</v>
      </c>
    </row>
    <row r="19" spans="1:6" ht="15" thickBot="1">
      <c r="A19" s="48">
        <v>2030</v>
      </c>
      <c r="B19" s="84">
        <f>C19+F19</f>
        <v>11642057</v>
      </c>
      <c r="C19" s="85">
        <v>7736710</v>
      </c>
      <c r="D19" s="85">
        <v>3141592</v>
      </c>
      <c r="E19" s="85">
        <v>763755</v>
      </c>
      <c r="F19" s="84">
        <f>D19+E19</f>
        <v>3905347</v>
      </c>
    </row>
    <row r="20" spans="1:6" ht="15" thickBot="1">
      <c r="A20" s="86" t="s">
        <v>1</v>
      </c>
      <c r="B20" s="87">
        <f>SUM(B11:B19)</f>
        <v>108559361</v>
      </c>
      <c r="C20" s="87">
        <f>SUM(C11:C19)</f>
        <v>86390742</v>
      </c>
      <c r="D20" s="87">
        <f>SUM(D10:D19)</f>
        <v>13117518</v>
      </c>
      <c r="E20" s="87">
        <f>SUM(E10:E19)</f>
        <v>9241446</v>
      </c>
      <c r="F20" s="87">
        <f>SUM(F10:F19)</f>
        <v>22358964</v>
      </c>
    </row>
    <row r="22" spans="1:6">
      <c r="A22" s="40" t="s">
        <v>256</v>
      </c>
    </row>
    <row r="24" spans="1:6">
      <c r="A24" s="40" t="s">
        <v>253</v>
      </c>
    </row>
    <row r="26" spans="1:6">
      <c r="A26" s="40" t="s">
        <v>252</v>
      </c>
    </row>
    <row r="27" spans="1:6">
      <c r="A27" s="40" t="s">
        <v>251</v>
      </c>
    </row>
    <row r="28" spans="1:6">
      <c r="A28" s="40" t="s">
        <v>250</v>
      </c>
    </row>
    <row r="29" spans="1:6">
      <c r="A29" s="40" t="s">
        <v>249</v>
      </c>
    </row>
    <row r="30" spans="1:6">
      <c r="A30" s="40" t="s">
        <v>248</v>
      </c>
    </row>
    <row r="32" spans="1:6">
      <c r="A32" s="40" t="s">
        <v>247</v>
      </c>
    </row>
  </sheetData>
  <mergeCells count="1">
    <mergeCell ref="C8:F8"/>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6EBF9-9E2D-43EB-ACA2-B2B8ACC6ABE2}">
  <sheetPr>
    <tabColor theme="5" tint="0.39997558519241921"/>
  </sheetPr>
  <dimension ref="A1:G16"/>
  <sheetViews>
    <sheetView workbookViewId="0"/>
  </sheetViews>
  <sheetFormatPr defaultColWidth="8.88671875" defaultRowHeight="14.4"/>
  <cols>
    <col min="1" max="5" width="8.88671875" style="40"/>
    <col min="6" max="6" width="12" style="40" customWidth="1"/>
    <col min="7" max="16384" width="8.88671875" style="40"/>
  </cols>
  <sheetData>
    <row r="1" spans="1:7">
      <c r="A1" s="40" t="s">
        <v>327</v>
      </c>
    </row>
    <row r="3" spans="1:7">
      <c r="A3" s="14" t="s">
        <v>0</v>
      </c>
      <c r="B3" s="14"/>
    </row>
    <row r="4" spans="1:7">
      <c r="A4" s="15" t="s">
        <v>35</v>
      </c>
    </row>
    <row r="6" spans="1:7" ht="15" thickBot="1">
      <c r="A6" s="40" t="s">
        <v>34</v>
      </c>
    </row>
    <row r="7" spans="1:7" ht="15" thickBot="1">
      <c r="A7" s="40" t="s">
        <v>8</v>
      </c>
      <c r="G7" s="44">
        <v>0.59</v>
      </c>
    </row>
    <row r="8" spans="1:7" ht="15" thickBot="1">
      <c r="A8" s="40" t="s">
        <v>9</v>
      </c>
      <c r="G8" s="61">
        <v>3.5000000000000003E-2</v>
      </c>
    </row>
    <row r="9" spans="1:7" ht="15" thickBot="1">
      <c r="A9" s="40" t="s">
        <v>10</v>
      </c>
      <c r="G9" s="42">
        <v>0.17</v>
      </c>
    </row>
    <row r="11" spans="1:7">
      <c r="A11" s="46" t="s">
        <v>296</v>
      </c>
    </row>
    <row r="13" spans="1:7">
      <c r="A13" s="46" t="s">
        <v>298</v>
      </c>
    </row>
    <row r="15" spans="1:7">
      <c r="A15" s="46" t="s">
        <v>300</v>
      </c>
    </row>
    <row r="16" spans="1:7">
      <c r="A16" s="40" t="s">
        <v>11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767DF-60D5-414C-8E06-A6AE07CDAE3D}">
  <sheetPr>
    <tabColor theme="9" tint="0.59999389629810485"/>
  </sheetPr>
  <dimension ref="A1:K24"/>
  <sheetViews>
    <sheetView workbookViewId="0"/>
  </sheetViews>
  <sheetFormatPr defaultColWidth="8.88671875" defaultRowHeight="14.4"/>
  <cols>
    <col min="1" max="5" width="8.88671875" style="40"/>
    <col min="6" max="6" width="12" style="40" customWidth="1"/>
    <col min="7" max="7" width="10.109375" style="40" bestFit="1" customWidth="1"/>
    <col min="8" max="8" width="2.5546875" style="40" customWidth="1"/>
    <col min="9" max="9" width="5" style="40" customWidth="1"/>
    <col min="10" max="16384" width="8.88671875" style="40"/>
  </cols>
  <sheetData>
    <row r="1" spans="1:7">
      <c r="A1" s="40" t="s">
        <v>327</v>
      </c>
    </row>
    <row r="3" spans="1:7">
      <c r="A3" s="14" t="s">
        <v>0</v>
      </c>
    </row>
    <row r="4" spans="1:7">
      <c r="A4" s="15" t="s">
        <v>35</v>
      </c>
    </row>
    <row r="5" spans="1:7">
      <c r="A5" s="15"/>
    </row>
    <row r="6" spans="1:7" ht="15" thickBot="1">
      <c r="A6" s="40" t="s">
        <v>34</v>
      </c>
    </row>
    <row r="7" spans="1:7" ht="15" thickBot="1">
      <c r="A7" s="40" t="s">
        <v>8</v>
      </c>
      <c r="G7" s="44">
        <v>0.59</v>
      </c>
    </row>
    <row r="8" spans="1:7" ht="15" thickBot="1">
      <c r="A8" s="40" t="s">
        <v>9</v>
      </c>
      <c r="G8" s="43">
        <v>3.5000000000000003E-2</v>
      </c>
    </row>
    <row r="9" spans="1:7" ht="15" thickBot="1">
      <c r="A9" s="40" t="s">
        <v>10</v>
      </c>
      <c r="G9" s="42">
        <v>0.17</v>
      </c>
    </row>
    <row r="11" spans="1:7" ht="15" thickBot="1">
      <c r="A11" s="46" t="s">
        <v>296</v>
      </c>
    </row>
    <row r="12" spans="1:7" ht="16.2" thickBot="1">
      <c r="B12" s="40" t="s">
        <v>297</v>
      </c>
      <c r="G12" s="65">
        <f>G9-G8</f>
        <v>0.13500000000000001</v>
      </c>
    </row>
    <row r="14" spans="1:7" ht="15" thickBot="1">
      <c r="A14" s="46" t="s">
        <v>298</v>
      </c>
    </row>
    <row r="15" spans="1:7" ht="16.2" thickBot="1">
      <c r="B15" s="40" t="s">
        <v>299</v>
      </c>
      <c r="G15" s="66">
        <f>G8+G7*G12</f>
        <v>0.11465</v>
      </c>
    </row>
    <row r="17" spans="1:11">
      <c r="A17" s="46" t="s">
        <v>300</v>
      </c>
    </row>
    <row r="18" spans="1:11">
      <c r="A18" s="40" t="s">
        <v>11</v>
      </c>
    </row>
    <row r="20" spans="1:11" ht="15.6">
      <c r="B20" s="41" t="s">
        <v>301</v>
      </c>
    </row>
    <row r="21" spans="1:11" ht="15.6">
      <c r="B21" s="40" t="s">
        <v>302</v>
      </c>
    </row>
    <row r="23" spans="1:11" ht="16.2" thickBot="1">
      <c r="A23" s="40" t="s">
        <v>303</v>
      </c>
      <c r="G23" s="67">
        <f>G15</f>
        <v>0.11465</v>
      </c>
      <c r="H23" s="40" t="s">
        <v>12</v>
      </c>
      <c r="I23" s="45">
        <v>0.03</v>
      </c>
      <c r="J23" s="40" t="s">
        <v>5</v>
      </c>
      <c r="K23" s="67">
        <f>G23+I23</f>
        <v>0.14465</v>
      </c>
    </row>
    <row r="24" spans="1:11" ht="16.2" thickBot="1">
      <c r="B24" s="40" t="s">
        <v>304</v>
      </c>
      <c r="F24" s="40" t="s">
        <v>305</v>
      </c>
      <c r="G24" s="52">
        <f>(K23-G8)/G12</f>
        <v>0.81222222222222218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CBD2C-B7C6-440B-83B9-093FD4C13FA6}">
  <sheetPr>
    <tabColor theme="5" tint="0.39997558519241921"/>
  </sheetPr>
  <dimension ref="A1:N17"/>
  <sheetViews>
    <sheetView workbookViewId="0"/>
  </sheetViews>
  <sheetFormatPr defaultColWidth="8.88671875" defaultRowHeight="14.4"/>
  <cols>
    <col min="1" max="11" width="8.88671875" style="40"/>
    <col min="12" max="12" width="23.109375" style="40" customWidth="1"/>
    <col min="13" max="16384" width="8.88671875" style="40"/>
  </cols>
  <sheetData>
    <row r="1" spans="1:14">
      <c r="A1" s="40" t="s">
        <v>327</v>
      </c>
    </row>
    <row r="3" spans="1:14">
      <c r="A3" s="14" t="s">
        <v>0</v>
      </c>
    </row>
    <row r="4" spans="1:14">
      <c r="A4" s="15" t="s">
        <v>35</v>
      </c>
    </row>
    <row r="6" spans="1:14">
      <c r="A6" s="40" t="s">
        <v>36</v>
      </c>
    </row>
    <row r="7" spans="1:14" ht="15" thickBot="1"/>
    <row r="8" spans="1:14" ht="15" thickBot="1">
      <c r="A8" s="40" t="s">
        <v>13</v>
      </c>
      <c r="J8" s="44">
        <f>0.56</f>
        <v>0.56000000000000005</v>
      </c>
    </row>
    <row r="9" spans="1:14" ht="15" thickBot="1">
      <c r="A9" s="42">
        <v>0.55000000000000004</v>
      </c>
      <c r="B9" s="40" t="s">
        <v>14</v>
      </c>
      <c r="M9" s="44">
        <v>0.75</v>
      </c>
      <c r="N9" s="40" t="s">
        <v>15</v>
      </c>
    </row>
    <row r="10" spans="1:14" ht="15" thickBot="1">
      <c r="A10" s="42">
        <v>0.25</v>
      </c>
      <c r="B10" s="40" t="s">
        <v>16</v>
      </c>
      <c r="M10" s="44">
        <v>2.5</v>
      </c>
      <c r="N10" s="40" t="s">
        <v>15</v>
      </c>
    </row>
    <row r="11" spans="1:14" ht="15" thickBot="1">
      <c r="A11" s="42">
        <v>0.2</v>
      </c>
      <c r="B11" s="40" t="s">
        <v>17</v>
      </c>
      <c r="M11" s="44">
        <v>4.5</v>
      </c>
      <c r="N11" s="40" t="s">
        <v>15</v>
      </c>
    </row>
    <row r="12" spans="1:14" ht="15" thickBot="1">
      <c r="A12" s="40" t="s">
        <v>18</v>
      </c>
      <c r="C12" s="42">
        <v>0.05</v>
      </c>
    </row>
    <row r="13" spans="1:14" ht="15" thickBot="1">
      <c r="A13" s="40" t="s">
        <v>19</v>
      </c>
      <c r="F13" s="42">
        <v>0.2</v>
      </c>
    </row>
    <row r="15" spans="1:14">
      <c r="A15" s="40" t="s">
        <v>20</v>
      </c>
    </row>
    <row r="16" spans="1:14">
      <c r="A16" s="46" t="s">
        <v>290</v>
      </c>
    </row>
    <row r="17" spans="1:1">
      <c r="A17" s="40" t="s">
        <v>291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BEA33-4B38-4D25-8EEA-D490DA3C0204}">
  <sheetPr>
    <tabColor theme="9" tint="0.59999389629810485"/>
  </sheetPr>
  <dimension ref="A1:N26"/>
  <sheetViews>
    <sheetView workbookViewId="0"/>
  </sheetViews>
  <sheetFormatPr defaultColWidth="8.88671875" defaultRowHeight="14.4"/>
  <cols>
    <col min="1" max="2" width="8.88671875" style="40"/>
    <col min="3" max="3" width="10.109375" style="40" bestFit="1" customWidth="1"/>
    <col min="4" max="11" width="8.88671875" style="40"/>
    <col min="12" max="12" width="23.109375" style="40" customWidth="1"/>
    <col min="13" max="16384" width="8.88671875" style="40"/>
  </cols>
  <sheetData>
    <row r="1" spans="1:14">
      <c r="A1" s="40" t="s">
        <v>327</v>
      </c>
    </row>
    <row r="3" spans="1:14">
      <c r="A3" s="14" t="s">
        <v>0</v>
      </c>
    </row>
    <row r="4" spans="1:14">
      <c r="A4" s="15" t="s">
        <v>35</v>
      </c>
    </row>
    <row r="5" spans="1:14">
      <c r="A5" s="15"/>
    </row>
    <row r="6" spans="1:14">
      <c r="A6" s="40" t="s">
        <v>36</v>
      </c>
    </row>
    <row r="7" spans="1:14" ht="15" thickBot="1"/>
    <row r="8" spans="1:14" ht="15" thickBot="1">
      <c r="A8" s="40" t="s">
        <v>13</v>
      </c>
      <c r="J8" s="44">
        <f>0.56</f>
        <v>0.56000000000000005</v>
      </c>
    </row>
    <row r="9" spans="1:14" ht="15" thickBot="1">
      <c r="A9" s="42">
        <v>0.55000000000000004</v>
      </c>
      <c r="B9" s="40" t="s">
        <v>14</v>
      </c>
      <c r="M9" s="44">
        <v>0.75</v>
      </c>
      <c r="N9" s="40" t="s">
        <v>15</v>
      </c>
    </row>
    <row r="10" spans="1:14" ht="15" thickBot="1">
      <c r="A10" s="42">
        <v>0.25</v>
      </c>
      <c r="B10" s="40" t="s">
        <v>16</v>
      </c>
      <c r="M10" s="44">
        <v>2.5</v>
      </c>
      <c r="N10" s="40" t="s">
        <v>15</v>
      </c>
    </row>
    <row r="11" spans="1:14" ht="15" thickBot="1">
      <c r="A11" s="42">
        <v>0.2</v>
      </c>
      <c r="B11" s="40" t="s">
        <v>17</v>
      </c>
      <c r="M11" s="44">
        <v>4.5</v>
      </c>
      <c r="N11" s="40" t="s">
        <v>15</v>
      </c>
    </row>
    <row r="12" spans="1:14" ht="15" thickBot="1">
      <c r="A12" s="40" t="s">
        <v>18</v>
      </c>
      <c r="C12" s="42">
        <v>0.05</v>
      </c>
    </row>
    <row r="13" spans="1:14" ht="15" thickBot="1">
      <c r="A13" s="40" t="s">
        <v>19</v>
      </c>
      <c r="F13" s="42">
        <v>0.2</v>
      </c>
    </row>
    <row r="15" spans="1:14">
      <c r="A15" s="40" t="s">
        <v>20</v>
      </c>
    </row>
    <row r="16" spans="1:14">
      <c r="A16" s="46" t="s">
        <v>290</v>
      </c>
    </row>
    <row r="17" spans="1:13" ht="15" thickBot="1"/>
    <row r="18" spans="1:13" ht="15" thickBot="1">
      <c r="A18" s="40" t="s">
        <v>21</v>
      </c>
      <c r="M18" s="63">
        <f>A9*M9+A10*M10+A11*M11</f>
        <v>1.9375</v>
      </c>
    </row>
    <row r="20" spans="1:13">
      <c r="A20" s="40" t="s">
        <v>291</v>
      </c>
    </row>
    <row r="22" spans="1:13" ht="15.6">
      <c r="A22" s="40" t="s">
        <v>292</v>
      </c>
    </row>
    <row r="23" spans="1:13" ht="15.6">
      <c r="A23" s="40" t="s">
        <v>293</v>
      </c>
      <c r="B23" s="45">
        <f>C12</f>
        <v>0.05</v>
      </c>
    </row>
    <row r="24" spans="1:13" ht="15.6">
      <c r="A24" s="40" t="s">
        <v>294</v>
      </c>
      <c r="B24" s="45">
        <f>F13</f>
        <v>0.2</v>
      </c>
    </row>
    <row r="25" spans="1:13" ht="16.2" thickBot="1">
      <c r="A25" s="40" t="s">
        <v>295</v>
      </c>
      <c r="B25" s="40">
        <f>J8</f>
        <v>0.56000000000000005</v>
      </c>
    </row>
    <row r="26" spans="1:13" ht="15" thickBot="1">
      <c r="A26" s="40" t="s">
        <v>22</v>
      </c>
      <c r="C26" s="64">
        <f>-M18*B23+B25*(B24-B23)</f>
        <v>-1.2874999999999984E-2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82CF9-FB50-4D14-9AFA-3C5F8005A396}">
  <sheetPr>
    <tabColor theme="5" tint="0.39997558519241921"/>
  </sheetPr>
  <dimension ref="A1:J20"/>
  <sheetViews>
    <sheetView workbookViewId="0"/>
  </sheetViews>
  <sheetFormatPr defaultColWidth="8.88671875" defaultRowHeight="14.4"/>
  <cols>
    <col min="1" max="1" width="2.109375" style="40" customWidth="1"/>
    <col min="2" max="16384" width="8.88671875" style="40"/>
  </cols>
  <sheetData>
    <row r="1" spans="1:10">
      <c r="A1" s="40" t="s">
        <v>327</v>
      </c>
    </row>
    <row r="3" spans="1:10">
      <c r="A3" s="14" t="s">
        <v>0</v>
      </c>
    </row>
    <row r="4" spans="1:10">
      <c r="A4" s="15" t="s">
        <v>35</v>
      </c>
    </row>
    <row r="6" spans="1:10">
      <c r="A6" s="40" t="s">
        <v>36</v>
      </c>
    </row>
    <row r="7" spans="1:10" ht="15" thickBot="1"/>
    <row r="8" spans="1:10" ht="15" thickBot="1">
      <c r="A8" s="40" t="s">
        <v>23</v>
      </c>
      <c r="J8" s="57">
        <v>0.67</v>
      </c>
    </row>
    <row r="9" spans="1:10" ht="15" thickBot="1">
      <c r="A9" s="40" t="s">
        <v>24</v>
      </c>
      <c r="J9" s="58">
        <v>0.04</v>
      </c>
    </row>
    <row r="10" spans="1:10" ht="15" thickBot="1">
      <c r="A10" s="40" t="s">
        <v>25</v>
      </c>
      <c r="J10" s="58">
        <v>0.22</v>
      </c>
    </row>
    <row r="11" spans="1:10" ht="15" thickBot="1">
      <c r="A11" s="40" t="s">
        <v>26</v>
      </c>
      <c r="J11" s="57">
        <v>1.56</v>
      </c>
    </row>
    <row r="12" spans="1:10" ht="15" thickBot="1">
      <c r="A12" s="40" t="s">
        <v>27</v>
      </c>
      <c r="J12" s="58">
        <v>0.2</v>
      </c>
    </row>
    <row r="13" spans="1:10" ht="15" thickBot="1">
      <c r="A13" s="40" t="s">
        <v>28</v>
      </c>
      <c r="B13" s="58">
        <v>0.2</v>
      </c>
      <c r="C13" s="41" t="s">
        <v>29</v>
      </c>
    </row>
    <row r="14" spans="1:10" ht="15" thickBot="1">
      <c r="A14" s="40" t="s">
        <v>28</v>
      </c>
      <c r="B14" s="58">
        <v>0.55000000000000004</v>
      </c>
      <c r="C14" s="40" t="s">
        <v>30</v>
      </c>
      <c r="J14" s="58">
        <v>0.1</v>
      </c>
    </row>
    <row r="15" spans="1:10" ht="15" thickBot="1">
      <c r="A15" s="40" t="s">
        <v>28</v>
      </c>
      <c r="B15" s="58">
        <v>0.25</v>
      </c>
      <c r="C15" s="40" t="s">
        <v>31</v>
      </c>
    </row>
    <row r="16" spans="1:10" ht="15" thickBot="1">
      <c r="A16" s="40" t="s">
        <v>257</v>
      </c>
      <c r="J16" s="57">
        <v>2.4</v>
      </c>
    </row>
    <row r="18" spans="1:1">
      <c r="A18" s="40" t="s">
        <v>32</v>
      </c>
    </row>
    <row r="19" spans="1:1" ht="15.6">
      <c r="A19" s="46" t="s">
        <v>284</v>
      </c>
    </row>
    <row r="20" spans="1:1">
      <c r="A20" s="46" t="s">
        <v>285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292C2-C588-46DF-9343-9AF3C907394F}">
  <sheetPr>
    <tabColor theme="9" tint="0.59999389629810485"/>
  </sheetPr>
  <dimension ref="A1:M27"/>
  <sheetViews>
    <sheetView workbookViewId="0"/>
  </sheetViews>
  <sheetFormatPr defaultColWidth="8.88671875" defaultRowHeight="14.4"/>
  <cols>
    <col min="1" max="1" width="2.109375" style="40" customWidth="1"/>
    <col min="2" max="16384" width="8.88671875" style="40"/>
  </cols>
  <sheetData>
    <row r="1" spans="1:10">
      <c r="A1" s="40" t="s">
        <v>327</v>
      </c>
    </row>
    <row r="3" spans="1:10">
      <c r="A3" s="14" t="s">
        <v>0</v>
      </c>
    </row>
    <row r="4" spans="1:10">
      <c r="A4" s="15" t="s">
        <v>35</v>
      </c>
    </row>
    <row r="5" spans="1:10">
      <c r="A5" s="15"/>
    </row>
    <row r="6" spans="1:10">
      <c r="A6" s="40" t="s">
        <v>36</v>
      </c>
    </row>
    <row r="7" spans="1:10" ht="15" thickBot="1"/>
    <row r="8" spans="1:10" ht="15" thickBot="1">
      <c r="A8" s="40" t="s">
        <v>23</v>
      </c>
      <c r="J8" s="57">
        <v>0.67</v>
      </c>
    </row>
    <row r="9" spans="1:10" ht="15" thickBot="1">
      <c r="A9" s="40" t="s">
        <v>24</v>
      </c>
      <c r="J9" s="58">
        <v>0.04</v>
      </c>
    </row>
    <row r="10" spans="1:10" ht="15" thickBot="1">
      <c r="A10" s="40" t="s">
        <v>25</v>
      </c>
      <c r="J10" s="58">
        <v>0.22</v>
      </c>
    </row>
    <row r="11" spans="1:10" ht="15" thickBot="1">
      <c r="A11" s="40" t="s">
        <v>26</v>
      </c>
      <c r="J11" s="57">
        <v>1.56</v>
      </c>
    </row>
    <row r="12" spans="1:10" ht="15" thickBot="1">
      <c r="A12" s="40" t="s">
        <v>27</v>
      </c>
      <c r="J12" s="58">
        <v>0.2</v>
      </c>
    </row>
    <row r="13" spans="1:10" ht="15" thickBot="1">
      <c r="A13" s="40" t="s">
        <v>28</v>
      </c>
      <c r="B13" s="58">
        <v>0.2</v>
      </c>
      <c r="C13" s="41" t="s">
        <v>29</v>
      </c>
    </row>
    <row r="14" spans="1:10" ht="15" thickBot="1">
      <c r="A14" s="40" t="s">
        <v>28</v>
      </c>
      <c r="B14" s="58">
        <v>0.55000000000000004</v>
      </c>
      <c r="C14" s="40" t="s">
        <v>30</v>
      </c>
      <c r="J14" s="58">
        <v>0.1</v>
      </c>
    </row>
    <row r="15" spans="1:10" ht="15" thickBot="1">
      <c r="A15" s="40" t="s">
        <v>28</v>
      </c>
      <c r="B15" s="58">
        <v>0.25</v>
      </c>
      <c r="C15" s="40" t="s">
        <v>31</v>
      </c>
    </row>
    <row r="16" spans="1:10" ht="15" thickBot="1">
      <c r="A16" s="40" t="s">
        <v>257</v>
      </c>
      <c r="J16" s="57">
        <v>2.4</v>
      </c>
    </row>
    <row r="18" spans="1:13">
      <c r="A18" s="40" t="s">
        <v>32</v>
      </c>
    </row>
    <row r="19" spans="1:13" ht="16.2" thickBot="1">
      <c r="A19" s="46" t="s">
        <v>284</v>
      </c>
    </row>
    <row r="20" spans="1:13" ht="15" thickBot="1">
      <c r="A20" s="40" t="s">
        <v>33</v>
      </c>
      <c r="M20" s="59">
        <f>B13*0+B14*J14+B15*J12</f>
        <v>0.10500000000000001</v>
      </c>
    </row>
    <row r="22" spans="1:13">
      <c r="A22" s="46" t="s">
        <v>285</v>
      </c>
    </row>
    <row r="23" spans="1:13" ht="16.2" thickBot="1">
      <c r="A23" s="40" t="s">
        <v>286</v>
      </c>
    </row>
    <row r="24" spans="1:13" ht="16.2" thickBot="1">
      <c r="A24" s="40" t="s">
        <v>287</v>
      </c>
      <c r="E24" s="60">
        <f>-J11*J9*(1-M20)/(1-J12)</f>
        <v>-6.9809999999999997E-2</v>
      </c>
    </row>
    <row r="25" spans="1:13" ht="16.2" thickBot="1">
      <c r="B25" s="40" t="s">
        <v>288</v>
      </c>
      <c r="E25" s="61">
        <f>J8*(J10-J9)</f>
        <v>0.1206</v>
      </c>
    </row>
    <row r="26" spans="1:13" ht="16.2" thickBot="1">
      <c r="A26" s="40" t="s">
        <v>289</v>
      </c>
      <c r="E26" s="61">
        <f>((1/J16)*J9*M20)/(1-J12)</f>
        <v>2.1874999999999998E-3</v>
      </c>
    </row>
    <row r="27" spans="1:13" ht="15" thickBot="1">
      <c r="C27" s="40" t="s">
        <v>22</v>
      </c>
      <c r="E27" s="62">
        <f>E24+E25+E26</f>
        <v>5.2977500000000004E-2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67CC486-A74A-42CB-B002-B9F9D3EDFB03}"/>
</file>

<file path=customXml/itemProps2.xml><?xml version="1.0" encoding="utf-8"?>
<ds:datastoreItem xmlns:ds="http://schemas.openxmlformats.org/officeDocument/2006/customXml" ds:itemID="{2F71AF93-4AAF-4F47-AE82-2D81B1A18612}"/>
</file>

<file path=customXml/itemProps3.xml><?xml version="1.0" encoding="utf-8"?>
<ds:datastoreItem xmlns:ds="http://schemas.openxmlformats.org/officeDocument/2006/customXml" ds:itemID="{1DE67FB4-D491-4318-845D-4D5B5E72D8B2}"/>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Cover </vt:lpstr>
      <vt:lpstr>Q Friedland 24 LO 5d</vt:lpstr>
      <vt:lpstr>A Friedland 24 LO 5d</vt:lpstr>
      <vt:lpstr>Q1 Dyer 4 LO 4c</vt:lpstr>
      <vt:lpstr>A1 Dyer 4 LO 4c</vt:lpstr>
      <vt:lpstr>Q2 Dyer 4 LO 4c</vt:lpstr>
      <vt:lpstr>A2 Dyer 4 LO 4c</vt:lpstr>
      <vt:lpstr>Q3 Dyer 4 LO 4c</vt:lpstr>
      <vt:lpstr>A3 Dyer 4 LO 4c</vt:lpstr>
      <vt:lpstr>Q1 Dyer 6 LO 4c</vt:lpstr>
      <vt:lpstr>A1 Dyer 6 LO 4c</vt:lpstr>
      <vt:lpstr>Q2 Dyer 6 LO 4c</vt:lpstr>
      <vt:lpstr>A2 Dyer 6 LO 4c</vt:lpstr>
      <vt:lpstr>Q1 LO 6d</vt:lpstr>
      <vt:lpstr>A1 LO 6d</vt:lpstr>
      <vt:lpstr>Q2 LO 6d</vt:lpstr>
      <vt:lpstr>A2 LO 6d</vt:lpstr>
      <vt:lpstr>Q3 LO 6d</vt:lpstr>
      <vt:lpstr>A3 LO 6d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2025-07-01T02:34:25Z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