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72" documentId="13_ncr:1_{807AA3B8-E9E4-44C0-9F4E-56A78C383B8F}" xr6:coauthVersionLast="47" xr6:coauthVersionMax="47" xr10:uidLastSave="{D7A928F1-9D96-49BE-A112-3060BCE8123F}"/>
  <bookViews>
    <workbookView xWindow="28680" yWindow="-120" windowWidth="38640" windowHeight="21120" activeTab="1" xr2:uid="{00000000-000D-0000-FFFF-FFFF00000000}"/>
  </bookViews>
  <sheets>
    <sheet name="Cover " sheetId="44" r:id="rId1"/>
    <sheet name="Q1 LO 1a Skwire Ch 45" sheetId="22" r:id="rId2"/>
    <sheet name="A1" sheetId="23" r:id="rId3"/>
    <sheet name="Q2 LO 1a Skwire Ch 45" sheetId="24" r:id="rId4"/>
    <sheet name="A2" sheetId="25" r:id="rId5"/>
    <sheet name="Q3 LO 2d Duncan Ch 13" sheetId="26" r:id="rId6"/>
    <sheet name="A3" sheetId="27" r:id="rId7"/>
    <sheet name="Q4 LO 2d Duncan Ch 13" sheetId="28" r:id="rId8"/>
    <sheet name="A4" sheetId="29" r:id="rId9"/>
    <sheet name="Q5 LO 2d Duncan Ch 13" sheetId="30" r:id="rId10"/>
    <sheet name="A5" sheetId="31" r:id="rId11"/>
    <sheet name="Q6 LO 2b Duncan Ch 16" sheetId="32" r:id="rId12"/>
    <sheet name="A6" sheetId="33" r:id="rId13"/>
    <sheet name="Q9 LO 1b 1c 1d Prov Pmt" sheetId="42" r:id="rId14"/>
    <sheet name="A9" sheetId="43" r:id="rId15"/>
  </sheets>
  <externalReferences>
    <externalReference r:id="rId16"/>
  </externalReferences>
  <definedNames>
    <definedName name="Non_Fac">'[1]User Input'!$C$74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4" i="43" l="1"/>
  <c r="C34" i="43"/>
  <c r="F34" i="43" s="1"/>
  <c r="G34" i="43" s="1"/>
  <c r="D34" i="43"/>
  <c r="B35" i="43"/>
  <c r="C35" i="43"/>
  <c r="D35" i="43"/>
  <c r="B36" i="43"/>
  <c r="C36" i="43"/>
  <c r="D36" i="43"/>
  <c r="F36" i="43"/>
  <c r="G36" i="43" s="1"/>
  <c r="B37" i="43"/>
  <c r="C37" i="43"/>
  <c r="F37" i="43" s="1"/>
  <c r="G37" i="43" s="1"/>
  <c r="D37" i="43"/>
  <c r="B38" i="43"/>
  <c r="C38" i="43"/>
  <c r="D38" i="43"/>
  <c r="F38" i="43"/>
  <c r="G38" i="43"/>
  <c r="C44" i="43"/>
  <c r="D44" i="43"/>
  <c r="C56" i="43"/>
  <c r="D56" i="43"/>
  <c r="C57" i="43"/>
  <c r="F57" i="43" s="1"/>
  <c r="G57" i="43" s="1"/>
  <c r="D57" i="43"/>
  <c r="C58" i="43"/>
  <c r="D58" i="43"/>
  <c r="C59" i="43"/>
  <c r="D59" i="43"/>
  <c r="C60" i="43"/>
  <c r="D60" i="43"/>
  <c r="F60" i="43"/>
  <c r="G60" i="43"/>
  <c r="C61" i="43"/>
  <c r="F61" i="43" s="1"/>
  <c r="G61" i="43" s="1"/>
  <c r="D61" i="43"/>
  <c r="F35" i="43" l="1"/>
  <c r="G35" i="43" s="1"/>
  <c r="C70" i="43" s="1"/>
  <c r="D70" i="43" s="1"/>
  <c r="F59" i="43"/>
  <c r="G59" i="43" s="1"/>
  <c r="C74" i="43" s="1"/>
  <c r="D74" i="43" s="1"/>
  <c r="F56" i="43"/>
  <c r="G56" i="43" s="1"/>
  <c r="F44" i="43"/>
  <c r="G44" i="43" s="1"/>
  <c r="G46" i="43" s="1"/>
  <c r="F58" i="43"/>
  <c r="G58" i="43" s="1"/>
  <c r="C75" i="43" l="1"/>
  <c r="D75" i="43" s="1"/>
  <c r="G40" i="43"/>
  <c r="G48" i="43" s="1"/>
  <c r="C71" i="43"/>
  <c r="D71" i="43" s="1"/>
  <c r="G63" i="43"/>
  <c r="G65" i="43" s="1"/>
  <c r="C28" i="33"/>
  <c r="D28" i="33"/>
  <c r="D34" i="33" s="1"/>
  <c r="E28" i="33"/>
  <c r="C30" i="33"/>
  <c r="C31" i="33" s="1"/>
  <c r="D30" i="33"/>
  <c r="D29" i="33" s="1"/>
  <c r="D35" i="33" s="1"/>
  <c r="E30" i="33"/>
  <c r="E36" i="33" s="1"/>
  <c r="D31" i="33"/>
  <c r="E31" i="33"/>
  <c r="C49" i="33"/>
  <c r="C55" i="33" s="1"/>
  <c r="D49" i="33"/>
  <c r="D55" i="33" s="1"/>
  <c r="D60" i="33" s="1"/>
  <c r="E49" i="33"/>
  <c r="E50" i="33" s="1"/>
  <c r="C51" i="33"/>
  <c r="C52" i="33" s="1"/>
  <c r="D51" i="33"/>
  <c r="D57" i="33" s="1"/>
  <c r="E51" i="33"/>
  <c r="C56" i="33"/>
  <c r="D56" i="33"/>
  <c r="E56" i="33"/>
  <c r="E61" i="33" s="1"/>
  <c r="E57" i="33"/>
  <c r="C22" i="31"/>
  <c r="D22" i="31"/>
  <c r="E22" i="31"/>
  <c r="F22" i="31"/>
  <c r="G22" i="31"/>
  <c r="D37" i="31" s="1"/>
  <c r="H22" i="31"/>
  <c r="C23" i="31"/>
  <c r="D23" i="31"/>
  <c r="E23" i="31"/>
  <c r="F23" i="31"/>
  <c r="G23" i="31"/>
  <c r="C28" i="31" s="1"/>
  <c r="H23" i="31"/>
  <c r="C38" i="31"/>
  <c r="C25" i="29"/>
  <c r="E41" i="29" s="1"/>
  <c r="D25" i="29"/>
  <c r="E25" i="29"/>
  <c r="F25" i="29"/>
  <c r="B26" i="29"/>
  <c r="C26" i="29"/>
  <c r="D26" i="29"/>
  <c r="F42" i="29" s="1"/>
  <c r="E26" i="29"/>
  <c r="G42" i="29" s="1"/>
  <c r="F26" i="29"/>
  <c r="H42" i="29" s="1"/>
  <c r="G26" i="29"/>
  <c r="B27" i="29"/>
  <c r="C27" i="29"/>
  <c r="E43" i="29" s="1"/>
  <c r="D27" i="29"/>
  <c r="F43" i="29" s="1"/>
  <c r="E27" i="29"/>
  <c r="F27" i="29"/>
  <c r="B28" i="29"/>
  <c r="C28" i="29"/>
  <c r="G28" i="29" s="1"/>
  <c r="D28" i="29"/>
  <c r="E28" i="29"/>
  <c r="F28" i="29"/>
  <c r="H44" i="29" s="1"/>
  <c r="B29" i="29"/>
  <c r="C29" i="29"/>
  <c r="D29" i="29"/>
  <c r="F45" i="29" s="1"/>
  <c r="E29" i="29"/>
  <c r="G45" i="29" s="1"/>
  <c r="F29" i="29"/>
  <c r="E32" i="29"/>
  <c r="F32" i="29"/>
  <c r="G32" i="29"/>
  <c r="H32" i="29"/>
  <c r="C33" i="29"/>
  <c r="D33" i="29"/>
  <c r="D42" i="29" s="1"/>
  <c r="E33" i="29"/>
  <c r="F33" i="29"/>
  <c r="G33" i="29"/>
  <c r="H33" i="29"/>
  <c r="C34" i="29"/>
  <c r="C43" i="29" s="1"/>
  <c r="D34" i="29"/>
  <c r="E34" i="29"/>
  <c r="F34" i="29"/>
  <c r="G34" i="29"/>
  <c r="H34" i="29"/>
  <c r="C35" i="29"/>
  <c r="D35" i="29"/>
  <c r="E35" i="29"/>
  <c r="F35" i="29"/>
  <c r="G35" i="29"/>
  <c r="H35" i="29"/>
  <c r="C36" i="29"/>
  <c r="C45" i="29" s="1"/>
  <c r="D36" i="29"/>
  <c r="D45" i="29" s="1"/>
  <c r="E36" i="29"/>
  <c r="F36" i="29"/>
  <c r="G36" i="29"/>
  <c r="H36" i="29"/>
  <c r="C41" i="29"/>
  <c r="D41" i="29"/>
  <c r="F41" i="29"/>
  <c r="G41" i="29"/>
  <c r="H41" i="29"/>
  <c r="B42" i="29"/>
  <c r="E42" i="29"/>
  <c r="B43" i="29"/>
  <c r="D43" i="29"/>
  <c r="G43" i="29"/>
  <c r="H43" i="29"/>
  <c r="B44" i="29"/>
  <c r="C44" i="29"/>
  <c r="D44" i="29"/>
  <c r="E44" i="29"/>
  <c r="F44" i="29"/>
  <c r="G44" i="29"/>
  <c r="B45" i="29"/>
  <c r="H45" i="29"/>
  <c r="B58" i="29"/>
  <c r="C58" i="29"/>
  <c r="D66" i="29" s="1"/>
  <c r="B59" i="29"/>
  <c r="C59" i="29"/>
  <c r="D67" i="29" s="1"/>
  <c r="B60" i="29"/>
  <c r="C60" i="29"/>
  <c r="D68" i="29" s="1"/>
  <c r="B61" i="29"/>
  <c r="C61" i="29"/>
  <c r="D69" i="29" s="1"/>
  <c r="B76" i="29"/>
  <c r="B77" i="29"/>
  <c r="B78" i="29"/>
  <c r="B79" i="29"/>
  <c r="C26" i="27"/>
  <c r="C29" i="27" s="1"/>
  <c r="D26" i="27"/>
  <c r="D29" i="27" s="1"/>
  <c r="E31" i="27"/>
  <c r="C45" i="27"/>
  <c r="D45" i="27"/>
  <c r="C48" i="27"/>
  <c r="C63" i="27" s="1"/>
  <c r="E48" i="27"/>
  <c r="E63" i="27" s="1"/>
  <c r="E54" i="27"/>
  <c r="C60" i="27"/>
  <c r="D60" i="27"/>
  <c r="D63" i="27"/>
  <c r="E69" i="27"/>
  <c r="C35" i="25"/>
  <c r="E35" i="25" s="1"/>
  <c r="D41" i="25" s="1"/>
  <c r="E41" i="25" s="1"/>
  <c r="F41" i="25" s="1"/>
  <c r="F52" i="25" s="1"/>
  <c r="D35" i="25"/>
  <c r="C36" i="25"/>
  <c r="D36" i="25"/>
  <c r="D64" i="25" s="1"/>
  <c r="C37" i="25"/>
  <c r="C65" i="25" s="1"/>
  <c r="D37" i="25"/>
  <c r="C41" i="25"/>
  <c r="D70" i="25" s="1"/>
  <c r="C42" i="25"/>
  <c r="D71" i="25" s="1"/>
  <c r="C43" i="25"/>
  <c r="D72" i="25" s="1"/>
  <c r="C52" i="25"/>
  <c r="D52" i="25"/>
  <c r="G70" i="25" s="1"/>
  <c r="C53" i="25"/>
  <c r="D53" i="25"/>
  <c r="G71" i="25" s="1"/>
  <c r="C54" i="25"/>
  <c r="D54" i="25"/>
  <c r="G72" i="25" s="1"/>
  <c r="D63" i="25"/>
  <c r="E63" i="25"/>
  <c r="F63" i="25"/>
  <c r="G63" i="25"/>
  <c r="H63" i="25"/>
  <c r="I63" i="25"/>
  <c r="E64" i="25"/>
  <c r="F64" i="25"/>
  <c r="G64" i="25"/>
  <c r="H64" i="25"/>
  <c r="I64" i="25"/>
  <c r="D65" i="25"/>
  <c r="E65" i="25"/>
  <c r="F65" i="25"/>
  <c r="G65" i="25"/>
  <c r="H65" i="25"/>
  <c r="I65" i="25"/>
  <c r="D29" i="23"/>
  <c r="E29" i="23"/>
  <c r="C30" i="23" a="1"/>
  <c r="C30" i="23" s="1"/>
  <c r="D30" i="23"/>
  <c r="E30" i="23"/>
  <c r="F30" i="23" s="1"/>
  <c r="D31" i="23"/>
  <c r="E31" i="23"/>
  <c r="D32" i="23"/>
  <c r="E32" i="23"/>
  <c r="F32" i="23" s="1"/>
  <c r="D33" i="23"/>
  <c r="E33" i="23"/>
  <c r="F33" i="23" s="1"/>
  <c r="D34" i="23"/>
  <c r="E34" i="23"/>
  <c r="F34" i="23" s="1"/>
  <c r="D35" i="23"/>
  <c r="E35" i="23"/>
  <c r="B41" i="23"/>
  <c r="B62" i="23" s="1"/>
  <c r="C41" i="23"/>
  <c r="B42" i="23"/>
  <c r="B63" i="23" s="1"/>
  <c r="C42" i="23"/>
  <c r="D42" i="23"/>
  <c r="B43" i="23"/>
  <c r="C43" i="23"/>
  <c r="D43" i="23"/>
  <c r="B44" i="23"/>
  <c r="B65" i="23" s="1"/>
  <c r="C44" i="23"/>
  <c r="D44" i="23"/>
  <c r="B45" i="23"/>
  <c r="B66" i="23" s="1"/>
  <c r="C45" i="23"/>
  <c r="D45" i="23"/>
  <c r="B46" i="23"/>
  <c r="B67" i="23" s="1"/>
  <c r="C46" i="23"/>
  <c r="D46" i="23"/>
  <c r="B47" i="23"/>
  <c r="B68" i="23" s="1"/>
  <c r="C47" i="23"/>
  <c r="D47" i="23"/>
  <c r="B48" i="23"/>
  <c r="B69" i="23" s="1"/>
  <c r="C48" i="23"/>
  <c r="D48" i="23"/>
  <c r="B49" i="23"/>
  <c r="B70" i="23" s="1"/>
  <c r="C49" i="23"/>
  <c r="D49" i="23"/>
  <c r="B50" i="23"/>
  <c r="B71" i="23" s="1"/>
  <c r="C50" i="23"/>
  <c r="D50" i="23"/>
  <c r="B51" i="23"/>
  <c r="B72" i="23" s="1"/>
  <c r="C51" i="23"/>
  <c r="D51" i="23"/>
  <c r="B52" i="23"/>
  <c r="B73" i="23" s="1"/>
  <c r="C52" i="23"/>
  <c r="D52" i="23"/>
  <c r="B53" i="23"/>
  <c r="B74" i="23" s="1"/>
  <c r="C53" i="23"/>
  <c r="D53" i="23"/>
  <c r="C62" i="23"/>
  <c r="D62" i="23"/>
  <c r="E62" i="23"/>
  <c r="F62" i="23"/>
  <c r="G62" i="23"/>
  <c r="H62" i="23"/>
  <c r="I62" i="23"/>
  <c r="C63" i="23"/>
  <c r="D63" i="23"/>
  <c r="E63" i="23"/>
  <c r="F63" i="23"/>
  <c r="G63" i="23"/>
  <c r="H63" i="23"/>
  <c r="I63" i="23"/>
  <c r="B64" i="23"/>
  <c r="C64" i="23"/>
  <c r="D64" i="23"/>
  <c r="E64" i="23"/>
  <c r="F64" i="23"/>
  <c r="G64" i="23"/>
  <c r="H64" i="23"/>
  <c r="I64" i="23"/>
  <c r="C65" i="23"/>
  <c r="D65" i="23"/>
  <c r="E65" i="23"/>
  <c r="F65" i="23"/>
  <c r="G65" i="23"/>
  <c r="H65" i="23"/>
  <c r="I65" i="23"/>
  <c r="J65" i="23"/>
  <c r="C66" i="23"/>
  <c r="D66" i="23"/>
  <c r="E66" i="23"/>
  <c r="F66" i="23"/>
  <c r="G66" i="23"/>
  <c r="H66" i="23"/>
  <c r="I66" i="23"/>
  <c r="C67" i="23"/>
  <c r="D67" i="23"/>
  <c r="E67" i="23"/>
  <c r="F67" i="23"/>
  <c r="G67" i="23"/>
  <c r="H67" i="23"/>
  <c r="I67" i="23"/>
  <c r="C68" i="23"/>
  <c r="D68" i="23"/>
  <c r="E68" i="23"/>
  <c r="F68" i="23"/>
  <c r="G68" i="23"/>
  <c r="H68" i="23"/>
  <c r="I68" i="23"/>
  <c r="C69" i="23"/>
  <c r="D69" i="23"/>
  <c r="E69" i="23"/>
  <c r="F69" i="23"/>
  <c r="G69" i="23"/>
  <c r="H69" i="23"/>
  <c r="I69" i="23"/>
  <c r="C70" i="23"/>
  <c r="D70" i="23"/>
  <c r="E70" i="23"/>
  <c r="F70" i="23"/>
  <c r="G70" i="23"/>
  <c r="H70" i="23"/>
  <c r="I70" i="23"/>
  <c r="C71" i="23"/>
  <c r="D71" i="23"/>
  <c r="E71" i="23"/>
  <c r="F71" i="23"/>
  <c r="G71" i="23"/>
  <c r="H71" i="23"/>
  <c r="I71" i="23"/>
  <c r="C72" i="23"/>
  <c r="D72" i="23"/>
  <c r="E72" i="23"/>
  <c r="F72" i="23"/>
  <c r="G72" i="23"/>
  <c r="H72" i="23"/>
  <c r="I72" i="23"/>
  <c r="C73" i="23"/>
  <c r="D73" i="23"/>
  <c r="J73" i="23" s="1"/>
  <c r="E73" i="23"/>
  <c r="F73" i="23"/>
  <c r="G73" i="23"/>
  <c r="H73" i="23"/>
  <c r="I73" i="23"/>
  <c r="C74" i="23"/>
  <c r="D74" i="23"/>
  <c r="E74" i="23"/>
  <c r="F74" i="23"/>
  <c r="G74" i="23"/>
  <c r="H74" i="23"/>
  <c r="I74" i="23"/>
  <c r="G76" i="23" l="1"/>
  <c r="H76" i="23"/>
  <c r="J63" i="23"/>
  <c r="J69" i="23"/>
  <c r="F35" i="23"/>
  <c r="J72" i="23"/>
  <c r="J70" i="23"/>
  <c r="D76" i="23"/>
  <c r="J64" i="23"/>
  <c r="J67" i="23"/>
  <c r="J74" i="23"/>
  <c r="I76" i="23"/>
  <c r="J68" i="23"/>
  <c r="J71" i="23"/>
  <c r="J66" i="23"/>
  <c r="F76" i="23"/>
  <c r="F31" i="23"/>
  <c r="D55" i="23"/>
  <c r="D56" i="23" s="1"/>
  <c r="E76" i="23"/>
  <c r="K63" i="25"/>
  <c r="J65" i="25"/>
  <c r="K64" i="25"/>
  <c r="C63" i="25"/>
  <c r="J63" i="25" s="1"/>
  <c r="C70" i="25" s="1"/>
  <c r="E36" i="25"/>
  <c r="D42" i="25" s="1"/>
  <c r="E42" i="25" s="1"/>
  <c r="F42" i="25" s="1"/>
  <c r="F53" i="25" s="1"/>
  <c r="E52" i="25"/>
  <c r="G52" i="25" s="1"/>
  <c r="E29" i="27"/>
  <c r="E49" i="27"/>
  <c r="D52" i="27" s="1"/>
  <c r="C49" i="27"/>
  <c r="D78" i="29"/>
  <c r="F68" i="29"/>
  <c r="F78" i="29" s="1"/>
  <c r="I34" i="29"/>
  <c r="C67" i="29" s="1"/>
  <c r="I36" i="29"/>
  <c r="C69" i="29" s="1"/>
  <c r="G29" i="29"/>
  <c r="F24" i="31"/>
  <c r="H24" i="31" s="1"/>
  <c r="D38" i="31"/>
  <c r="C43" i="31" s="1"/>
  <c r="E62" i="33"/>
  <c r="E29" i="33"/>
  <c r="E35" i="33" s="1"/>
  <c r="E40" i="33" s="1"/>
  <c r="C29" i="33"/>
  <c r="C35" i="33" s="1"/>
  <c r="D40" i="33" s="1"/>
  <c r="E34" i="33"/>
  <c r="E39" i="33" s="1"/>
  <c r="C50" i="33"/>
  <c r="D50" i="33"/>
  <c r="D36" i="33"/>
  <c r="C36" i="33"/>
  <c r="E41" i="33"/>
  <c r="C57" i="33"/>
  <c r="D62" i="33" s="1"/>
  <c r="D61" i="33"/>
  <c r="D64" i="33" s="1"/>
  <c r="D65" i="33" s="1"/>
  <c r="D66" i="33" s="1"/>
  <c r="D71" i="33" s="1"/>
  <c r="C34" i="33"/>
  <c r="D39" i="33" s="1"/>
  <c r="E55" i="33"/>
  <c r="E60" i="33" s="1"/>
  <c r="E52" i="33"/>
  <c r="D52" i="33"/>
  <c r="C37" i="31"/>
  <c r="C42" i="31" s="1"/>
  <c r="C27" i="31"/>
  <c r="C24" i="31"/>
  <c r="E24" i="31" s="1"/>
  <c r="D77" i="29"/>
  <c r="F67" i="29"/>
  <c r="F77" i="29" s="1"/>
  <c r="D76" i="29"/>
  <c r="F66" i="29"/>
  <c r="F69" i="29"/>
  <c r="F79" i="29" s="1"/>
  <c r="D79" i="29"/>
  <c r="I35" i="29"/>
  <c r="C68" i="29" s="1"/>
  <c r="E45" i="29"/>
  <c r="G27" i="29"/>
  <c r="I33" i="29"/>
  <c r="C42" i="29"/>
  <c r="E33" i="27"/>
  <c r="E34" i="27"/>
  <c r="E64" i="27"/>
  <c r="D67" i="27" s="1"/>
  <c r="E37" i="25"/>
  <c r="K65" i="25"/>
  <c r="C72" i="25" s="1"/>
  <c r="D43" i="25"/>
  <c r="E43" i="25" s="1"/>
  <c r="F43" i="25" s="1"/>
  <c r="F54" i="25" s="1"/>
  <c r="E54" i="25"/>
  <c r="C64" i="25"/>
  <c r="J64" i="25" s="1"/>
  <c r="E53" i="25"/>
  <c r="J76" i="23" l="1"/>
  <c r="D77" i="23" s="1"/>
  <c r="E70" i="25"/>
  <c r="F70" i="25" s="1"/>
  <c r="H70" i="25"/>
  <c r="C71" i="25"/>
  <c r="E71" i="25" s="1"/>
  <c r="F71" i="25" s="1"/>
  <c r="D49" i="27"/>
  <c r="C52" i="27" s="1"/>
  <c r="E52" i="27" s="1"/>
  <c r="E56" i="27" s="1"/>
  <c r="C64" i="27"/>
  <c r="D64" i="27" s="1"/>
  <c r="C67" i="27" s="1"/>
  <c r="E67" i="27" s="1"/>
  <c r="G24" i="31"/>
  <c r="D39" i="31" s="1"/>
  <c r="D24" i="31"/>
  <c r="C39" i="31" s="1"/>
  <c r="D43" i="33"/>
  <c r="D41" i="33"/>
  <c r="E64" i="33"/>
  <c r="E65" i="33" s="1"/>
  <c r="E66" i="33" s="1"/>
  <c r="E71" i="33" s="1"/>
  <c r="E43" i="33"/>
  <c r="E44" i="33" s="1"/>
  <c r="E45" i="33" s="1"/>
  <c r="E70" i="33" s="1"/>
  <c r="E72" i="33" s="1"/>
  <c r="D44" i="33"/>
  <c r="D45" i="33" s="1"/>
  <c r="D70" i="33" s="1"/>
  <c r="D72" i="33" s="1"/>
  <c r="I44" i="29"/>
  <c r="C78" i="29" s="1"/>
  <c r="I43" i="29"/>
  <c r="C77" i="29" s="1"/>
  <c r="I45" i="29"/>
  <c r="C79" i="29" s="1"/>
  <c r="I42" i="29"/>
  <c r="C66" i="29"/>
  <c r="D71" i="29" s="1"/>
  <c r="J34" i="29"/>
  <c r="E67" i="29" s="1"/>
  <c r="J33" i="29"/>
  <c r="J36" i="29"/>
  <c r="E69" i="29" s="1"/>
  <c r="I38" i="29"/>
  <c r="J35" i="29"/>
  <c r="E68" i="29" s="1"/>
  <c r="F76" i="29"/>
  <c r="E72" i="25"/>
  <c r="F72" i="25" s="1"/>
  <c r="I72" i="25" s="1"/>
  <c r="H72" i="25"/>
  <c r="G54" i="25"/>
  <c r="G53" i="25"/>
  <c r="H77" i="23" l="1"/>
  <c r="G77" i="23"/>
  <c r="F77" i="23"/>
  <c r="E77" i="23"/>
  <c r="I77" i="23"/>
  <c r="H71" i="25"/>
  <c r="I70" i="25"/>
  <c r="E72" i="27"/>
  <c r="E71" i="27"/>
  <c r="E57" i="27"/>
  <c r="C29" i="31"/>
  <c r="C31" i="31" s="1"/>
  <c r="C44" i="31"/>
  <c r="C46" i="31" s="1"/>
  <c r="E66" i="29"/>
  <c r="F71" i="29" s="1"/>
  <c r="J38" i="29"/>
  <c r="I47" i="29"/>
  <c r="I49" i="29" s="1"/>
  <c r="J44" i="29"/>
  <c r="E78" i="29" s="1"/>
  <c r="J43" i="29"/>
  <c r="E77" i="29" s="1"/>
  <c r="J42" i="29"/>
  <c r="C76" i="29"/>
  <c r="D81" i="29" s="1"/>
  <c r="D83" i="29" s="1"/>
  <c r="J45" i="29"/>
  <c r="E79" i="29" s="1"/>
  <c r="I71" i="25"/>
  <c r="J47" i="29" l="1"/>
  <c r="J49" i="29" s="1"/>
  <c r="E76" i="29"/>
  <c r="F81" i="29" s="1"/>
  <c r="F83"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<sst xmlns="http://schemas.openxmlformats.org/spreadsheetml/2006/main" count="923" uniqueCount="313">
  <si>
    <t>c)</t>
  </si>
  <si>
    <t>b)</t>
  </si>
  <si>
    <t>a)</t>
  </si>
  <si>
    <t>per 1,000</t>
  </si>
  <si>
    <t>Utilization</t>
  </si>
  <si>
    <t>Table 1.3</t>
  </si>
  <si>
    <t>Table 1.2</t>
  </si>
  <si>
    <t>Table 1.1</t>
  </si>
  <si>
    <t>Source:</t>
  </si>
  <si>
    <t>Total</t>
  </si>
  <si>
    <t>Util/1,000</t>
  </si>
  <si>
    <t>Notes:</t>
  </si>
  <si>
    <t>Table 1.4</t>
  </si>
  <si>
    <t>Average</t>
  </si>
  <si>
    <t>Average Annual</t>
  </si>
  <si>
    <t>Procedures</t>
  </si>
  <si>
    <t>Skilled Nursing Facility</t>
  </si>
  <si>
    <t>Inpatient</t>
  </si>
  <si>
    <t>Trend</t>
  </si>
  <si>
    <t>Cost</t>
  </si>
  <si>
    <t>Low</t>
  </si>
  <si>
    <t>High</t>
  </si>
  <si>
    <t>Rating</t>
  </si>
  <si>
    <t>Group</t>
  </si>
  <si>
    <t>Cost PMPM</t>
  </si>
  <si>
    <t>20X5</t>
  </si>
  <si>
    <t>20X4</t>
  </si>
  <si>
    <t>20X3</t>
  </si>
  <si>
    <t>20X2</t>
  </si>
  <si>
    <t>20X1</t>
  </si>
  <si>
    <t>Assess which specialty groups would see a decrease in reimbursement if the capitation rate was established.</t>
  </si>
  <si>
    <t>If CareSystem changes to a capitation reimbursement system it plans to allocate the reimbursement to each specialty group by utilization.</t>
  </si>
  <si>
    <t>Calculate the capitation payment on a per member per month (PMPM) basis which would result in the same reimbursement level for CareSystem as the current FFS reimbursement rate.</t>
  </si>
  <si>
    <t>Evaluate CareSystem's fee schedule to determine which specialty group charges higher than Medicare for the CPT codes selected.</t>
  </si>
  <si>
    <t>CareSystem is a regional provider system who is evaluating its fee schedule for select specialty groups.</t>
  </si>
  <si>
    <t>Neurosurgery</t>
  </si>
  <si>
    <t>Colorectal surgery</t>
  </si>
  <si>
    <t>Plastic and reconstructive surgery</t>
  </si>
  <si>
    <t>Thoracic surgery</t>
  </si>
  <si>
    <t>Cardiology / Cardiac Surgery</t>
  </si>
  <si>
    <t>General Surgery</t>
  </si>
  <si>
    <t>CareSystem Fee Schedule</t>
  </si>
  <si>
    <t>National Medicare</t>
  </si>
  <si>
    <t>CPT Code</t>
  </si>
  <si>
    <t>Annual Utilization per 1,000 members by Specialty Group</t>
  </si>
  <si>
    <t>Fee Schedule</t>
  </si>
  <si>
    <t>Group Insurance, 8th Ed, Chapter 45</t>
  </si>
  <si>
    <t>Change in Average Reimbursement Rate</t>
  </si>
  <si>
    <t>assuming the same expected utilization by CPT code.</t>
  </si>
  <si>
    <t>Average Reimbursement Rate</t>
  </si>
  <si>
    <t>The specialty groups with a higher average reimbursement rate than the average would be expected to receive less revenue under the capitation,</t>
  </si>
  <si>
    <t>average calculated across all specialty groups.</t>
  </si>
  <si>
    <t xml:space="preserve">Since the capitation rate will be allocated to each specialty group by utilization the average reimbursement rate by specialty group is compared to the </t>
  </si>
  <si>
    <t>The average reimbursement rate is also calculated across all specialty which is how the capitation rate is calculated.</t>
  </si>
  <si>
    <t>fee schedule given in Table 1.1.</t>
  </si>
  <si>
    <t>The average reimbursement rate for each specialty group is calculated as the sum product of the utilization from Table 1.2 and CareSystem's</t>
  </si>
  <si>
    <t>PMPM Capitation Equivalent</t>
  </si>
  <si>
    <t>Since the utilization in Table 1.2 is given on an annual per 1,000 member basis, the sum product result needs to be divided by 12,000 to convert to a PMPM basis.</t>
  </si>
  <si>
    <t>FFS Reimbursement per 1,000 members</t>
  </si>
  <si>
    <t>The reimbursement per 1,000 members  is calculated as the sum of the utilization times CareSystem's fee schedule for each CPT code.</t>
  </si>
  <si>
    <t>Since the capitation rate will be fixed for all services across the select CPT codes, the total utilization is summed across each specialty group</t>
  </si>
  <si>
    <t>If the % is greater than 100% that means they are paying higher than the national Medicare rate.</t>
  </si>
  <si>
    <t>The weighted average fee for each specialty group is then compared to the Medicare Fee schedule to calculate an effective % of Medicare rate.</t>
  </si>
  <si>
    <t>The average fee for each specialty group is calculated as the utilization weighted average for each CPT code using the average fee given in Table 1.1 and the utilization in Table 1.2.</t>
  </si>
  <si>
    <t>% Medicare</t>
  </si>
  <si>
    <t>Calculate the 20X3 reimbursement for each provider group based on a revised benchmark assuming a 4% annual trend and normalizing for difference in risk scores.</t>
  </si>
  <si>
    <t>The provider groups do not agree with the benchmark methodology and believe the benchmark should incorporate trend and risk adjustment.</t>
  </si>
  <si>
    <t>Calculate the 20X3 reimbursement including the bonus payment.</t>
  </si>
  <si>
    <t>MeasureTwice plans to also use a 5-star quality measuring system to calculate bonus payments to the benchmark rate for each provider group</t>
  </si>
  <si>
    <t>Calculate the reimbursement rate on a per member per month (PMPM) basis for each provider group based on 20X3 experience.</t>
  </si>
  <si>
    <t>The benchmark is established for each provider group as the average of the provider's last two years FFS costs, respectively.</t>
  </si>
  <si>
    <t>MeasureTwice will reimburse the provider group based on an established benchmark plus 50% of any savings relative to the benchmark.</t>
  </si>
  <si>
    <t>MeasureTwice Insurance has contracted with three skilled nursing facilities for 20X3 under a gain sharing arrangement.</t>
  </si>
  <si>
    <t>Group #3</t>
  </si>
  <si>
    <t>&lt; 3.0</t>
  </si>
  <si>
    <t>Group #2</t>
  </si>
  <si>
    <t>3.0 - 4.0</t>
  </si>
  <si>
    <t>Group #1</t>
  </si>
  <si>
    <t>&gt; 4</t>
  </si>
  <si>
    <t>Payment</t>
  </si>
  <si>
    <t>Measure</t>
  </si>
  <si>
    <t>Risk Scores</t>
  </si>
  <si>
    <t>Provider</t>
  </si>
  <si>
    <t>Bonus</t>
  </si>
  <si>
    <t>Star</t>
  </si>
  <si>
    <t>Risk Scores by Provider Group (20X1 - 20X3)</t>
  </si>
  <si>
    <t>Quality Bonus</t>
  </si>
  <si>
    <t>Long-Stay Quality Measures</t>
  </si>
  <si>
    <t>Short-Stay Quality Measure</t>
  </si>
  <si>
    <t>Staffing</t>
  </si>
  <si>
    <t>Health Inspection</t>
  </si>
  <si>
    <t>Weight</t>
  </si>
  <si>
    <t>Quality Measures by Provider Group (20X3)</t>
  </si>
  <si>
    <t>Skilled Nursing Facility (SNF) Experience by Provider Group (20X1-20X3)</t>
  </si>
  <si>
    <t>The final 20X3 reimbursement is the sum of the benchmark, shared savings, and quality bonus payment.</t>
  </si>
  <si>
    <t>The quality bonus % remains unchanged but is applied to the revised benchmark.</t>
  </si>
  <si>
    <t>The respective 20X3 costs are compared to the revised benchmark to calculate any savings relative to the benchmark.</t>
  </si>
  <si>
    <t>The revised benchmark is then adjusted to the 20X3 risk score for each provider group.</t>
  </si>
  <si>
    <t>Reimbursement</t>
  </si>
  <si>
    <t>Payment %</t>
  </si>
  <si>
    <t>Sharing</t>
  </si>
  <si>
    <t>Savings</t>
  </si>
  <si>
    <t>PMPM Cost</t>
  </si>
  <si>
    <t>Benchmark</t>
  </si>
  <si>
    <t>20X3 PMPM</t>
  </si>
  <si>
    <t>Gain</t>
  </si>
  <si>
    <t>Each FFS year is trended forward by 4% per year to 20X3 and normalized to a 1.0 risk score.</t>
  </si>
  <si>
    <t>however, the two years now need to be adjusted to 20X3 on both a trend and risk score basis.</t>
  </si>
  <si>
    <t>The 20X3 benchmark is still calculated as the average of the 20X1 and 20X2 FFS costs;</t>
  </si>
  <si>
    <t xml:space="preserve">PMPM Costs - Adj to 20X3 </t>
  </si>
  <si>
    <t>Risk Score</t>
  </si>
  <si>
    <t>Trend Factor to 20X3</t>
  </si>
  <si>
    <t>PMPM Costs</t>
  </si>
  <si>
    <t>The bonus payment only applies to the benchmark payment and the gain share savings are still calculated separately.</t>
  </si>
  <si>
    <t>The quality bonus payment is then calculated based on the quality bonus % given in Table 1.3 based on the quality measure score for each provider group.</t>
  </si>
  <si>
    <t>The 20X3 quality measure is calculated for each provider group based on the sum product of the measure rating and the measure weight given in Table 1.2</t>
  </si>
  <si>
    <t>With Bonus</t>
  </si>
  <si>
    <t>No Bonus</t>
  </si>
  <si>
    <t>The total 20X3 reimbursement PMPM is the sum of the benchmark plus 50% of any savings.</t>
  </si>
  <si>
    <t>The 20X3 costs are then compared to the calculated benchmark to determine if there were any savings in 20X3.</t>
  </si>
  <si>
    <t>The 20X3 PMPM costs are calculated based on the utilization/1,000 and the average cost given in Table 1.1.</t>
  </si>
  <si>
    <t>The benchmark is calculated as the straight average of the 20X1 and 20X2 costs as stated in the question</t>
  </si>
  <si>
    <t>The FFS PMPM cost is calculated based on the utilization/1,000 and average cost for each provider group given in Table 1.1.</t>
  </si>
  <si>
    <t>FFS PMPM Cost</t>
  </si>
  <si>
    <t>`</t>
  </si>
  <si>
    <t>Non-diabetes cohort trend</t>
  </si>
  <si>
    <t>(ii)</t>
  </si>
  <si>
    <t>Historical diabetes utilization and average cost trend</t>
  </si>
  <si>
    <t>(i)</t>
  </si>
  <si>
    <t xml:space="preserve">Calculate the revised savings and ROI using two separate methods to account for trend: </t>
  </si>
  <si>
    <t>GlucoCare argues trend must be accounted for to accurately calculate the true savings and ROI of its program.</t>
  </si>
  <si>
    <t>Calculate the total savings and the return on investment (ROI) of the GlucoCare program in 20X4 compared to HealthFirst's 20X3 costs.</t>
  </si>
  <si>
    <t>GlucoCare charges HealthFirst $2.50 per member per month (PMPM) for each diabetes member.</t>
  </si>
  <si>
    <t>HealthFirst decides to contract with GlucoCare beginning in 20X4 who claims to have cutting edge diabetes management solutions.</t>
  </si>
  <si>
    <t>HealthFirst Insurance company is looking for solutions to manage its diabetic population's inpatient hospital costs.</t>
  </si>
  <si>
    <t>Non-Diabetes</t>
  </si>
  <si>
    <t>Diabetes</t>
  </si>
  <si>
    <t>Average Cost</t>
  </si>
  <si>
    <t>Members</t>
  </si>
  <si>
    <t>Inpatient Experience (20X1 - 20X4)</t>
  </si>
  <si>
    <t>Managing and Evaluating Healthcare Intervention Programs, 2nd Ed, Chapter 13</t>
  </si>
  <si>
    <t>Total ROI</t>
  </si>
  <si>
    <t>Total Savings</t>
  </si>
  <si>
    <t>GlucoCare Expense</t>
  </si>
  <si>
    <t>The savings and ROI are calculated the same as shown in question a)</t>
  </si>
  <si>
    <t>Actual Cost</t>
  </si>
  <si>
    <t>Expected Cost</t>
  </si>
  <si>
    <t>The 20X3 diabetes costs are then trended forward to 20X4 based on the actual trend of the non-diabetes members.</t>
  </si>
  <si>
    <t>average costs from the 20X3 and 20X4 experience given in Table 1.1</t>
  </si>
  <si>
    <t>The second method calculates the trend based on the non-diabetes members for both utilization and</t>
  </si>
  <si>
    <t>Non-Diabetes Annual Trend</t>
  </si>
  <si>
    <t>The 20X3 diabetes costs are then trended forward to 20X4 based on the calculated historical trend.</t>
  </si>
  <si>
    <t>Trended 20X3</t>
  </si>
  <si>
    <t>average costs from the 20X1 and 20X3 experience given in Table 1.1</t>
  </si>
  <si>
    <t>Diabetic Annual Trend</t>
  </si>
  <si>
    <t>An ROI of less than 100% implies HealthFirst did not recoup the cost of the program.</t>
  </si>
  <si>
    <t>The ROI is calculated as the cost total savings divided by the program expense.</t>
  </si>
  <si>
    <t>The total savings is calculated as the diabetes cost savings less the cost of GlucoCare's expenses.</t>
  </si>
  <si>
    <t>GlucoCare charges $2.50 PMPM for each diabetes member as given in the question.</t>
  </si>
  <si>
    <t>The cost savings is calculated as the difference between the expected costs and the actual 20X4 costs for diabetes members.</t>
  </si>
  <si>
    <t>The expected costs PMPM are calculated based on the 20X3 PMPM costs times the 20X4 membership for diabetes members.</t>
  </si>
  <si>
    <t>The PMPM costs are calculated for diabetes members in both 20X3 and 20X4 based on the experience in Table 1.1</t>
  </si>
  <si>
    <t>Calculate the savings estimates for 20X4 and 20X5 adjusting for Assurance's historical COPD average trend.</t>
  </si>
  <si>
    <t>BreatheEasy claims the expected savings are understated without accounting for historical trend.</t>
  </si>
  <si>
    <t>Calculate the expected PMPM savings in 20X4 and 20X5 for Assurance Health from BreatheEasy's COPD management program.</t>
  </si>
  <si>
    <t>The impacted members are expected to shift equally between either maintaining their current disease state or improving one severity state.</t>
  </si>
  <si>
    <t>Assurance Health insurance is considering contracting with BreatheEasy Health Services who is a disease management company specializing in Chronic Obstructive Pulmonary Disease (COPD) management.</t>
  </si>
  <si>
    <t>Formerly Diseased</t>
  </si>
  <si>
    <t>Medium</t>
  </si>
  <si>
    <t>Prevalence</t>
  </si>
  <si>
    <t>Disease Severity</t>
  </si>
  <si>
    <t>Assurance Health COPD Experience (20X3)</t>
  </si>
  <si>
    <t>COPD PMPM Cost
(20X1 - 20X3)</t>
  </si>
  <si>
    <t>Industry Average COPD Disease Severity Transition Matrix</t>
  </si>
  <si>
    <t>The revised PMPM savings is calculated as the difference in the baseline and trend expected costs for 20X4 and 20X5 after both have been adjusted for historical trend.</t>
  </si>
  <si>
    <t>PMPM Savings</t>
  </si>
  <si>
    <t>Total PMPM Cost</t>
  </si>
  <si>
    <t>The same trend methodology is applied for the expected costs under the intervention assumptions.</t>
  </si>
  <si>
    <t>Intervention</t>
  </si>
  <si>
    <t>The baseline 20X4 and 20X5 expected PMPM costs are calculated as the weighted average of the disease state PMPM costs calculated above times the disease state prevalence calculated in question a).</t>
  </si>
  <si>
    <t>The 20X4 and 20X5 disease state costs are trended from the 20X3 PMPM costs given in Table 1.2 based on the annual trends calculated above by disease state.</t>
  </si>
  <si>
    <t>Baseline</t>
  </si>
  <si>
    <t>The historical COPD trend is calculated based on claims experience from 20X1 to 20X3 given in Table 1.2.</t>
  </si>
  <si>
    <t>20X1 - 20X3</t>
  </si>
  <si>
    <t>The PMPM savings is calculated as the difference in the expected 20X4 and 20X5 costs between the baseline and intervention methodologies.</t>
  </si>
  <si>
    <t>The intervention expected prevalence of COPD members is calculated the same as the baseline, but instead uses the adjusted transition matrix calculated above.</t>
  </si>
  <si>
    <t>20X3 PMPM cost (given in Table 1.2) for each severity stated.</t>
  </si>
  <si>
    <t xml:space="preserve">The expected cost PMPM is calculated as the weighted average of the prevalence times the </t>
  </si>
  <si>
    <t>The 20X5 prevalence is then calculated by applying the transition matrix a second time.</t>
  </si>
  <si>
    <t>The baseline expected prevalence of COPD members is calculated for 20X4 from the prevalence given in Table 1.3 and the industry average transition matrix given in Table 1.1.</t>
  </si>
  <si>
    <t>20X3 PMPM Cost</t>
  </si>
  <si>
    <t>The same logic is applied to the low and formerly diseased states.</t>
  </si>
  <si>
    <t>low disease state (improving one severity state) are equally increase.</t>
  </si>
  <si>
    <t xml:space="preserve">For medium disease state, the transition probability of shifting to high disease state is reduced by 25% and the probability for medium disease state (current disease state) and </t>
  </si>
  <si>
    <t>The high disease state transition probabilities are unaffected as BreatheEasy claims to only reduce the likelihood of transition to a higher disease state.</t>
  </si>
  <si>
    <t>The adjusted COPD transition matrix is calculated from the industry average transition matrix given in Table 1.1 and the assumptions based on BreatheEasy's claims.</t>
  </si>
  <si>
    <t>BreatheEasy's COPD Transition Matrix</t>
  </si>
  <si>
    <t>Evaluate the difference in the effectiveness by adjusting for difference in the population risk score.</t>
  </si>
  <si>
    <t>Evaluate the effectiveness of the intervention using the non-intervention cohort trend basis without any adjustments.</t>
  </si>
  <si>
    <t>RetroHealth is evaluating a disease management program that was implemented in 20X2.</t>
  </si>
  <si>
    <t>RetroHealth Experience (20X1-20X2)</t>
  </si>
  <si>
    <t>The result shows a different conclusion and shows the intervention was successful when accounting for changes in risk score between the populations.</t>
  </si>
  <si>
    <t>Trend Difference</t>
  </si>
  <si>
    <t>The risk score adjusted trend is the difference in the trend between the intervention population and the non-intervention population on a risk score normalized basis.</t>
  </si>
  <si>
    <t>Non-Intervention</t>
  </si>
  <si>
    <t>The risk score normalized trend is the difference in the risk score normalized 20X1 and 20X2 PMPM cost calculated above.</t>
  </si>
  <si>
    <t>Trend Normalized</t>
  </si>
  <si>
    <t>PMPM Cost 
Risk Score Normalized</t>
  </si>
  <si>
    <t>The results show the intervention was unsuccessful as the intervention population had higher trend.</t>
  </si>
  <si>
    <t>The unadjusted trend is the difference in the trend between the intervention population and the non-intervention population.</t>
  </si>
  <si>
    <t>The unadjusted trend difference is the 20X1 to 20X2 trend in PMPM cost.</t>
  </si>
  <si>
    <t>Trend Unadjusted</t>
  </si>
  <si>
    <t>Since the experience was given only for total and intervention members in Table 1.1 the non-intervention member information needs to be calculated.</t>
  </si>
  <si>
    <t>All claims with a diagnosis</t>
  </si>
  <si>
    <t>Only the primary diagnosis</t>
  </si>
  <si>
    <t>Compare the base-case savings for each year calculated using each of the following chronic condition definitions for the measure group, assuming annual requalification.</t>
  </si>
  <si>
    <t xml:space="preserve">StarTrust plans to use medical claims only to determine the measure group, but there is discussion about how best to identify the chronic members. </t>
  </si>
  <si>
    <t>StarTrust, a local HMO plan, is evaluating a disease management program that was first implemented in 20X2.</t>
  </si>
  <si>
    <t>Non-Primary Diagnosis</t>
  </si>
  <si>
    <t>Primary Diagnosis</t>
  </si>
  <si>
    <t>No Diagnosis</t>
  </si>
  <si>
    <t>Total Claims Cost</t>
  </si>
  <si>
    <t>StarTrust Chronic Condition Experience (20X1 - 20X3)</t>
  </si>
  <si>
    <t>Managing and Evaluating Healthcare Intervention Programs, 2nd Ed, Chapter 16</t>
  </si>
  <si>
    <t>Difference</t>
  </si>
  <si>
    <t>All Diagnosis</t>
  </si>
  <si>
    <t>The difference in savings are then compared under each different methodology for determining the chronic population to be measured.</t>
  </si>
  <si>
    <t>Savings ($Million)</t>
  </si>
  <si>
    <t>Chronic Savings ($Million)</t>
  </si>
  <si>
    <t xml:space="preserve">Chronic Savings PMPM </t>
  </si>
  <si>
    <t>Chronic PMPM - Index Trend</t>
  </si>
  <si>
    <t>Chronic Members</t>
  </si>
  <si>
    <t>Index Members</t>
  </si>
  <si>
    <t>Total Members</t>
  </si>
  <si>
    <t>Chronic</t>
  </si>
  <si>
    <t>Index</t>
  </si>
  <si>
    <t>Chronic Prevalence</t>
  </si>
  <si>
    <t>The remaining calculations are the same as above to calculate the savings.</t>
  </si>
  <si>
    <t>Under the second methodology, the chronic members were determined using all claims with a chronic condition on any claim, including primary and non-primary diagnosis.</t>
  </si>
  <si>
    <t>The final base-case savings are calculated based on total chronic members assuming each member was in the plan for all 12 months.</t>
  </si>
  <si>
    <t>The PMPM base-case savings are calculated as the difference in the index trended chronic member costs and the actual chronic member costs.</t>
  </si>
  <si>
    <t>The PMPM costs for the chronic member with the index trend are calculated trending the 20X1 actual chronic member costs and trending forward by the actual trend rate of the index population for each year.</t>
  </si>
  <si>
    <t>The annual trend factors are calculated separately for the total, index, and chronic members across each year.</t>
  </si>
  <si>
    <t>The PMPM costs are calculated separately for the total, index, and chronic members across each year.</t>
  </si>
  <si>
    <t>Total Chronic Members</t>
  </si>
  <si>
    <t>The index members are defined as the remaining members outside of the measure group.</t>
  </si>
  <si>
    <t>Total Index Members</t>
  </si>
  <si>
    <t>Since the question stated each year requires annual requalification, the measure group is determined as members with the primary diagnosis in the given year from Table 1.1.</t>
  </si>
  <si>
    <t>Primary Diagnosis Only</t>
  </si>
  <si>
    <t>Provider Payment Arrangements, Provider Risk and Their Relationship with Cost of Healthcare (Milliman, 2015) - appendices excluded</t>
  </si>
  <si>
    <t>Number of Episodes</t>
  </si>
  <si>
    <t>Comparison</t>
  </si>
  <si>
    <t>BPCI</t>
  </si>
  <si>
    <t>Intervention Period</t>
  </si>
  <si>
    <t>Baseline Period</t>
  </si>
  <si>
    <t>All other institutional</t>
  </si>
  <si>
    <t>All other-non-institutional</t>
  </si>
  <si>
    <t>Inpatient Rehabilitation Facility</t>
  </si>
  <si>
    <t>E&amp;M</t>
  </si>
  <si>
    <t>Home Health Agency</t>
  </si>
  <si>
    <t>Imaging and lab</t>
  </si>
  <si>
    <t>Readmissions</t>
  </si>
  <si>
    <t>Outpatient therapy</t>
  </si>
  <si>
    <t>Allowed Amount</t>
  </si>
  <si>
    <t>Type of Service</t>
  </si>
  <si>
    <t>Average Medicare Part B Allowed Amount - After Anchor Stay (per Episode)</t>
  </si>
  <si>
    <t>Average Medicare Part B Allowed Amount (per Episode) - Anchor Stay</t>
  </si>
  <si>
    <t>Average Medicare Part A Allowed Amount (per Episode)</t>
  </si>
  <si>
    <t>The Part B savings during the anchor stay was not considered as the type of service breakout was not provided</t>
  </si>
  <si>
    <t>Least Savings</t>
  </si>
  <si>
    <t>The savings are evaluated for Part B for each type of service after the anchor stay from question b) to determine the most and least savings generated</t>
  </si>
  <si>
    <t>Most Savings</t>
  </si>
  <si>
    <t>Part B</t>
  </si>
  <si>
    <t>The savings are evaluated for Part A for each type of service during the anchor stay from question a) to determine the most and least savings generated</t>
  </si>
  <si>
    <t>Savings (Cost)</t>
  </si>
  <si>
    <t>Part A</t>
  </si>
  <si>
    <t>The total savings, or cost if negative, of the anchor are calculated as the sum of the Part A and B savings calculated above</t>
  </si>
  <si>
    <t>Total Part B</t>
  </si>
  <si>
    <t>The Part B savings are calculated using the same methodology as question b) but using the costs post anchor stay given in Table 1.3</t>
  </si>
  <si>
    <t>Total $</t>
  </si>
  <si>
    <t>Per Episode</t>
  </si>
  <si>
    <t>Total Savings (Cost)</t>
  </si>
  <si>
    <t>Change in Cost per Episode</t>
  </si>
  <si>
    <t>Part A costs are only incurred during the anchor stay</t>
  </si>
  <si>
    <t>Total Part A</t>
  </si>
  <si>
    <t>The Part B savings are calculated the same as Part A above but using the cost amounts during the anchor stay given in Table 1.2</t>
  </si>
  <si>
    <t>During Anchor Stay</t>
  </si>
  <si>
    <t>Savings (Intervention less Baseline)</t>
  </si>
  <si>
    <t>The Total Part A savings is the sum of each of the service category savings totals</t>
  </si>
  <si>
    <t>The total savings is calculated by multiplying the savings per episode times the number of episodes in the intervention period for BPCI given in Table 1.4</t>
  </si>
  <si>
    <t>The change in the cost of episode for Part A services between the baseline and intervention is calculated from Table 1.1</t>
  </si>
  <si>
    <t>CareSystem is considering moving from a FFS reimbursement model to a capitation payment for all specialty groups to cover the select CPT codes.</t>
  </si>
  <si>
    <t>The first method requires calculating the historical diabetes trend based on the average trend for both utilization and</t>
  </si>
  <si>
    <t>BreatheEasy claims it is able to reduce the probability a COPD member will shift to a higher severity disease state by one quarter of the market average.</t>
  </si>
  <si>
    <t>The 20X1 and 20X2 PMPM costs are risk score normalized by dividing each year's PMPM cost by the respective year's risk score.</t>
  </si>
  <si>
    <t>The savings per episode is the difference in the change in cost per episode between the BPCI and the comparison population</t>
  </si>
  <si>
    <t>The Bundled Payments for Care Improvement (BPCI) pays a bundled payment for an entire episode instead of separate payments to providers for each service.</t>
  </si>
  <si>
    <t>Calculate the total savings for the BPCI program during the anchor stay. Show your work.</t>
  </si>
  <si>
    <t>Calculate the total savings for the BPCI program after the anchor stay. Show your work.</t>
  </si>
  <si>
    <t>Identify which type of service in the BPCI model was the most and which was the least successful in generating savings for both Part A and B, respectively. Justify your answer.</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</si>
  <si>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</si>
  <si>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</si>
  <si>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</si>
  <si>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</si>
  <si>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</si>
  <si>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</si>
  <si>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These guided examples have been developed by Josh Collins (FSA, MAAA), ACTEX Learning,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</si>
  <si>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t>education@soa.org</t>
  </si>
  <si>
    <t>Version 2025-1</t>
  </si>
  <si>
    <t>Updated: July 8, 2025</t>
  </si>
  <si>
    <t xml:space="preserve">Copyright © Society of Actuaries </t>
  </si>
  <si>
    <t>GH 301 - Health Analytics and Management</t>
  </si>
  <si>
    <r>
      <t xml:space="preserve">This guided example has been developed by </t>
    </r>
    <r>
      <rPr>
        <b/>
        <sz val="11"/>
        <color theme="1"/>
        <rFont val="Aptos"/>
        <family val="2"/>
      </rPr>
      <t>Josh Collins (FSA, MAAA), ACTEX Learning</t>
    </r>
    <r>
      <rPr>
        <sz val="11"/>
        <color theme="1"/>
        <rFont val="Aptos"/>
        <family val="2"/>
      </rPr>
      <t xml:space="preserve"> with review and edits as appropriate by course curriculum volunteers and SOA staff.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</si>
</sst>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0.000"/>
    <numFmt numFmtId="165" formatCode="0.0%"/>
    <numFmt numFmtId="166" formatCode="_(&quot;$&quot;* #,##0_);_(&quot;$&quot;* \(#,##0\);_(&quot;$&quot;* &quot;-&quot;??_);_(@_)"/>
    <numFmt numFmtId="167" formatCode="&quot;$&quot;#,##0"/>
  </numFmts>
  <fonts count="19"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sz val="7"/>
      <color rgb="FF232A31"/>
      <name val="Arial"/>
      <family val="2"/>
    </font>
    <font>
      <u/>
      <sz val="11"/>
      <name val="Calibri"/>
      <family val="2"/>
      <scheme val="minor"/>
    </font>
    <font>
      <sz val="11"/>
      <name val="Calibri"/>
      <family val="2"/>
      <scheme val="minor"/>
    </font>
    <font>
      <b/>
      <sz val="11"/>
      <name val="Calibri"/>
      <family val="2"/>
      <scheme val="minor"/>
    </font>
    <font>
      <strike/>
      <sz val="11"/>
      <name val="Calibri"/>
      <family val="2"/>
      <scheme val="minor"/>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1"/>
      <color theme="1"/>
      <name val="Aptos Narrow"/>
      <family val="2"/>
    </font>
    <font>
      <sz val="10"/>
      <color theme="1"/>
      <name val="Calibri"/>
      <family val="2"/>
      <scheme val="minor"/>
    </font>
    <font>
      <sz val="11"/>
      <color theme="1"/>
      <name val="Aptos"/>
      <family val="2"/>
    </font>
    <font>
      <b/>
      <sz val="11"/>
      <color theme="1"/>
      <name val="Aptos"/>
      <family val="2"/>
    </font>
  </fonts>
  <fills count="3">
    <fill>
      <patternFill patternType="none"/>
    </fill>
    <fill>
      <patternFill patternType="gray125"/>
    </fill>
    <fill>
      <patternFill patternType="solid">
        <fgColor rgb="FFFFFF00"/>
        <bgColor indexed="64"/>
      </patternFill>
    </fill>
  </fills>
  <borders count="17">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cellStyleXfs>
  <cellXfs count="132">
    <xf numFmtId="0" fontId="0" fillId="0" borderId="0" xfId="0"/>
    <xf numFmtId="9" fontId="0" fillId="0" borderId="0" xfId="0" applyNumberFormat="1"/>
    <xf numFmtId="3" fontId="0" fillId="0" borderId="0" xfId="0" applyNumberFormat="1"/>
    <xf numFmtId="0" fontId="2" fillId="0" borderId="1" xfId="0" applyFont="1" applyBorder="1" applyAlignment="1">
      <alignment horizontal="centerContinuous"/>
    </xf>
    <xf numFmtId="0" fontId="2" fillId="0" borderId="2" xfId="0" applyFont="1" applyBorder="1" applyAlignment="1">
      <alignment horizontal="centerContinuous"/>
    </xf>
    <xf numFmtId="0" fontId="2" fillId="0" borderId="3" xfId="0" applyFont="1" applyBorder="1" applyAlignment="1">
      <alignment horizontal="centerContinuous"/>
    </xf>
    <xf numFmtId="0" fontId="2" fillId="0" borderId="4" xfId="0" applyFont="1" applyBorder="1" applyAlignment="1">
      <alignment horizontal="centerContinuous"/>
    </xf>
    <xf numFmtId="0" fontId="2" fillId="0" borderId="5" xfId="0" applyFont="1" applyBorder="1" applyAlignment="1">
      <alignment horizontal="centerContinuous"/>
    </xf>
    <xf numFmtId="0" fontId="2" fillId="0" borderId="6" xfId="0" applyFont="1" applyBorder="1" applyAlignment="1">
      <alignment horizontal="centerContinuous"/>
    </xf>
    <xf numFmtId="0" fontId="3" fillId="0" borderId="0" xfId="0" applyFont="1"/>
    <xf numFmtId="0" fontId="0" fillId="0" borderId="0" xfId="0" applyAlignment="1">
      <alignment horizontal="right"/>
    </xf>
    <xf numFmtId="43" fontId="0" fillId="0" borderId="0" xfId="1" applyFont="1"/>
    <xf numFmtId="0" fontId="0" fillId="0" borderId="0" xfId="0"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0" fontId="2" fillId="0" borderId="0" xfId="0" applyFont="1"/>
    <xf numFmtId="4" fontId="0" fillId="0" borderId="0" xfId="0" applyNumberFormat="1"/>
    <xf numFmtId="3" fontId="0" fillId="0" borderId="0" xfId="0" applyNumberFormat="1" applyAlignment="1">
      <alignment horizontal="center"/>
    </xf>
    <xf numFmtId="165" fontId="0" fillId="0" borderId="0" xfId="3" applyNumberFormat="1" applyFont="1"/>
    <xf numFmtId="10" fontId="0" fillId="0" borderId="0" xfId="0" applyNumberFormat="1"/>
    <xf numFmtId="44" fontId="0" fillId="0" borderId="0" xfId="2" applyFont="1"/>
    <xf numFmtId="165" fontId="0" fillId="0" borderId="0" xfId="3" applyNumberFormat="1" applyFont="1" applyAlignment="1">
      <alignment horizontal="center"/>
    </xf>
    <xf numFmtId="2" fontId="0" fillId="0" borderId="0" xfId="0" applyNumberFormat="1"/>
    <xf numFmtId="0" fontId="0" fillId="0" borderId="0" xfId="0" applyAlignment="1">
      <alignment wrapText="1"/>
    </xf>
    <xf numFmtId="0" fontId="2" fillId="0" borderId="0" xfId="0" applyFont="1" applyAlignment="1">
      <alignment horizontal="centerContinuous"/>
    </xf>
    <xf numFmtId="9" fontId="0" fillId="0" borderId="0" xfId="0" applyNumberFormat="1" applyAlignment="1">
      <alignment horizontal="center"/>
    </xf>
    <xf numFmtId="44" fontId="0" fillId="0" borderId="0" xfId="2" applyFont="1" applyAlignment="1">
      <alignment horizontal="right"/>
    </xf>
    <xf numFmtId="2" fontId="0" fillId="0" borderId="0" xfId="0" applyNumberFormat="1" applyAlignment="1">
      <alignment horizontal="center"/>
    </xf>
    <xf numFmtId="0" fontId="0" fillId="0" borderId="0" xfId="0" applyAlignment="1">
      <alignment horizontal="left"/>
    </xf>
    <xf numFmtId="44" fontId="0" fillId="0" borderId="0" xfId="2" applyFont="1" applyAlignment="1">
      <alignment horizontal="center"/>
    </xf>
    <xf numFmtId="166" fontId="0" fillId="0" borderId="0" xfId="2" applyNumberFormat="1" applyFont="1" applyAlignment="1">
      <alignment horizontal="center"/>
    </xf>
    <xf numFmtId="43" fontId="0" fillId="0" borderId="0" xfId="1" applyFont="1" applyAlignment="1">
      <alignment horizontal="center"/>
    </xf>
    <xf numFmtId="0" fontId="0" fillId="0" borderId="0" xfId="0" quotePrefix="1" applyAlignment="1">
      <alignment horizontal="center"/>
    </xf>
    <xf numFmtId="164" fontId="0" fillId="0" borderId="0" xfId="0" applyNumberFormat="1" applyAlignment="1">
      <alignment horizontal="center"/>
    </xf>
    <xf numFmtId="16" fontId="0" fillId="0" borderId="0" xfId="0" quotePrefix="1" applyNumberFormat="1" applyAlignment="1">
      <alignment horizontal="center"/>
    </xf>
    <xf numFmtId="165" fontId="0" fillId="0" borderId="0" xfId="0" applyNumberFormat="1" applyAlignment="1">
      <alignment horizontal="center"/>
    </xf>
    <xf numFmtId="44" fontId="2" fillId="2" borderId="15" xfId="2" applyFont="1" applyFill="1" applyBorder="1" applyAlignment="1">
      <alignment horizontal="center"/>
    </xf>
    <xf numFmtId="3" fontId="4" fillId="0" borderId="0" xfId="0" applyNumberFormat="1" applyFont="1" applyAlignment="1">
      <alignment vertical="center"/>
    </xf>
    <xf numFmtId="0" fontId="4" fillId="0" borderId="0" xfId="0" applyFont="1" applyAlignment="1">
      <alignment vertical="center" wrapText="1"/>
    </xf>
    <xf numFmtId="0" fontId="0" fillId="0" borderId="0" xfId="0" applyAlignment="1">
      <alignment vertical="center"/>
    </xf>
    <xf numFmtId="3" fontId="0" fillId="0" borderId="0" xfId="0" applyNumberFormat="1" applyAlignment="1">
      <alignment vertical="center"/>
    </xf>
    <xf numFmtId="0" fontId="0" fillId="0" borderId="0" xfId="0" applyAlignment="1">
      <alignment vertical="center" wrapText="1"/>
    </xf>
    <xf numFmtId="4" fontId="0" fillId="0" borderId="0" xfId="0" applyNumberFormat="1" applyAlignment="1">
      <alignment vertical="center"/>
    </xf>
    <xf numFmtId="2" fontId="2" fillId="2" borderId="13" xfId="0" applyNumberFormat="1" applyFont="1" applyFill="1" applyBorder="1"/>
    <xf numFmtId="2" fontId="2" fillId="2" borderId="14" xfId="0" applyNumberFormat="1" applyFont="1" applyFill="1" applyBorder="1"/>
    <xf numFmtId="2" fontId="0" fillId="0" borderId="0" xfId="3" applyNumberFormat="1" applyFont="1"/>
    <xf numFmtId="3" fontId="0" fillId="0" borderId="0" xfId="0" applyNumberFormat="1" applyAlignment="1">
      <alignment wrapText="1"/>
    </xf>
    <xf numFmtId="0" fontId="0" fillId="0" borderId="0" xfId="0" applyAlignment="1">
      <alignment horizontal="center" wrapText="1"/>
    </xf>
    <xf numFmtId="4" fontId="0" fillId="0" borderId="0" xfId="0" applyNumberFormat="1" applyAlignment="1">
      <alignment horizontal="center" vertical="center"/>
    </xf>
    <xf numFmtId="44" fontId="0" fillId="0" borderId="0" xfId="2" applyFont="1" applyAlignment="1">
      <alignment horizontal="center" vertical="center"/>
    </xf>
    <xf numFmtId="44" fontId="0" fillId="0" borderId="0" xfId="2" applyFont="1" applyAlignment="1">
      <alignment horizontal="center" vertical="center" wrapText="1"/>
    </xf>
    <xf numFmtId="3" fontId="0" fillId="0" borderId="0" xfId="0" applyNumberFormat="1" applyAlignment="1">
      <alignment horizontal="center" wrapText="1"/>
    </xf>
    <xf numFmtId="165" fontId="0" fillId="2" borderId="12" xfId="3" applyNumberFormat="1" applyFont="1" applyFill="1" applyBorder="1" applyAlignment="1">
      <alignment horizontal="center"/>
    </xf>
    <xf numFmtId="165" fontId="0" fillId="2" borderId="11" xfId="3" applyNumberFormat="1" applyFont="1" applyFill="1" applyBorder="1" applyAlignment="1">
      <alignment horizontal="center"/>
    </xf>
    <xf numFmtId="165" fontId="0" fillId="2" borderId="10" xfId="3" applyNumberFormat="1" applyFont="1" applyFill="1" applyBorder="1" applyAlignment="1">
      <alignment horizontal="center"/>
    </xf>
    <xf numFmtId="44" fontId="0" fillId="2" borderId="15" xfId="2" applyFont="1" applyFill="1" applyBorder="1" applyAlignment="1">
      <alignment horizontal="center"/>
    </xf>
    <xf numFmtId="0" fontId="0" fillId="0" borderId="0" xfId="0" applyAlignment="1">
      <alignment horizontal="center" vertical="center" wrapText="1"/>
    </xf>
    <xf numFmtId="3" fontId="0" fillId="0" borderId="0" xfId="0" applyNumberFormat="1" applyAlignment="1">
      <alignment horizontal="center" vertical="center"/>
    </xf>
    <xf numFmtId="44" fontId="2" fillId="2" borderId="14" xfId="2" applyFont="1" applyFill="1" applyBorder="1" applyAlignment="1">
      <alignment horizontal="center"/>
    </xf>
    <xf numFmtId="44" fontId="2" fillId="2" borderId="13" xfId="2" applyFont="1" applyFill="1" applyBorder="1" applyAlignment="1">
      <alignment horizontal="center"/>
    </xf>
    <xf numFmtId="165" fontId="0" fillId="0" borderId="0" xfId="0" applyNumberFormat="1"/>
    <xf numFmtId="0" fontId="0" fillId="0" borderId="16" xfId="0" applyBorder="1" applyAlignment="1">
      <alignment horizontal="centerContinuous"/>
    </xf>
    <xf numFmtId="0" fontId="0" fillId="0" borderId="8" xfId="0" applyBorder="1" applyAlignment="1">
      <alignment horizontal="centerContinuous" wrapText="1"/>
    </xf>
    <xf numFmtId="0" fontId="0" fillId="0" borderId="9" xfId="0" applyBorder="1" applyAlignment="1">
      <alignment horizontal="centerContinuous" wrapText="1"/>
    </xf>
    <xf numFmtId="2" fontId="0" fillId="0" borderId="0" xfId="0" applyNumberFormat="1" applyAlignment="1">
      <alignment vertical="center"/>
    </xf>
    <xf numFmtId="166" fontId="0" fillId="0" borderId="0" xfId="2" applyNumberFormat="1" applyFont="1" applyAlignment="1">
      <alignment horizontal="center" vertical="center" wrapText="1"/>
    </xf>
    <xf numFmtId="0" fontId="0" fillId="0" borderId="0" xfId="0" applyAlignment="1">
      <alignment horizontal="center" vertical="center"/>
    </xf>
    <xf numFmtId="0" fontId="0" fillId="0" borderId="16" xfId="0" applyBorder="1" applyAlignment="1">
      <alignment horizontal="center"/>
    </xf>
    <xf numFmtId="0" fontId="0" fillId="0" borderId="8" xfId="0" applyBorder="1" applyAlignment="1">
      <alignment horizontal="center"/>
    </xf>
    <xf numFmtId="0" fontId="0" fillId="0" borderId="9" xfId="0" applyBorder="1"/>
    <xf numFmtId="44" fontId="2" fillId="2" borderId="12" xfId="2" applyFont="1" applyFill="1" applyBorder="1" applyAlignment="1">
      <alignment horizontal="center"/>
    </xf>
    <xf numFmtId="44" fontId="2" fillId="2" borderId="11" xfId="2" applyFont="1" applyFill="1" applyBorder="1" applyAlignment="1">
      <alignment horizontal="center"/>
    </xf>
    <xf numFmtId="44" fontId="2" fillId="2" borderId="10" xfId="2" applyFont="1" applyFill="1" applyBorder="1" applyAlignment="1">
      <alignment horizontal="center"/>
    </xf>
    <xf numFmtId="165" fontId="2" fillId="2" borderId="10" xfId="3" applyNumberFormat="1" applyFont="1" applyFill="1" applyBorder="1"/>
    <xf numFmtId="0" fontId="2" fillId="0" borderId="1" xfId="0" applyFont="1" applyBorder="1" applyAlignment="1">
      <alignment horizontal="centerContinuous" wrapText="1"/>
    </xf>
    <xf numFmtId="0" fontId="2" fillId="0" borderId="3" xfId="0" applyFont="1" applyBorder="1" applyAlignment="1">
      <alignment horizontal="centerContinuous" wrapText="1"/>
    </xf>
    <xf numFmtId="3" fontId="0" fillId="0" borderId="8" xfId="0" applyNumberFormat="1" applyBorder="1" applyAlignment="1">
      <alignment horizontal="centerContinuous" vertical="center"/>
    </xf>
    <xf numFmtId="165" fontId="2" fillId="2" borderId="15" xfId="0" applyNumberFormat="1" applyFont="1" applyFill="1" applyBorder="1"/>
    <xf numFmtId="9" fontId="0" fillId="0" borderId="0" xfId="3" applyFont="1" applyAlignment="1">
      <alignment vertical="center"/>
    </xf>
    <xf numFmtId="43" fontId="0" fillId="0" borderId="0" xfId="1" applyFont="1" applyAlignment="1">
      <alignment horizontal="center" wrapText="1"/>
    </xf>
    <xf numFmtId="165" fontId="2" fillId="2" borderId="10" xfId="3" applyNumberFormat="1" applyFont="1" applyFill="1" applyBorder="1" applyAlignment="1">
      <alignment horizontal="center"/>
    </xf>
    <xf numFmtId="44" fontId="0" fillId="0" borderId="0" xfId="2" applyFont="1" applyAlignment="1">
      <alignment horizontal="center" wrapText="1"/>
    </xf>
    <xf numFmtId="44" fontId="0" fillId="0" borderId="0" xfId="2" applyFont="1" applyAlignment="1">
      <alignment horizontal="right" wrapText="1"/>
    </xf>
    <xf numFmtId="44" fontId="2" fillId="2" borderId="12" xfId="2" applyFont="1" applyFill="1" applyBorder="1" applyAlignment="1">
      <alignment horizontal="right"/>
    </xf>
    <xf numFmtId="3" fontId="0" fillId="0" borderId="0" xfId="0" applyNumberFormat="1" applyAlignment="1">
      <alignment horizontal="center" vertical="center" wrapText="1"/>
    </xf>
    <xf numFmtId="166" fontId="0" fillId="0" borderId="0" xfId="2" applyNumberFormat="1" applyFont="1" applyAlignment="1">
      <alignment horizontal="center" wrapText="1"/>
    </xf>
    <xf numFmtId="165" fontId="2" fillId="2" borderId="15" xfId="0" applyNumberFormat="1" applyFont="1" applyFill="1" applyBorder="1" applyAlignment="1">
      <alignment horizontal="center"/>
    </xf>
    <xf numFmtId="0" fontId="0" fillId="0" borderId="7" xfId="0" applyBorder="1" applyAlignment="1">
      <alignment horizontal="center" wrapText="1"/>
    </xf>
    <xf numFmtId="166" fontId="0" fillId="0" borderId="0" xfId="2" applyNumberFormat="1" applyFont="1" applyAlignment="1">
      <alignment horizontal="center" vertical="center"/>
    </xf>
    <xf numFmtId="44" fontId="2" fillId="2" borderId="14" xfId="2" applyFont="1" applyFill="1" applyBorder="1"/>
    <xf numFmtId="44" fontId="2" fillId="2" borderId="13" xfId="2" applyFont="1" applyFill="1" applyBorder="1"/>
    <xf numFmtId="0" fontId="5" fillId="0" borderId="0" xfId="0" applyFont="1"/>
    <xf numFmtId="0" fontId="6" fillId="0" borderId="0" xfId="0" applyFont="1"/>
    <xf numFmtId="0" fontId="7" fillId="0" borderId="6" xfId="0" applyFont="1" applyBorder="1" applyAlignment="1">
      <alignment horizontal="centerContinuous"/>
    </xf>
    <xf numFmtId="0" fontId="7" fillId="0" borderId="5" xfId="0" applyFont="1" applyBorder="1" applyAlignment="1">
      <alignment horizontal="centerContinuous"/>
    </xf>
    <xf numFmtId="0" fontId="7" fillId="0" borderId="4" xfId="0" applyFont="1" applyBorder="1" applyAlignment="1">
      <alignment horizontal="centerContinuous"/>
    </xf>
    <xf numFmtId="0" fontId="7" fillId="0" borderId="3" xfId="0" applyFont="1" applyBorder="1" applyAlignment="1">
      <alignment horizontal="centerContinuous"/>
    </xf>
    <xf numFmtId="0" fontId="7" fillId="0" borderId="2" xfId="0" applyFont="1" applyBorder="1" applyAlignment="1">
      <alignment horizontal="centerContinuous"/>
    </xf>
    <xf numFmtId="0" fontId="7" fillId="0" borderId="1" xfId="0" applyFont="1" applyBorder="1" applyAlignment="1">
      <alignment horizontal="centerContinuous"/>
    </xf>
    <xf numFmtId="3" fontId="6" fillId="0" borderId="0" xfId="0" applyNumberFormat="1" applyFont="1" applyAlignment="1">
      <alignment vertical="center"/>
    </xf>
    <xf numFmtId="0" fontId="6" fillId="0" borderId="9" xfId="0" applyFont="1" applyBorder="1" applyAlignment="1">
      <alignment horizontal="centerContinuous"/>
    </xf>
    <xf numFmtId="0" fontId="6" fillId="0" borderId="8" xfId="0" applyFont="1" applyBorder="1" applyAlignment="1">
      <alignment horizontal="centerContinuous"/>
    </xf>
    <xf numFmtId="0" fontId="6" fillId="0" borderId="0" xfId="0" applyFont="1" applyAlignment="1">
      <alignment horizontal="center"/>
    </xf>
    <xf numFmtId="166" fontId="6" fillId="0" borderId="0" xfId="2" applyNumberFormat="1" applyFont="1" applyAlignment="1">
      <alignment horizontal="center"/>
    </xf>
    <xf numFmtId="44" fontId="6" fillId="0" borderId="0" xfId="2" applyFont="1" applyAlignment="1">
      <alignment horizontal="center"/>
    </xf>
    <xf numFmtId="167" fontId="6" fillId="0" borderId="0" xfId="0" applyNumberFormat="1" applyFont="1"/>
    <xf numFmtId="1" fontId="6" fillId="0" borderId="0" xfId="0" applyNumberFormat="1" applyFont="1"/>
    <xf numFmtId="3" fontId="6" fillId="0" borderId="0" xfId="0" applyNumberFormat="1" applyFont="1" applyAlignment="1">
      <alignment horizontal="center"/>
    </xf>
    <xf numFmtId="0" fontId="8" fillId="0" borderId="0" xfId="0" applyFont="1"/>
    <xf numFmtId="0" fontId="6" fillId="0" borderId="0" xfId="0" applyFont="1" applyAlignment="1">
      <alignment horizontal="right"/>
    </xf>
    <xf numFmtId="166" fontId="6" fillId="0" borderId="0" xfId="2" applyNumberFormat="1" applyFont="1"/>
    <xf numFmtId="0" fontId="7" fillId="0" borderId="0" xfId="0" applyFont="1"/>
    <xf numFmtId="44" fontId="6" fillId="0" borderId="0" xfId="2" applyFont="1"/>
    <xf numFmtId="44" fontId="7" fillId="2" borderId="15" xfId="2" applyFont="1" applyFill="1" applyBorder="1" applyAlignment="1">
      <alignment horizontal="center"/>
    </xf>
    <xf numFmtId="0" fontId="6" fillId="0" borderId="0" xfId="0" applyFont="1" applyAlignment="1">
      <alignment horizontal="center" wrapText="1"/>
    </xf>
    <xf numFmtId="167" fontId="7" fillId="2" borderId="15" xfId="0" applyNumberFormat="1" applyFont="1" applyFill="1" applyBorder="1" applyAlignment="1">
      <alignment horizontal="center" wrapText="1"/>
    </xf>
    <xf numFmtId="0" fontId="0" fillId="0" borderId="9" xfId="0" applyBorder="1" applyAlignment="1">
      <alignment horizontal="center"/>
    </xf>
    <xf numFmtId="0" fontId="0" fillId="0" borderId="16" xfId="0" applyBorder="1" applyAlignment="1">
      <alignment horizontal="center"/>
    </xf>
    <xf numFmtId="0" fontId="0" fillId="0" borderId="8" xfId="0" applyBorder="1" applyAlignment="1">
      <alignment horizontal="center"/>
    </xf>
    <xf numFmtId="0" fontId="10" fillId="0" borderId="0" xfId="0" applyFont="1" applyAlignment="1">
      <alignment horizontal="center"/>
    </xf>
    <xf numFmtId="0" fontId="11" fillId="0" borderId="0" xfId="0" applyFont="1"/>
    <xf numFmtId="0" fontId="12" fillId="0" borderId="0" xfId="0" applyFont="1" applyAlignment="1">
      <alignment horizontal="center"/>
    </xf>
    <xf numFmtId="0" fontId="0" fillId="0" borderId="0" xfId="0" applyAlignment="1">
      <alignment horizontal="right" vertical="top" indent="1"/>
    </xf>
    <xf numFmtId="0" fontId="13" fillId="0" borderId="0" xfId="0" applyFont="1" applyAlignment="1">
      <alignment horizontal="left" wrapText="1"/>
    </xf>
    <xf numFmtId="0" fontId="13" fillId="0" borderId="0" xfId="0" applyFont="1"/>
    <xf numFmtId="0" fontId="9" fillId="0" borderId="0" xfId="4"/>
    <xf numFmtId="0" fontId="14" fillId="0" borderId="0" xfId="4" applyFont="1"/>
    <xf numFmtId="0" fontId="15" fillId="0" borderId="0" xfId="0" applyFont="1"/>
    <xf numFmtId="0" fontId="16" fillId="0" borderId="0" xfId="0" applyFont="1" applyAlignment="1">
      <alignment horizontal="left"/>
    </xf>
    <xf numFmtId="0" fontId="16" fillId="0" borderId="0" xfId="0" applyFont="1" applyAlignment="1">
      <alignment horizontal="center"/>
    </xf>
    <xf numFmtId="0" fontId="16" fillId="0" borderId="0" xfId="0" applyFont="1" applyAlignment="1">
      <alignment horizontal="right"/>
    </xf>
    <xf numFmtId="0" fontId="17" fillId="0" borderId="0" xfId="0" applyFont="1"/>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131732</xdr:rowOff>
    </xdr:to>
    <xdr:pic>
      <xdr:nvPicPr>
        <xdr:cNvPr id="2" name="Picture 1">
          <a:extLst>
            <a:ext uri="{FF2B5EF4-FFF2-40B4-BE49-F238E27FC236}">
              <a16:creationId xmlns:a16="http://schemas.microsoft.com/office/drawing/2014/main" id="{7E6408BF-CFE5-482E-AF0D-2456B5F2E5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7016"/>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729ED6C1-EB69-4375-9F69-64F76B8DE2DC}"/>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AE4D6919-B6AD-464B-BC23-F9C850C55C0F}"/>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F8F56-47E4-4B64-B705-226627070659}">
  <sheetPr>
    <tabColor rgb="FF0070C0"/>
    <pageSetUpPr autoPageBreaks="0"/>
  </sheetPr>
  <dimension ref="A6:K22"/>
  <sheetViews>
    <sheetView showGridLines="0" zoomScale="115" zoomScaleNormal="115" workbookViewId="0">
      <selection activeCell="A9" sqref="A9"/>
    </sheetView>
  </sheetViews>
  <sheetFormatPr defaultRowHeight="14.4" x14ac:dyDescent="0.3"/>
  <sheetData>
    <row r="6" spans="1:10" ht="33.6" x14ac:dyDescent="0.65">
      <c r="A6" s="119" t="s">
        <v>300</v>
      </c>
      <c r="B6" s="119"/>
      <c r="C6" s="119"/>
      <c r="D6" s="119"/>
      <c r="E6" s="119"/>
      <c r="F6" s="119"/>
      <c r="G6" s="119"/>
      <c r="H6" s="119"/>
      <c r="I6" s="119"/>
      <c r="J6" s="119"/>
    </row>
    <row r="7" spans="1:10" ht="6" customHeight="1" x14ac:dyDescent="0.3">
      <c r="A7" s="120"/>
      <c r="B7" s="120"/>
      <c r="C7" s="120"/>
      <c r="D7" s="120"/>
      <c r="E7" s="120"/>
      <c r="F7" s="120"/>
      <c r="G7" s="120"/>
      <c r="H7" s="120"/>
      <c r="I7" s="120"/>
      <c r="J7" s="120"/>
    </row>
    <row r="8" spans="1:10" ht="21" x14ac:dyDescent="0.4">
      <c r="A8" s="121" t="s">
        <v>311</v>
      </c>
      <c r="B8" s="121"/>
      <c r="C8" s="121"/>
      <c r="D8" s="121"/>
      <c r="E8" s="121"/>
      <c r="F8" s="121"/>
      <c r="G8" s="121"/>
      <c r="H8" s="121"/>
      <c r="I8" s="121"/>
      <c r="J8" s="121"/>
    </row>
    <row r="10" spans="1:10" ht="75" customHeight="1" x14ac:dyDescent="0.3">
      <c r="A10" s="122" t="s">
        <v>301</v>
      </c>
      <c r="B10" s="123" t="s">
        <v>302</v>
      </c>
      <c r="C10" s="123"/>
      <c r="D10" s="123"/>
      <c r="E10" s="123"/>
      <c r="F10" s="123"/>
      <c r="G10" s="123"/>
      <c r="H10" s="123"/>
      <c r="I10" s="123"/>
      <c r="J10" s="123"/>
    </row>
    <row r="11" spans="1:10" x14ac:dyDescent="0.3">
      <c r="B11" s="124"/>
      <c r="C11" s="124"/>
      <c r="D11" s="124"/>
      <c r="E11" s="124"/>
      <c r="F11" s="124"/>
      <c r="G11" s="124"/>
      <c r="H11" s="124"/>
      <c r="I11" s="124"/>
      <c r="J11" s="124"/>
    </row>
    <row r="12" spans="1:10" ht="45" customHeight="1" x14ac:dyDescent="0.3">
      <c r="A12" s="122" t="s">
        <v>301</v>
      </c>
      <c r="B12" s="123" t="s">
        <v>303</v>
      </c>
      <c r="C12" s="123"/>
      <c r="D12" s="123"/>
      <c r="E12" s="123"/>
      <c r="F12" s="123"/>
      <c r="G12" s="123"/>
      <c r="H12" s="123"/>
      <c r="I12" s="123"/>
      <c r="J12" s="123"/>
    </row>
    <row r="13" spans="1:10" x14ac:dyDescent="0.3">
      <c r="B13" s="124"/>
      <c r="C13" s="124"/>
      <c r="D13" s="124"/>
      <c r="E13" s="124"/>
      <c r="F13" s="124"/>
      <c r="G13" s="124"/>
      <c r="H13" s="124"/>
      <c r="I13" s="124"/>
      <c r="J13" s="124"/>
    </row>
    <row r="14" spans="1:10" ht="30" customHeight="1" x14ac:dyDescent="0.3">
      <c r="A14" s="122" t="s">
        <v>301</v>
      </c>
      <c r="B14" s="123" t="s">
        <v>304</v>
      </c>
      <c r="C14" s="123"/>
      <c r="D14" s="123"/>
      <c r="E14" s="123"/>
      <c r="F14" s="123"/>
      <c r="G14" s="123"/>
      <c r="H14" s="123"/>
      <c r="I14" s="123"/>
      <c r="J14" s="123"/>
    </row>
    <row r="15" spans="1:10" x14ac:dyDescent="0.3">
      <c r="B15" s="124"/>
      <c r="C15" s="124"/>
      <c r="D15" s="124"/>
      <c r="E15" s="124"/>
      <c r="F15" s="124"/>
      <c r="G15" s="124"/>
      <c r="H15" s="124"/>
      <c r="I15" s="124"/>
      <c r="J15" s="124"/>
    </row>
    <row r="16" spans="1:10" ht="47.4" customHeight="1" x14ac:dyDescent="0.3">
      <c r="A16" s="122" t="s">
        <v>301</v>
      </c>
      <c r="B16" s="123" t="s">
        <v>305</v>
      </c>
      <c r="C16" s="123"/>
      <c r="D16" s="123"/>
      <c r="E16" s="123"/>
      <c r="F16" s="123"/>
      <c r="G16" s="123"/>
      <c r="H16" s="123"/>
      <c r="I16" s="123"/>
      <c r="J16" s="123"/>
    </row>
    <row r="17" spans="1:11" x14ac:dyDescent="0.3">
      <c r="B17" s="124"/>
      <c r="C17" s="124"/>
      <c r="D17" s="124"/>
      <c r="E17" s="124"/>
      <c r="F17" s="124"/>
      <c r="G17" s="124"/>
      <c r="H17" s="124"/>
      <c r="I17" s="124"/>
      <c r="J17" s="124"/>
      <c r="K17" s="125"/>
    </row>
    <row r="18" spans="1:11" ht="75" customHeight="1" x14ac:dyDescent="0.3">
      <c r="A18" s="122" t="s">
        <v>301</v>
      </c>
      <c r="B18" s="123" t="s">
        <v>306</v>
      </c>
      <c r="C18" s="123"/>
      <c r="D18" s="123"/>
      <c r="E18" s="123"/>
      <c r="F18" s="123"/>
      <c r="G18" s="123"/>
      <c r="H18" s="123"/>
      <c r="I18" s="123"/>
      <c r="J18" s="123"/>
    </row>
    <row r="19" spans="1:11" x14ac:dyDescent="0.3">
      <c r="B19" s="126" t="s">
        <v>307</v>
      </c>
      <c r="C19" s="127"/>
      <c r="D19" s="127"/>
      <c r="E19" s="127"/>
      <c r="F19" s="127"/>
      <c r="G19" s="127"/>
      <c r="H19" s="127"/>
      <c r="I19" s="127"/>
      <c r="J19" s="127"/>
    </row>
    <row r="22" spans="1:11" x14ac:dyDescent="0.3">
      <c r="B22" s="128" t="s">
        <v>308</v>
      </c>
      <c r="C22" s="128"/>
      <c r="D22" s="129" t="s">
        <v>309</v>
      </c>
      <c r="E22" s="129"/>
      <c r="F22" s="129"/>
      <c r="G22" s="129"/>
      <c r="H22" s="130" t="s">
        <v>310</v>
      </c>
      <c r="I22" s="130"/>
      <c r="J22" s="130"/>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D0D82B29-E5C5-4335-AC7D-B47A1334BB02}"/>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5E352-69A4-40D8-B12A-5B46CB884639}">
  <sheetPr>
    <tabColor theme="5" tint="0.39997558519241921"/>
  </sheetPr>
  <dimension ref="A1:H21"/>
  <sheetViews>
    <sheetView zoomScale="115" zoomScaleNormal="115" workbookViewId="0"/>
  </sheetViews>
  <sheetFormatPr defaultRowHeight="14.4" x14ac:dyDescent="0.3"/>
  <cols>
    <col min="2" max="2" width="26.6640625" customWidth="1"/>
    <col min="3" max="10" width="11.33203125" customWidth="1"/>
    <col min="13" max="14" width="11.33203125" customWidth="1"/>
  </cols>
  <sheetData>
    <row r="1" spans="1:8" x14ac:dyDescent="0.3">
      <c r="A1" s="131" t="s">
        <v>312</v>
      </c>
    </row>
    <row r="3" spans="1:8" x14ac:dyDescent="0.3">
      <c r="A3" s="9" t="s">
        <v>8</v>
      </c>
    </row>
    <row r="4" spans="1:8" x14ac:dyDescent="0.3">
      <c r="A4" t="s">
        <v>140</v>
      </c>
    </row>
    <row r="5" spans="1:8" x14ac:dyDescent="0.3">
      <c r="A5" s="9"/>
    </row>
    <row r="8" spans="1:8" x14ac:dyDescent="0.3">
      <c r="B8" s="8" t="s">
        <v>7</v>
      </c>
      <c r="C8" s="7"/>
      <c r="D8" s="7"/>
      <c r="E8" s="7"/>
      <c r="F8" s="7"/>
      <c r="G8" s="7"/>
      <c r="H8" s="6"/>
    </row>
    <row r="9" spans="1:8" x14ac:dyDescent="0.3">
      <c r="B9" s="5" t="s">
        <v>200</v>
      </c>
      <c r="C9" s="4"/>
      <c r="D9" s="4"/>
      <c r="E9" s="4"/>
      <c r="F9" s="4"/>
      <c r="G9" s="4"/>
      <c r="H9" s="3"/>
    </row>
    <row r="10" spans="1:8" x14ac:dyDescent="0.3">
      <c r="E10" s="40"/>
      <c r="F10" s="40"/>
      <c r="G10" s="40"/>
      <c r="H10" s="40"/>
    </row>
    <row r="11" spans="1:8" x14ac:dyDescent="0.3">
      <c r="C11" s="14" t="s">
        <v>29</v>
      </c>
      <c r="D11" s="61"/>
      <c r="E11" s="76"/>
      <c r="F11" s="14" t="s">
        <v>28</v>
      </c>
      <c r="G11" s="61"/>
      <c r="H11" s="76"/>
    </row>
    <row r="12" spans="1:8" x14ac:dyDescent="0.3">
      <c r="C12" s="12" t="s">
        <v>138</v>
      </c>
      <c r="D12" s="30" t="s">
        <v>102</v>
      </c>
      <c r="E12" s="57" t="s">
        <v>110</v>
      </c>
      <c r="F12" s="12" t="s">
        <v>138</v>
      </c>
      <c r="G12" s="30" t="s">
        <v>102</v>
      </c>
      <c r="H12" s="57" t="s">
        <v>110</v>
      </c>
    </row>
    <row r="13" spans="1:8" x14ac:dyDescent="0.3">
      <c r="B13" t="s">
        <v>9</v>
      </c>
      <c r="C13" s="17">
        <v>8200</v>
      </c>
      <c r="D13" s="30">
        <v>275</v>
      </c>
      <c r="E13" s="48">
        <v>1.1499999999999999</v>
      </c>
      <c r="F13" s="17">
        <v>8300</v>
      </c>
      <c r="G13" s="30">
        <v>280</v>
      </c>
      <c r="H13" s="48">
        <v>1.1200000000000001</v>
      </c>
    </row>
    <row r="14" spans="1:8" x14ac:dyDescent="0.3">
      <c r="B14" t="s">
        <v>178</v>
      </c>
      <c r="C14" s="17">
        <v>300</v>
      </c>
      <c r="D14" s="30">
        <v>325</v>
      </c>
      <c r="E14" s="48">
        <v>1.2</v>
      </c>
      <c r="F14" s="17">
        <v>275</v>
      </c>
      <c r="G14" s="30">
        <v>335</v>
      </c>
      <c r="H14" s="48">
        <v>1.21</v>
      </c>
    </row>
    <row r="15" spans="1:8" x14ac:dyDescent="0.3">
      <c r="C15" s="12"/>
      <c r="D15" s="12"/>
      <c r="E15" s="57"/>
      <c r="F15" s="57"/>
      <c r="G15" s="57"/>
      <c r="H15" s="57"/>
    </row>
    <row r="16" spans="1:8" x14ac:dyDescent="0.3">
      <c r="B16" t="s">
        <v>199</v>
      </c>
      <c r="E16" s="40"/>
      <c r="F16" s="40"/>
      <c r="G16" s="40"/>
      <c r="H16" s="40"/>
    </row>
    <row r="17" spans="1:8" x14ac:dyDescent="0.3">
      <c r="E17" s="40"/>
      <c r="F17" s="40"/>
      <c r="G17" s="40"/>
      <c r="H17" s="40"/>
    </row>
    <row r="18" spans="1:8" x14ac:dyDescent="0.3">
      <c r="A18" t="s">
        <v>2</v>
      </c>
      <c r="B18" t="s">
        <v>198</v>
      </c>
      <c r="E18" s="40"/>
      <c r="F18" s="40"/>
      <c r="G18" s="40"/>
      <c r="H18" s="40"/>
    </row>
    <row r="19" spans="1:8" x14ac:dyDescent="0.3">
      <c r="E19" s="40"/>
      <c r="F19" s="40"/>
      <c r="G19" s="40"/>
      <c r="H19" s="40"/>
    </row>
    <row r="20" spans="1:8" x14ac:dyDescent="0.3">
      <c r="A20" t="s">
        <v>1</v>
      </c>
      <c r="B20" t="s">
        <v>197</v>
      </c>
      <c r="E20" s="40"/>
      <c r="F20" s="40"/>
      <c r="G20" s="40"/>
      <c r="H20" s="40"/>
    </row>
    <row r="21" spans="1:8" x14ac:dyDescent="0.3">
      <c r="E21" s="40"/>
      <c r="F21" s="40"/>
      <c r="G21" s="40"/>
      <c r="H21" s="40"/>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7E3C4-2228-4686-BBF7-EC30A0A2C990}">
  <sheetPr>
    <tabColor theme="9" tint="0.59999389629810485"/>
  </sheetPr>
  <dimension ref="A1:J47"/>
  <sheetViews>
    <sheetView zoomScale="115" zoomScaleNormal="115" workbookViewId="0"/>
  </sheetViews>
  <sheetFormatPr defaultRowHeight="14.4" x14ac:dyDescent="0.3"/>
  <cols>
    <col min="2" max="2" width="26.6640625" customWidth="1"/>
    <col min="3" max="10" width="11.33203125" customWidth="1"/>
    <col min="13" max="14" width="11.33203125" customWidth="1"/>
  </cols>
  <sheetData>
    <row r="1" spans="1:8" x14ac:dyDescent="0.3">
      <c r="A1" s="131" t="s">
        <v>312</v>
      </c>
    </row>
    <row r="3" spans="1:8" x14ac:dyDescent="0.3">
      <c r="A3" s="9" t="s">
        <v>8</v>
      </c>
    </row>
    <row r="4" spans="1:8" x14ac:dyDescent="0.3">
      <c r="A4" t="s">
        <v>140</v>
      </c>
    </row>
    <row r="5" spans="1:8" x14ac:dyDescent="0.3">
      <c r="A5" s="9"/>
    </row>
    <row r="8" spans="1:8" x14ac:dyDescent="0.3">
      <c r="B8" s="8" t="s">
        <v>7</v>
      </c>
      <c r="C8" s="7"/>
      <c r="D8" s="7"/>
      <c r="E8" s="7"/>
      <c r="F8" s="7"/>
      <c r="G8" s="7"/>
      <c r="H8" s="6"/>
    </row>
    <row r="9" spans="1:8" x14ac:dyDescent="0.3">
      <c r="B9" s="5" t="s">
        <v>200</v>
      </c>
      <c r="C9" s="4"/>
      <c r="D9" s="4"/>
      <c r="E9" s="4"/>
      <c r="F9" s="4"/>
      <c r="G9" s="4"/>
      <c r="H9" s="3"/>
    </row>
    <row r="10" spans="1:8" x14ac:dyDescent="0.3">
      <c r="E10" s="40"/>
      <c r="F10" s="40"/>
      <c r="G10" s="40"/>
      <c r="H10" s="40"/>
    </row>
    <row r="11" spans="1:8" x14ac:dyDescent="0.3">
      <c r="C11" s="14" t="s">
        <v>29</v>
      </c>
      <c r="D11" s="61"/>
      <c r="E11" s="76"/>
      <c r="F11" s="14" t="s">
        <v>28</v>
      </c>
      <c r="G11" s="61"/>
      <c r="H11" s="76"/>
    </row>
    <row r="12" spans="1:8" x14ac:dyDescent="0.3">
      <c r="C12" s="12" t="s">
        <v>138</v>
      </c>
      <c r="D12" s="12" t="s">
        <v>102</v>
      </c>
      <c r="E12" s="57" t="s">
        <v>110</v>
      </c>
      <c r="F12" s="12" t="s">
        <v>138</v>
      </c>
      <c r="G12" s="12" t="s">
        <v>102</v>
      </c>
      <c r="H12" s="57" t="s">
        <v>110</v>
      </c>
    </row>
    <row r="13" spans="1:8" x14ac:dyDescent="0.3">
      <c r="B13" t="s">
        <v>9</v>
      </c>
      <c r="C13" s="17">
        <v>8200</v>
      </c>
      <c r="D13" s="30">
        <v>275</v>
      </c>
      <c r="E13" s="48">
        <v>1.1499999999999999</v>
      </c>
      <c r="F13" s="17">
        <v>8300</v>
      </c>
      <c r="G13" s="30">
        <v>280</v>
      </c>
      <c r="H13" s="48">
        <v>1.1200000000000001</v>
      </c>
    </row>
    <row r="14" spans="1:8" x14ac:dyDescent="0.3">
      <c r="B14" t="s">
        <v>178</v>
      </c>
      <c r="C14" s="17">
        <v>300</v>
      </c>
      <c r="D14" s="30">
        <v>325</v>
      </c>
      <c r="E14" s="48">
        <v>1.2</v>
      </c>
      <c r="F14" s="17">
        <v>275</v>
      </c>
      <c r="G14" s="30">
        <v>335</v>
      </c>
      <c r="H14" s="48">
        <v>1.21</v>
      </c>
    </row>
    <row r="15" spans="1:8" x14ac:dyDescent="0.3">
      <c r="E15" s="40"/>
      <c r="F15" s="40"/>
      <c r="G15" s="40"/>
      <c r="H15" s="40"/>
    </row>
    <row r="16" spans="1:8" x14ac:dyDescent="0.3">
      <c r="B16" t="s">
        <v>199</v>
      </c>
      <c r="E16" s="40"/>
      <c r="F16" s="40"/>
      <c r="G16" s="40"/>
      <c r="H16" s="40"/>
    </row>
    <row r="17" spans="1:10" x14ac:dyDescent="0.3">
      <c r="E17" s="40"/>
      <c r="F17" s="40"/>
      <c r="G17" s="40"/>
      <c r="H17" s="40"/>
    </row>
    <row r="18" spans="1:10" x14ac:dyDescent="0.3">
      <c r="A18" t="s">
        <v>2</v>
      </c>
      <c r="B18" t="s">
        <v>198</v>
      </c>
      <c r="E18" s="40"/>
      <c r="F18" s="40"/>
      <c r="G18" s="40"/>
      <c r="H18" s="40"/>
    </row>
    <row r="19" spans="1:10" x14ac:dyDescent="0.3">
      <c r="E19" s="40"/>
      <c r="F19" s="40"/>
      <c r="G19" s="40"/>
      <c r="H19" s="40"/>
    </row>
    <row r="20" spans="1:10" x14ac:dyDescent="0.3">
      <c r="C20" s="14" t="s">
        <v>29</v>
      </c>
      <c r="D20" s="61"/>
      <c r="E20" s="76"/>
      <c r="F20" s="14" t="s">
        <v>28</v>
      </c>
      <c r="G20" s="61"/>
      <c r="H20" s="76"/>
    </row>
    <row r="21" spans="1:10" x14ac:dyDescent="0.3">
      <c r="C21" s="47" t="s">
        <v>138</v>
      </c>
      <c r="D21" s="47" t="s">
        <v>102</v>
      </c>
      <c r="E21" s="84" t="s">
        <v>110</v>
      </c>
      <c r="F21" s="47" t="s">
        <v>138</v>
      </c>
      <c r="G21" s="47" t="s">
        <v>102</v>
      </c>
      <c r="H21" s="47" t="s">
        <v>110</v>
      </c>
      <c r="J21" s="15" t="s">
        <v>11</v>
      </c>
    </row>
    <row r="22" spans="1:10" x14ac:dyDescent="0.3">
      <c r="B22" t="s">
        <v>9</v>
      </c>
      <c r="C22" s="17">
        <f t="shared" ref="C22:H23" si="0">C13</f>
        <v>8200</v>
      </c>
      <c r="D22" s="49">
        <f t="shared" si="0"/>
        <v>275</v>
      </c>
      <c r="E22" s="48">
        <f t="shared" si="0"/>
        <v>1.1499999999999999</v>
      </c>
      <c r="F22" s="17">
        <f t="shared" si="0"/>
        <v>8300</v>
      </c>
      <c r="G22" s="49">
        <f t="shared" si="0"/>
        <v>280</v>
      </c>
      <c r="H22" s="48">
        <f t="shared" si="0"/>
        <v>1.1200000000000001</v>
      </c>
      <c r="J22" t="s">
        <v>212</v>
      </c>
    </row>
    <row r="23" spans="1:10" x14ac:dyDescent="0.3">
      <c r="B23" t="s">
        <v>178</v>
      </c>
      <c r="C23" s="17">
        <f t="shared" si="0"/>
        <v>300</v>
      </c>
      <c r="D23" s="49">
        <f t="shared" si="0"/>
        <v>325</v>
      </c>
      <c r="E23" s="48">
        <f t="shared" si="0"/>
        <v>1.2</v>
      </c>
      <c r="F23" s="17">
        <f t="shared" si="0"/>
        <v>275</v>
      </c>
      <c r="G23" s="49">
        <f t="shared" si="0"/>
        <v>335</v>
      </c>
      <c r="H23" s="48">
        <f t="shared" si="0"/>
        <v>1.21</v>
      </c>
    </row>
    <row r="24" spans="1:10" x14ac:dyDescent="0.3">
      <c r="B24" t="s">
        <v>204</v>
      </c>
      <c r="C24" s="17">
        <f>C22-C23</f>
        <v>7900</v>
      </c>
      <c r="D24" s="49">
        <f>(D22*C22-C23*D23)/C24</f>
        <v>273.1012658227848</v>
      </c>
      <c r="E24" s="48">
        <f>(E22*C22-C23*E23)/C24</f>
        <v>1.1481012658227847</v>
      </c>
      <c r="F24" s="17">
        <f>F22-F23</f>
        <v>8025</v>
      </c>
      <c r="G24" s="49">
        <f>(G22*F22-F23*G23)/F24</f>
        <v>278.11526479750779</v>
      </c>
      <c r="H24" s="48">
        <f>(H22*F22-F23*H23)/F24</f>
        <v>1.1169158878504672</v>
      </c>
    </row>
    <row r="25" spans="1:10" x14ac:dyDescent="0.3">
      <c r="E25" s="40"/>
      <c r="F25" s="40"/>
      <c r="G25" s="40"/>
      <c r="H25" s="40"/>
    </row>
    <row r="26" spans="1:10" ht="28.8" x14ac:dyDescent="0.3">
      <c r="C26" s="23" t="s">
        <v>211</v>
      </c>
      <c r="G26" s="40"/>
    </row>
    <row r="27" spans="1:10" x14ac:dyDescent="0.3">
      <c r="B27" t="s">
        <v>9</v>
      </c>
      <c r="C27" s="18">
        <f>G22/D22</f>
        <v>1.0181818181818181</v>
      </c>
      <c r="G27" s="78"/>
      <c r="J27" t="s">
        <v>210</v>
      </c>
    </row>
    <row r="28" spans="1:10" x14ac:dyDescent="0.3">
      <c r="B28" t="s">
        <v>178</v>
      </c>
      <c r="C28" s="18">
        <f>G23/D23</f>
        <v>1.0307692307692307</v>
      </c>
      <c r="G28" s="40"/>
    </row>
    <row r="29" spans="1:10" x14ac:dyDescent="0.3">
      <c r="B29" t="s">
        <v>204</v>
      </c>
      <c r="C29" s="18">
        <f>G24/D24</f>
        <v>1.0183594863964365</v>
      </c>
      <c r="G29" s="40"/>
      <c r="J29" t="s">
        <v>209</v>
      </c>
    </row>
    <row r="30" spans="1:10" ht="15" thickBot="1" x14ac:dyDescent="0.35">
      <c r="E30" s="40"/>
      <c r="F30" s="40"/>
      <c r="G30" s="40"/>
      <c r="H30" s="40"/>
    </row>
    <row r="31" spans="1:10" ht="15" thickBot="1" x14ac:dyDescent="0.35">
      <c r="B31" t="s">
        <v>202</v>
      </c>
      <c r="C31" s="77">
        <f>C28-C29</f>
        <v>1.2409744372794185E-2</v>
      </c>
      <c r="E31" s="40"/>
      <c r="F31" s="40"/>
      <c r="G31" s="40"/>
      <c r="H31" s="40"/>
      <c r="J31" t="s">
        <v>208</v>
      </c>
    </row>
    <row r="32" spans="1:10" x14ac:dyDescent="0.3">
      <c r="E32" s="40"/>
      <c r="F32" s="40"/>
      <c r="G32" s="40"/>
      <c r="H32" s="40"/>
    </row>
    <row r="33" spans="1:10" x14ac:dyDescent="0.3">
      <c r="A33" t="s">
        <v>1</v>
      </c>
      <c r="B33" t="s">
        <v>197</v>
      </c>
      <c r="E33" s="40"/>
      <c r="F33" s="40"/>
      <c r="G33" s="40"/>
      <c r="H33" s="40"/>
    </row>
    <row r="34" spans="1:10" x14ac:dyDescent="0.3">
      <c r="E34" s="40"/>
      <c r="F34" s="40"/>
      <c r="G34" s="40"/>
      <c r="H34" s="40"/>
    </row>
    <row r="35" spans="1:10" ht="30" customHeight="1" x14ac:dyDescent="0.3">
      <c r="C35" s="63" t="s">
        <v>207</v>
      </c>
      <c r="D35" s="62"/>
      <c r="G35" s="40"/>
      <c r="H35" s="40"/>
    </row>
    <row r="36" spans="1:10" x14ac:dyDescent="0.3">
      <c r="C36" s="56" t="s">
        <v>29</v>
      </c>
      <c r="D36" s="56" t="s">
        <v>28</v>
      </c>
      <c r="G36" s="40"/>
      <c r="H36" s="40"/>
    </row>
    <row r="37" spans="1:10" x14ac:dyDescent="0.3">
      <c r="B37" t="s">
        <v>9</v>
      </c>
      <c r="C37" s="49">
        <f>D22/E22</f>
        <v>239.13043478260872</v>
      </c>
      <c r="D37" s="49">
        <f>G22/H22</f>
        <v>249.99999999999997</v>
      </c>
      <c r="G37" s="40"/>
      <c r="H37" s="40"/>
      <c r="J37" t="s">
        <v>294</v>
      </c>
    </row>
    <row r="38" spans="1:10" x14ac:dyDescent="0.3">
      <c r="B38" t="s">
        <v>178</v>
      </c>
      <c r="C38" s="49">
        <f>D23/E23</f>
        <v>270.83333333333337</v>
      </c>
      <c r="D38" s="49">
        <f>G23/H23</f>
        <v>276.85950413223139</v>
      </c>
    </row>
    <row r="39" spans="1:10" x14ac:dyDescent="0.3">
      <c r="B39" t="s">
        <v>204</v>
      </c>
      <c r="C39" s="49">
        <f>D24/E24</f>
        <v>237.87210584343993</v>
      </c>
      <c r="D39" s="49">
        <f>G24/H24</f>
        <v>249.00287284188215</v>
      </c>
    </row>
    <row r="41" spans="1:10" ht="28.8" x14ac:dyDescent="0.3">
      <c r="C41" s="47" t="s">
        <v>206</v>
      </c>
      <c r="J41" t="s">
        <v>205</v>
      </c>
    </row>
    <row r="42" spans="1:10" x14ac:dyDescent="0.3">
      <c r="B42" t="s">
        <v>9</v>
      </c>
      <c r="C42" s="21">
        <f>D37/C37</f>
        <v>1.0454545454545452</v>
      </c>
    </row>
    <row r="43" spans="1:10" x14ac:dyDescent="0.3">
      <c r="B43" t="s">
        <v>178</v>
      </c>
      <c r="C43" s="21">
        <f>D38/C38</f>
        <v>1.0222504767959311</v>
      </c>
    </row>
    <row r="44" spans="1:10" x14ac:dyDescent="0.3">
      <c r="B44" t="s">
        <v>204</v>
      </c>
      <c r="C44" s="21">
        <f>D39/C39</f>
        <v>1.0467930737779241</v>
      </c>
      <c r="J44" t="s">
        <v>203</v>
      </c>
    </row>
    <row r="45" spans="1:10" ht="15" thickBot="1" x14ac:dyDescent="0.35">
      <c r="C45" s="12"/>
    </row>
    <row r="46" spans="1:10" ht="15" thickBot="1" x14ac:dyDescent="0.35">
      <c r="B46" t="s">
        <v>202</v>
      </c>
      <c r="C46" s="86">
        <f>C43-C44</f>
        <v>-2.4542596981993015E-2</v>
      </c>
      <c r="J46" t="s">
        <v>201</v>
      </c>
    </row>
    <row r="47" spans="1:10" x14ac:dyDescent="0.3">
      <c r="C47" s="12"/>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FB0B8-7A76-45DC-8017-1D4E353B3FD3}">
  <sheetPr>
    <tabColor theme="5" tint="0.39997558519241921"/>
  </sheetPr>
  <dimension ref="A1:H26"/>
  <sheetViews>
    <sheetView zoomScale="115" zoomScaleNormal="115" workbookViewId="0"/>
  </sheetViews>
  <sheetFormatPr defaultRowHeight="14.4" x14ac:dyDescent="0.3"/>
  <cols>
    <col min="2" max="2" width="26.33203125" customWidth="1"/>
    <col min="3" max="8" width="12.6640625" customWidth="1"/>
    <col min="9" max="10" width="11.33203125" customWidth="1"/>
    <col min="11" max="11" width="12" bestFit="1" customWidth="1"/>
    <col min="13" max="14" width="11.33203125" customWidth="1"/>
    <col min="15" max="15" width="12" bestFit="1" customWidth="1"/>
    <col min="31" max="33" width="10" bestFit="1" customWidth="1"/>
  </cols>
  <sheetData>
    <row r="1" spans="1:8" x14ac:dyDescent="0.3">
      <c r="A1" s="131" t="s">
        <v>312</v>
      </c>
    </row>
    <row r="3" spans="1:8" x14ac:dyDescent="0.3">
      <c r="A3" s="9" t="s">
        <v>8</v>
      </c>
    </row>
    <row r="4" spans="1:8" x14ac:dyDescent="0.3">
      <c r="A4" t="s">
        <v>223</v>
      </c>
    </row>
    <row r="5" spans="1:8" x14ac:dyDescent="0.3">
      <c r="A5" s="9"/>
    </row>
    <row r="8" spans="1:8" x14ac:dyDescent="0.3">
      <c r="B8" s="8" t="s">
        <v>7</v>
      </c>
      <c r="C8" s="7"/>
      <c r="D8" s="7"/>
      <c r="E8" s="7"/>
      <c r="F8" s="7"/>
      <c r="G8" s="7"/>
      <c r="H8" s="6"/>
    </row>
    <row r="9" spans="1:8" x14ac:dyDescent="0.3">
      <c r="B9" s="5" t="s">
        <v>222</v>
      </c>
      <c r="C9" s="4"/>
      <c r="D9" s="4"/>
      <c r="E9" s="4"/>
      <c r="F9" s="4"/>
      <c r="G9" s="4"/>
      <c r="H9" s="3"/>
    </row>
    <row r="10" spans="1:8" x14ac:dyDescent="0.3">
      <c r="E10" s="40"/>
      <c r="F10" s="40"/>
      <c r="G10" s="40"/>
      <c r="H10" s="40"/>
    </row>
    <row r="11" spans="1:8" x14ac:dyDescent="0.3">
      <c r="C11" s="116" t="s">
        <v>138</v>
      </c>
      <c r="D11" s="117"/>
      <c r="E11" s="118"/>
      <c r="F11" s="116" t="s">
        <v>221</v>
      </c>
      <c r="G11" s="117"/>
      <c r="H11" s="118"/>
    </row>
    <row r="12" spans="1:8" x14ac:dyDescent="0.3">
      <c r="C12" s="87" t="s">
        <v>29</v>
      </c>
      <c r="D12" s="87" t="s">
        <v>28</v>
      </c>
      <c r="E12" s="87" t="s">
        <v>27</v>
      </c>
      <c r="F12" s="87" t="s">
        <v>29</v>
      </c>
      <c r="G12" s="87" t="s">
        <v>28</v>
      </c>
      <c r="H12" s="87" t="s">
        <v>27</v>
      </c>
    </row>
    <row r="13" spans="1:8" x14ac:dyDescent="0.3">
      <c r="B13" t="s">
        <v>220</v>
      </c>
      <c r="C13" s="57">
        <v>27859</v>
      </c>
      <c r="D13" s="57">
        <v>28674</v>
      </c>
      <c r="E13" s="57">
        <v>29041</v>
      </c>
      <c r="F13" s="88">
        <v>6540750</v>
      </c>
      <c r="G13" s="88">
        <v>7202926</v>
      </c>
      <c r="H13" s="88">
        <v>7677598</v>
      </c>
    </row>
    <row r="14" spans="1:8" x14ac:dyDescent="0.3">
      <c r="B14" t="s">
        <v>219</v>
      </c>
      <c r="C14" s="57">
        <v>2868</v>
      </c>
      <c r="D14" s="57">
        <v>3011</v>
      </c>
      <c r="E14" s="57">
        <v>3292</v>
      </c>
      <c r="F14" s="88">
        <v>1727049</v>
      </c>
      <c r="G14" s="88">
        <v>1850209</v>
      </c>
      <c r="H14" s="88">
        <v>2098587</v>
      </c>
    </row>
    <row r="15" spans="1:8" x14ac:dyDescent="0.3">
      <c r="B15" t="s">
        <v>218</v>
      </c>
      <c r="C15" s="57">
        <v>1166</v>
      </c>
      <c r="D15" s="57">
        <v>1171</v>
      </c>
      <c r="E15" s="57">
        <v>1215</v>
      </c>
      <c r="F15" s="88">
        <v>444747</v>
      </c>
      <c r="G15" s="88">
        <v>453630</v>
      </c>
      <c r="H15" s="88">
        <v>496767</v>
      </c>
    </row>
    <row r="16" spans="1:8" x14ac:dyDescent="0.3">
      <c r="C16" s="1"/>
      <c r="D16" s="1"/>
      <c r="E16" s="40"/>
      <c r="F16" s="40"/>
      <c r="G16" s="40"/>
      <c r="H16" s="40"/>
    </row>
    <row r="17" spans="1:8" x14ac:dyDescent="0.3">
      <c r="C17" s="1"/>
      <c r="D17" s="19"/>
      <c r="E17" s="40"/>
      <c r="F17" s="40"/>
      <c r="G17" s="40"/>
      <c r="H17" s="40"/>
    </row>
    <row r="18" spans="1:8" x14ac:dyDescent="0.3">
      <c r="C18" s="1"/>
      <c r="D18" s="1"/>
      <c r="E18" s="1"/>
      <c r="F18" s="40"/>
      <c r="G18" s="40"/>
      <c r="H18" s="40"/>
    </row>
    <row r="19" spans="1:8" x14ac:dyDescent="0.3">
      <c r="B19" t="s">
        <v>217</v>
      </c>
      <c r="E19" s="40"/>
      <c r="F19" s="40"/>
      <c r="G19" s="40"/>
      <c r="H19" s="40"/>
    </row>
    <row r="20" spans="1:8" x14ac:dyDescent="0.3">
      <c r="B20" t="s">
        <v>216</v>
      </c>
      <c r="E20" s="40"/>
      <c r="F20" s="40"/>
      <c r="G20" s="40"/>
      <c r="H20" s="40"/>
    </row>
    <row r="21" spans="1:8" x14ac:dyDescent="0.3">
      <c r="E21" s="40"/>
      <c r="F21" s="40"/>
      <c r="G21" s="40"/>
      <c r="H21" s="40"/>
    </row>
    <row r="22" spans="1:8" x14ac:dyDescent="0.3">
      <c r="A22" t="s">
        <v>2</v>
      </c>
      <c r="B22" t="s">
        <v>215</v>
      </c>
      <c r="E22" s="40"/>
      <c r="F22" s="40"/>
      <c r="G22" s="40"/>
      <c r="H22" s="40"/>
    </row>
    <row r="23" spans="1:8" x14ac:dyDescent="0.3">
      <c r="E23" s="40"/>
      <c r="F23" s="40"/>
      <c r="G23" s="40"/>
      <c r="H23" s="40"/>
    </row>
    <row r="24" spans="1:8" x14ac:dyDescent="0.3">
      <c r="A24" t="s">
        <v>128</v>
      </c>
      <c r="B24" t="s">
        <v>214</v>
      </c>
      <c r="E24" s="40"/>
      <c r="F24" s="40"/>
      <c r="G24" s="40"/>
      <c r="H24" s="40"/>
    </row>
    <row r="25" spans="1:8" x14ac:dyDescent="0.3">
      <c r="A25" t="s">
        <v>126</v>
      </c>
      <c r="B25" t="s">
        <v>213</v>
      </c>
      <c r="E25" s="40"/>
      <c r="F25" s="40"/>
      <c r="G25" s="40"/>
      <c r="H25" s="40"/>
    </row>
    <row r="26" spans="1:8" x14ac:dyDescent="0.3">
      <c r="F26" s="40"/>
      <c r="G26" s="40"/>
      <c r="H26" s="40"/>
    </row>
  </sheetData>
  <mergeCells count="2">
    <mergeCell ref="C11:E11"/>
    <mergeCell ref="F11:H11"/>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C52CB-25A5-4869-9F89-882D88D52FE9}">
  <sheetPr>
    <tabColor theme="9" tint="0.59999389629810485"/>
  </sheetPr>
  <dimension ref="A1:H74"/>
  <sheetViews>
    <sheetView zoomScale="115" zoomScaleNormal="115" workbookViewId="0"/>
  </sheetViews>
  <sheetFormatPr defaultRowHeight="14.4" x14ac:dyDescent="0.3"/>
  <cols>
    <col min="2" max="2" width="26.33203125" customWidth="1"/>
    <col min="3" max="8" width="12.6640625" customWidth="1"/>
    <col min="9" max="10" width="11.33203125" customWidth="1"/>
    <col min="11" max="11" width="12" bestFit="1" customWidth="1"/>
    <col min="13" max="14" width="11.33203125" customWidth="1"/>
    <col min="15" max="15" width="12" bestFit="1" customWidth="1"/>
    <col min="31" max="33" width="10" bestFit="1" customWidth="1"/>
  </cols>
  <sheetData>
    <row r="1" spans="1:8" x14ac:dyDescent="0.3">
      <c r="A1" s="131" t="s">
        <v>312</v>
      </c>
    </row>
    <row r="3" spans="1:8" x14ac:dyDescent="0.3">
      <c r="A3" s="9" t="s">
        <v>8</v>
      </c>
    </row>
    <row r="4" spans="1:8" x14ac:dyDescent="0.3">
      <c r="A4" t="s">
        <v>223</v>
      </c>
    </row>
    <row r="5" spans="1:8" x14ac:dyDescent="0.3">
      <c r="A5" s="9"/>
    </row>
    <row r="8" spans="1:8" x14ac:dyDescent="0.3">
      <c r="B8" s="8" t="s">
        <v>7</v>
      </c>
      <c r="C8" s="7"/>
      <c r="D8" s="7"/>
      <c r="E8" s="7"/>
      <c r="F8" s="7"/>
      <c r="G8" s="7"/>
      <c r="H8" s="6"/>
    </row>
    <row r="9" spans="1:8" x14ac:dyDescent="0.3">
      <c r="B9" s="5" t="s">
        <v>222</v>
      </c>
      <c r="C9" s="4"/>
      <c r="D9" s="4"/>
      <c r="E9" s="4"/>
      <c r="F9" s="4"/>
      <c r="G9" s="4"/>
      <c r="H9" s="3"/>
    </row>
    <row r="10" spans="1:8" x14ac:dyDescent="0.3">
      <c r="E10" s="40"/>
      <c r="F10" s="40"/>
      <c r="G10" s="40"/>
      <c r="H10" s="40"/>
    </row>
    <row r="11" spans="1:8" x14ac:dyDescent="0.3">
      <c r="C11" s="116" t="s">
        <v>138</v>
      </c>
      <c r="D11" s="117"/>
      <c r="E11" s="118"/>
      <c r="F11" s="116" t="s">
        <v>221</v>
      </c>
      <c r="G11" s="117"/>
      <c r="H11" s="118"/>
    </row>
    <row r="12" spans="1:8" x14ac:dyDescent="0.3">
      <c r="C12" s="87" t="s">
        <v>29</v>
      </c>
      <c r="D12" s="87" t="s">
        <v>28</v>
      </c>
      <c r="E12" s="87" t="s">
        <v>27</v>
      </c>
      <c r="F12" s="87" t="s">
        <v>29</v>
      </c>
      <c r="G12" s="87" t="s">
        <v>28</v>
      </c>
      <c r="H12" s="87" t="s">
        <v>27</v>
      </c>
    </row>
    <row r="13" spans="1:8" x14ac:dyDescent="0.3">
      <c r="B13" t="s">
        <v>220</v>
      </c>
      <c r="C13" s="57">
        <v>27859</v>
      </c>
      <c r="D13" s="57">
        <v>28674</v>
      </c>
      <c r="E13" s="57">
        <v>29041</v>
      </c>
      <c r="F13" s="88">
        <v>6540750</v>
      </c>
      <c r="G13" s="88">
        <v>7202926</v>
      </c>
      <c r="H13" s="88">
        <v>7677598</v>
      </c>
    </row>
    <row r="14" spans="1:8" x14ac:dyDescent="0.3">
      <c r="B14" t="s">
        <v>219</v>
      </c>
      <c r="C14" s="57">
        <v>2868</v>
      </c>
      <c r="D14" s="57">
        <v>3011</v>
      </c>
      <c r="E14" s="57">
        <v>3292</v>
      </c>
      <c r="F14" s="88">
        <v>1727049</v>
      </c>
      <c r="G14" s="88">
        <v>1850209</v>
      </c>
      <c r="H14" s="88">
        <v>2098587</v>
      </c>
    </row>
    <row r="15" spans="1:8" x14ac:dyDescent="0.3">
      <c r="B15" t="s">
        <v>218</v>
      </c>
      <c r="C15" s="57">
        <v>1166</v>
      </c>
      <c r="D15" s="57">
        <v>1171</v>
      </c>
      <c r="E15" s="57">
        <v>1215</v>
      </c>
      <c r="F15" s="88">
        <v>444747</v>
      </c>
      <c r="G15" s="88">
        <v>453630</v>
      </c>
      <c r="H15" s="88">
        <v>496767</v>
      </c>
    </row>
    <row r="16" spans="1:8" x14ac:dyDescent="0.3">
      <c r="C16" s="1"/>
      <c r="D16" s="1"/>
      <c r="E16" s="40"/>
      <c r="F16" s="40"/>
      <c r="G16" s="40"/>
      <c r="H16" s="40"/>
    </row>
    <row r="17" spans="1:8" x14ac:dyDescent="0.3">
      <c r="C17" s="1"/>
      <c r="D17" s="19"/>
      <c r="E17" s="40"/>
      <c r="F17" s="40"/>
      <c r="G17" s="40"/>
      <c r="H17" s="40"/>
    </row>
    <row r="18" spans="1:8" x14ac:dyDescent="0.3">
      <c r="C18" s="1"/>
      <c r="D18" s="1"/>
      <c r="E18" s="1"/>
      <c r="F18" s="40"/>
      <c r="G18" s="40"/>
      <c r="H18" s="40"/>
    </row>
    <row r="19" spans="1:8" x14ac:dyDescent="0.3">
      <c r="B19" t="s">
        <v>217</v>
      </c>
      <c r="E19" s="40"/>
      <c r="F19" s="40"/>
      <c r="G19" s="40"/>
      <c r="H19" s="40"/>
    </row>
    <row r="20" spans="1:8" x14ac:dyDescent="0.3">
      <c r="B20" t="s">
        <v>216</v>
      </c>
      <c r="E20" s="40"/>
      <c r="F20" s="40"/>
      <c r="G20" s="40"/>
      <c r="H20" s="40"/>
    </row>
    <row r="21" spans="1:8" x14ac:dyDescent="0.3">
      <c r="E21" s="40"/>
      <c r="F21" s="40"/>
      <c r="G21" s="40"/>
      <c r="H21" s="40"/>
    </row>
    <row r="22" spans="1:8" x14ac:dyDescent="0.3">
      <c r="A22" t="s">
        <v>2</v>
      </c>
      <c r="B22" t="s">
        <v>215</v>
      </c>
      <c r="E22" s="40"/>
      <c r="F22" s="40"/>
      <c r="G22" s="40"/>
      <c r="H22" s="40"/>
    </row>
    <row r="23" spans="1:8" x14ac:dyDescent="0.3">
      <c r="E23" s="40"/>
      <c r="F23" s="40"/>
      <c r="G23" s="40"/>
      <c r="H23" s="40"/>
    </row>
    <row r="24" spans="1:8" x14ac:dyDescent="0.3">
      <c r="A24" t="s">
        <v>128</v>
      </c>
      <c r="B24" t="s">
        <v>214</v>
      </c>
      <c r="E24" s="40"/>
      <c r="F24" s="40"/>
      <c r="G24" s="40"/>
      <c r="H24" s="40"/>
    </row>
    <row r="25" spans="1:8" x14ac:dyDescent="0.3">
      <c r="A25" t="s">
        <v>126</v>
      </c>
      <c r="B25" t="s">
        <v>213</v>
      </c>
      <c r="E25" s="40"/>
      <c r="F25" s="40"/>
      <c r="G25" s="40"/>
      <c r="H25" s="40"/>
    </row>
    <row r="26" spans="1:8" x14ac:dyDescent="0.3">
      <c r="F26" s="40"/>
      <c r="G26" s="40"/>
      <c r="H26" s="40"/>
    </row>
    <row r="27" spans="1:8" x14ac:dyDescent="0.3">
      <c r="C27" s="14" t="s">
        <v>248</v>
      </c>
      <c r="D27" s="61"/>
      <c r="E27" s="13"/>
      <c r="F27" s="40"/>
      <c r="G27" s="15" t="s">
        <v>11</v>
      </c>
    </row>
    <row r="28" spans="1:8" x14ac:dyDescent="0.3">
      <c r="B28" t="s">
        <v>233</v>
      </c>
      <c r="C28" s="2">
        <f>SUM(C13:C15)</f>
        <v>31893</v>
      </c>
      <c r="D28" s="2">
        <f>SUM(D13:D15)</f>
        <v>32856</v>
      </c>
      <c r="E28" s="2">
        <f>SUM(E13:E15)</f>
        <v>33548</v>
      </c>
      <c r="F28" s="40"/>
      <c r="G28" t="s">
        <v>247</v>
      </c>
    </row>
    <row r="29" spans="1:8" x14ac:dyDescent="0.3">
      <c r="B29" t="s">
        <v>246</v>
      </c>
      <c r="C29" s="2">
        <f>C28-C30</f>
        <v>29025</v>
      </c>
      <c r="D29" s="2">
        <f>D28-D30</f>
        <v>29845</v>
      </c>
      <c r="E29" s="2">
        <f>E28-E30</f>
        <v>30256</v>
      </c>
      <c r="F29" s="40"/>
      <c r="G29" t="s">
        <v>245</v>
      </c>
    </row>
    <row r="30" spans="1:8" x14ac:dyDescent="0.3">
      <c r="B30" t="s">
        <v>244</v>
      </c>
      <c r="C30" s="2">
        <f>C14</f>
        <v>2868</v>
      </c>
      <c r="D30" s="2">
        <f>D14</f>
        <v>3011</v>
      </c>
      <c r="E30" s="2">
        <f>E14</f>
        <v>3292</v>
      </c>
      <c r="F30" s="40"/>
    </row>
    <row r="31" spans="1:8" x14ac:dyDescent="0.3">
      <c r="B31" t="s">
        <v>236</v>
      </c>
      <c r="C31" s="18">
        <f>C30/C28</f>
        <v>8.992568902266955E-2</v>
      </c>
      <c r="D31" s="18">
        <f>D30/D28</f>
        <v>9.1642317993669342E-2</v>
      </c>
      <c r="E31" s="18">
        <f>E30/E28</f>
        <v>9.8128055323715269E-2</v>
      </c>
      <c r="F31" s="40"/>
      <c r="G31" s="40"/>
    </row>
    <row r="32" spans="1:8" x14ac:dyDescent="0.3">
      <c r="F32" s="40"/>
      <c r="G32" s="40"/>
    </row>
    <row r="33" spans="2:7" x14ac:dyDescent="0.3">
      <c r="B33" t="s">
        <v>24</v>
      </c>
      <c r="F33" s="40"/>
      <c r="G33" s="40"/>
    </row>
    <row r="34" spans="2:7" x14ac:dyDescent="0.3">
      <c r="B34" t="s">
        <v>9</v>
      </c>
      <c r="C34" s="20">
        <f>SUM(F13:F15)/C28</f>
        <v>273.18050982974319</v>
      </c>
      <c r="D34" s="20">
        <f>SUM(G13:G15)/D28</f>
        <v>289.34639030922813</v>
      </c>
      <c r="E34" s="20">
        <f>SUM(H13:H15)/E28</f>
        <v>306.21652557529512</v>
      </c>
      <c r="F34" s="40"/>
      <c r="G34" s="40" t="s">
        <v>243</v>
      </c>
    </row>
    <row r="35" spans="2:7" x14ac:dyDescent="0.3">
      <c r="B35" t="s">
        <v>235</v>
      </c>
      <c r="C35" s="20">
        <f>SUM(F13,F15)/C29</f>
        <v>240.67173126614986</v>
      </c>
      <c r="D35" s="20">
        <f>SUM(G13,G15)/D29</f>
        <v>256.544010722064</v>
      </c>
      <c r="E35" s="20">
        <f>SUM(H13,H15)/E29</f>
        <v>270.17335404547856</v>
      </c>
      <c r="F35" s="40"/>
      <c r="G35" s="40"/>
    </row>
    <row r="36" spans="2:7" x14ac:dyDescent="0.3">
      <c r="B36" t="s">
        <v>234</v>
      </c>
      <c r="C36" s="20">
        <f>F14/C30</f>
        <v>602.17887029288704</v>
      </c>
      <c r="D36" s="20">
        <f>G14/D30</f>
        <v>614.4832281634009</v>
      </c>
      <c r="E36" s="20">
        <f>H14/E30</f>
        <v>637.4808626974484</v>
      </c>
      <c r="F36" s="40"/>
      <c r="G36" s="40"/>
    </row>
    <row r="37" spans="2:7" x14ac:dyDescent="0.3">
      <c r="C37" s="20"/>
      <c r="D37" s="20"/>
      <c r="E37" s="20"/>
      <c r="F37" s="40"/>
      <c r="G37" s="40"/>
    </row>
    <row r="38" spans="2:7" x14ac:dyDescent="0.3">
      <c r="B38" t="s">
        <v>18</v>
      </c>
      <c r="F38" s="40"/>
      <c r="G38" s="40"/>
    </row>
    <row r="39" spans="2:7" x14ac:dyDescent="0.3">
      <c r="B39" t="s">
        <v>9</v>
      </c>
      <c r="D39" s="18">
        <f t="shared" ref="D39:E41" si="0">D34/C34-1</f>
        <v>5.9176551392923882E-2</v>
      </c>
      <c r="E39" s="18">
        <f t="shared" si="0"/>
        <v>5.8304287978286684E-2</v>
      </c>
      <c r="F39" s="40"/>
      <c r="G39" s="40" t="s">
        <v>242</v>
      </c>
    </row>
    <row r="40" spans="2:7" x14ac:dyDescent="0.3">
      <c r="B40" t="s">
        <v>235</v>
      </c>
      <c r="D40" s="18">
        <f t="shared" si="0"/>
        <v>6.5949911825587737E-2</v>
      </c>
      <c r="E40" s="18">
        <f t="shared" si="0"/>
        <v>5.3126725839569122E-2</v>
      </c>
      <c r="F40" s="40"/>
      <c r="G40" s="40"/>
    </row>
    <row r="41" spans="2:7" x14ac:dyDescent="0.3">
      <c r="B41" t="s">
        <v>234</v>
      </c>
      <c r="D41" s="18">
        <f t="shared" si="0"/>
        <v>2.0433061466486269E-2</v>
      </c>
      <c r="E41" s="18">
        <f t="shared" si="0"/>
        <v>3.7425975974615389E-2</v>
      </c>
      <c r="F41" s="40"/>
      <c r="G41" s="40"/>
    </row>
    <row r="42" spans="2:7" x14ac:dyDescent="0.3">
      <c r="F42" s="40"/>
      <c r="G42" s="40"/>
    </row>
    <row r="43" spans="2:7" x14ac:dyDescent="0.3">
      <c r="B43" t="s">
        <v>230</v>
      </c>
      <c r="D43" s="20">
        <f>C36*(1+D40)</f>
        <v>641.89251369193494</v>
      </c>
      <c r="E43" s="20">
        <f>D43*(1+E40)</f>
        <v>675.99416128531823</v>
      </c>
      <c r="F43" s="40"/>
      <c r="G43" s="40" t="s">
        <v>241</v>
      </c>
    </row>
    <row r="44" spans="2:7" ht="15" thickBot="1" x14ac:dyDescent="0.35">
      <c r="B44" t="s">
        <v>229</v>
      </c>
      <c r="D44" s="20">
        <f>D43-D36</f>
        <v>27.409285528534042</v>
      </c>
      <c r="E44" s="20">
        <f>E43-E36</f>
        <v>38.513298587869826</v>
      </c>
      <c r="F44" s="40"/>
      <c r="G44" s="40" t="s">
        <v>240</v>
      </c>
    </row>
    <row r="45" spans="2:7" ht="15" thickBot="1" x14ac:dyDescent="0.35">
      <c r="B45" t="s">
        <v>228</v>
      </c>
      <c r="D45" s="44">
        <f>D44*D30*12/1000000</f>
        <v>0.99035230471699198</v>
      </c>
      <c r="E45" s="43">
        <f>E44*E30*12/1000000</f>
        <v>1.5214293474152094</v>
      </c>
      <c r="F45" s="40"/>
      <c r="G45" s="40" t="s">
        <v>239</v>
      </c>
    </row>
    <row r="46" spans="2:7" x14ac:dyDescent="0.3">
      <c r="D46" s="16"/>
      <c r="E46" s="16"/>
      <c r="F46" s="40"/>
      <c r="G46" s="40"/>
    </row>
    <row r="47" spans="2:7" x14ac:dyDescent="0.3">
      <c r="D47" s="16"/>
      <c r="E47" s="16"/>
      <c r="F47" s="40"/>
      <c r="G47" s="40"/>
    </row>
    <row r="48" spans="2:7" x14ac:dyDescent="0.3">
      <c r="C48" s="14" t="s">
        <v>225</v>
      </c>
      <c r="D48" s="61"/>
      <c r="E48" s="13"/>
      <c r="F48" s="40"/>
      <c r="G48" s="40"/>
    </row>
    <row r="49" spans="2:7" x14ac:dyDescent="0.3">
      <c r="B49" t="s">
        <v>233</v>
      </c>
      <c r="C49" s="2">
        <f>SUM(C13:C15)</f>
        <v>31893</v>
      </c>
      <c r="D49" s="2">
        <f>SUM(D13:D15)</f>
        <v>32856</v>
      </c>
      <c r="E49" s="2">
        <f>SUM(E13:E15)</f>
        <v>33548</v>
      </c>
      <c r="F49" s="40"/>
      <c r="G49" s="40" t="s">
        <v>238</v>
      </c>
    </row>
    <row r="50" spans="2:7" x14ac:dyDescent="0.3">
      <c r="B50" t="s">
        <v>232</v>
      </c>
      <c r="C50" s="2">
        <f>C49-C51</f>
        <v>27859</v>
      </c>
      <c r="D50" s="2">
        <f>D49-D51</f>
        <v>28674</v>
      </c>
      <c r="E50" s="2">
        <f>E49-E51</f>
        <v>29041</v>
      </c>
      <c r="F50" s="40"/>
      <c r="G50" s="40" t="s">
        <v>237</v>
      </c>
    </row>
    <row r="51" spans="2:7" x14ac:dyDescent="0.3">
      <c r="B51" t="s">
        <v>231</v>
      </c>
      <c r="C51" s="2">
        <f>SUM(C14:C15)</f>
        <v>4034</v>
      </c>
      <c r="D51" s="2">
        <f>SUM(D14:D15)</f>
        <v>4182</v>
      </c>
      <c r="E51" s="2">
        <f>SUM(E14:E15)</f>
        <v>4507</v>
      </c>
      <c r="F51" s="40"/>
      <c r="G51" s="40"/>
    </row>
    <row r="52" spans="2:7" x14ac:dyDescent="0.3">
      <c r="B52" t="s">
        <v>236</v>
      </c>
      <c r="C52" s="18">
        <f>C51/C49</f>
        <v>0.12648543567554008</v>
      </c>
      <c r="D52" s="18">
        <f>D51/D49</f>
        <v>0.12728268809349891</v>
      </c>
      <c r="E52" s="18">
        <f>E51/E49</f>
        <v>0.13434481936330034</v>
      </c>
      <c r="F52" s="40"/>
      <c r="G52" s="40"/>
    </row>
    <row r="53" spans="2:7" x14ac:dyDescent="0.3">
      <c r="F53" s="40"/>
      <c r="G53" s="40"/>
    </row>
    <row r="54" spans="2:7" x14ac:dyDescent="0.3">
      <c r="B54" t="s">
        <v>24</v>
      </c>
      <c r="F54" s="40"/>
      <c r="G54" s="40"/>
    </row>
    <row r="55" spans="2:7" x14ac:dyDescent="0.3">
      <c r="B55" t="s">
        <v>9</v>
      </c>
      <c r="C55" s="20">
        <f>SUM(F13:F15)/C49</f>
        <v>273.18050982974319</v>
      </c>
      <c r="D55" s="20">
        <f>SUM(G13:G15)/D49</f>
        <v>289.34639030922813</v>
      </c>
      <c r="E55" s="20">
        <f>SUM(H13:H15)/E49</f>
        <v>306.21652557529512</v>
      </c>
      <c r="F55" s="40"/>
      <c r="G55" s="40"/>
    </row>
    <row r="56" spans="2:7" x14ac:dyDescent="0.3">
      <c r="B56" t="s">
        <v>235</v>
      </c>
      <c r="C56" s="20">
        <f>F13/C13</f>
        <v>234.78050181269967</v>
      </c>
      <c r="D56" s="20">
        <f>G13/D13</f>
        <v>251.20059984655089</v>
      </c>
      <c r="E56" s="20">
        <f>H13/E13</f>
        <v>264.37099273440998</v>
      </c>
      <c r="F56" s="40"/>
      <c r="G56" s="40"/>
    </row>
    <row r="57" spans="2:7" x14ac:dyDescent="0.3">
      <c r="B57" t="s">
        <v>234</v>
      </c>
      <c r="C57" s="20">
        <f>SUM(F14:F15)/C51</f>
        <v>538.37283093703525</v>
      </c>
      <c r="D57" s="20">
        <f>SUM(G14:G15)/D51</f>
        <v>550.89406982305115</v>
      </c>
      <c r="E57" s="20">
        <f>SUM(H14:H15)/E51</f>
        <v>575.84956733969386</v>
      </c>
      <c r="F57" s="40"/>
      <c r="G57" s="40"/>
    </row>
    <row r="58" spans="2:7" x14ac:dyDescent="0.3">
      <c r="C58" s="20"/>
      <c r="D58" s="20"/>
      <c r="E58" s="20"/>
      <c r="F58" s="40"/>
      <c r="G58" s="40"/>
    </row>
    <row r="59" spans="2:7" x14ac:dyDescent="0.3">
      <c r="B59" t="s">
        <v>18</v>
      </c>
      <c r="F59" s="40"/>
      <c r="G59" s="40"/>
    </row>
    <row r="60" spans="2:7" x14ac:dyDescent="0.3">
      <c r="B60" t="s">
        <v>233</v>
      </c>
      <c r="D60" s="18">
        <f t="shared" ref="D60:E62" si="1">D55/C55-1</f>
        <v>5.9176551392923882E-2</v>
      </c>
      <c r="E60" s="18">
        <f t="shared" si="1"/>
        <v>5.8304287978286684E-2</v>
      </c>
      <c r="F60" s="40"/>
      <c r="G60" s="40"/>
    </row>
    <row r="61" spans="2:7" x14ac:dyDescent="0.3">
      <c r="B61" t="s">
        <v>232</v>
      </c>
      <c r="D61" s="18">
        <f t="shared" si="1"/>
        <v>6.9938082196240758E-2</v>
      </c>
      <c r="E61" s="18">
        <f t="shared" si="1"/>
        <v>5.2429782794724211E-2</v>
      </c>
      <c r="F61" s="40"/>
      <c r="G61" s="40"/>
    </row>
    <row r="62" spans="2:7" x14ac:dyDescent="0.3">
      <c r="B62" t="s">
        <v>231</v>
      </c>
      <c r="D62" s="18">
        <f t="shared" si="1"/>
        <v>2.3257560869523797E-2</v>
      </c>
      <c r="E62" s="18">
        <f t="shared" si="1"/>
        <v>4.5299993018001583E-2</v>
      </c>
      <c r="F62" s="40"/>
      <c r="G62" s="40"/>
    </row>
    <row r="63" spans="2:7" x14ac:dyDescent="0.3">
      <c r="F63" s="40"/>
      <c r="G63" s="40"/>
    </row>
    <row r="64" spans="2:7" x14ac:dyDescent="0.3">
      <c r="B64" t="s">
        <v>230</v>
      </c>
      <c r="D64" s="20">
        <f>C57*(1+D61)</f>
        <v>576.02559423933246</v>
      </c>
      <c r="E64" s="20">
        <f>D64*(1+E61)</f>
        <v>606.22649102950265</v>
      </c>
      <c r="F64" s="40"/>
      <c r="G64" s="40"/>
    </row>
    <row r="65" spans="2:8" ht="15" thickBot="1" x14ac:dyDescent="0.35">
      <c r="B65" t="s">
        <v>229</v>
      </c>
      <c r="D65" s="20">
        <f>D64-D57</f>
        <v>25.131524416281309</v>
      </c>
      <c r="E65" s="20">
        <f>E64-E57</f>
        <v>30.376923689808791</v>
      </c>
      <c r="F65" s="40"/>
      <c r="G65" s="40"/>
    </row>
    <row r="66" spans="2:8" ht="15" thickBot="1" x14ac:dyDescent="0.35">
      <c r="B66" t="s">
        <v>228</v>
      </c>
      <c r="D66" s="89">
        <f>D65*D51*12/1000000</f>
        <v>1.2612004213066614</v>
      </c>
      <c r="E66" s="90">
        <f>E65*E51*12/1000000</f>
        <v>1.6429055408396185</v>
      </c>
      <c r="F66" s="40"/>
      <c r="G66" s="40"/>
    </row>
    <row r="67" spans="2:8" x14ac:dyDescent="0.3">
      <c r="D67" s="16"/>
      <c r="E67" s="16"/>
      <c r="F67" s="40"/>
      <c r="G67" s="40"/>
    </row>
    <row r="68" spans="2:8" x14ac:dyDescent="0.3">
      <c r="D68" s="16"/>
      <c r="E68" s="16"/>
      <c r="F68" s="40"/>
      <c r="G68" s="40"/>
    </row>
    <row r="69" spans="2:8" x14ac:dyDescent="0.3">
      <c r="B69" t="s">
        <v>227</v>
      </c>
      <c r="D69" s="16"/>
      <c r="E69" s="16"/>
      <c r="F69" s="40"/>
      <c r="G69" s="40"/>
    </row>
    <row r="70" spans="2:8" x14ac:dyDescent="0.3">
      <c r="B70" t="s">
        <v>219</v>
      </c>
      <c r="D70" s="20">
        <f>D45</f>
        <v>0.99035230471699198</v>
      </c>
      <c r="E70" s="20">
        <f>E45</f>
        <v>1.5214293474152094</v>
      </c>
      <c r="F70" s="40"/>
      <c r="G70" s="40" t="s">
        <v>226</v>
      </c>
    </row>
    <row r="71" spans="2:8" ht="15" thickBot="1" x14ac:dyDescent="0.35">
      <c r="B71" t="s">
        <v>225</v>
      </c>
      <c r="D71" s="20">
        <f>D66</f>
        <v>1.2612004213066614</v>
      </c>
      <c r="E71" s="20">
        <f>E66</f>
        <v>1.6429055408396185</v>
      </c>
      <c r="F71" s="40"/>
      <c r="G71" s="40"/>
      <c r="H71" s="40"/>
    </row>
    <row r="72" spans="2:8" ht="15" thickBot="1" x14ac:dyDescent="0.35">
      <c r="B72" t="s">
        <v>224</v>
      </c>
      <c r="D72" s="89">
        <f>D71-D70</f>
        <v>0.27084811658966945</v>
      </c>
      <c r="E72" s="90">
        <f>E71-E70</f>
        <v>0.12147619342440907</v>
      </c>
      <c r="F72" s="40"/>
      <c r="G72" s="40"/>
      <c r="H72" s="40"/>
    </row>
    <row r="73" spans="2:8" x14ac:dyDescent="0.3">
      <c r="D73" s="16"/>
      <c r="E73" s="16"/>
      <c r="F73" s="40"/>
      <c r="G73" s="40"/>
      <c r="H73" s="40"/>
    </row>
    <row r="74" spans="2:8" x14ac:dyDescent="0.3">
      <c r="D74" s="16"/>
      <c r="E74" s="16"/>
      <c r="F74" s="40"/>
      <c r="G74" s="40"/>
      <c r="H74" s="40"/>
    </row>
  </sheetData>
  <mergeCells count="2">
    <mergeCell ref="C11:E11"/>
    <mergeCell ref="F11:H11"/>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0BB4B-5D6A-4BFF-BB42-DA7C39E50181}">
  <sheetPr>
    <tabColor theme="5" tint="0.39997558519241921"/>
  </sheetPr>
  <dimension ref="A1:R35"/>
  <sheetViews>
    <sheetView zoomScale="115" zoomScaleNormal="115" workbookViewId="0"/>
  </sheetViews>
  <sheetFormatPr defaultColWidth="8.88671875" defaultRowHeight="14.4" x14ac:dyDescent="0.3"/>
  <cols>
    <col min="1" max="1" width="8.88671875" style="92"/>
    <col min="2" max="2" width="27.5546875" style="92" customWidth="1"/>
    <col min="3" max="6" width="11.6640625" style="92" customWidth="1"/>
    <col min="7" max="7" width="10.5546875" style="92" customWidth="1"/>
    <col min="8" max="8" width="18" style="92" customWidth="1"/>
    <col min="9" max="12" width="11.6640625" style="92" customWidth="1"/>
    <col min="13" max="13" width="10.5546875" style="92" customWidth="1"/>
    <col min="14" max="14" width="27.5546875" style="92" customWidth="1"/>
    <col min="15" max="18" width="11.6640625" style="92" customWidth="1"/>
    <col min="19" max="30" width="8.88671875" style="92"/>
    <col min="31" max="33" width="10" style="92" bestFit="1" customWidth="1"/>
    <col min="34" max="16384" width="8.88671875" style="92"/>
  </cols>
  <sheetData>
    <row r="1" spans="1:18" x14ac:dyDescent="0.3">
      <c r="A1" s="131" t="s">
        <v>312</v>
      </c>
    </row>
    <row r="3" spans="1:18" x14ac:dyDescent="0.3">
      <c r="A3" s="91" t="s">
        <v>8</v>
      </c>
    </row>
    <row r="4" spans="1:18" x14ac:dyDescent="0.3">
      <c r="A4" s="92" t="s">
        <v>249</v>
      </c>
    </row>
    <row r="5" spans="1:18" x14ac:dyDescent="0.3">
      <c r="A5" s="91"/>
    </row>
    <row r="8" spans="1:18" x14ac:dyDescent="0.3">
      <c r="B8" s="93" t="s">
        <v>7</v>
      </c>
      <c r="C8" s="94"/>
      <c r="D8" s="94"/>
      <c r="E8" s="94"/>
      <c r="F8" s="95"/>
      <c r="H8" s="93" t="s">
        <v>6</v>
      </c>
      <c r="I8" s="94"/>
      <c r="J8" s="94"/>
      <c r="K8" s="94"/>
      <c r="L8" s="95"/>
      <c r="N8" s="93" t="s">
        <v>5</v>
      </c>
      <c r="O8" s="94"/>
      <c r="P8" s="94"/>
      <c r="Q8" s="94"/>
      <c r="R8" s="95"/>
    </row>
    <row r="9" spans="1:18" x14ac:dyDescent="0.3">
      <c r="B9" s="96" t="s">
        <v>267</v>
      </c>
      <c r="C9" s="97"/>
      <c r="D9" s="97"/>
      <c r="E9" s="97"/>
      <c r="F9" s="98"/>
      <c r="H9" s="96" t="s">
        <v>266</v>
      </c>
      <c r="I9" s="97"/>
      <c r="J9" s="97"/>
      <c r="K9" s="97"/>
      <c r="L9" s="98"/>
      <c r="N9" s="96" t="s">
        <v>265</v>
      </c>
      <c r="O9" s="97"/>
      <c r="P9" s="97"/>
      <c r="Q9" s="97"/>
      <c r="R9" s="98"/>
    </row>
    <row r="10" spans="1:18" x14ac:dyDescent="0.3">
      <c r="E10" s="99"/>
      <c r="F10" s="99"/>
      <c r="G10" s="99"/>
      <c r="H10" s="99"/>
      <c r="I10" s="99"/>
      <c r="J10" s="99"/>
    </row>
    <row r="11" spans="1:18" x14ac:dyDescent="0.3">
      <c r="C11" s="100" t="s">
        <v>254</v>
      </c>
      <c r="D11" s="101"/>
      <c r="E11" s="100" t="s">
        <v>253</v>
      </c>
      <c r="F11" s="101"/>
      <c r="G11" s="99"/>
      <c r="H11" s="99"/>
      <c r="I11" s="100" t="s">
        <v>254</v>
      </c>
      <c r="J11" s="101"/>
      <c r="K11" s="100" t="s">
        <v>253</v>
      </c>
      <c r="L11" s="101"/>
      <c r="O11" s="100" t="s">
        <v>254</v>
      </c>
      <c r="P11" s="101"/>
      <c r="Q11" s="100" t="s">
        <v>253</v>
      </c>
      <c r="R11" s="101"/>
    </row>
    <row r="12" spans="1:18" x14ac:dyDescent="0.3">
      <c r="B12" s="92" t="s">
        <v>264</v>
      </c>
      <c r="C12" s="102" t="s">
        <v>252</v>
      </c>
      <c r="D12" s="102" t="s">
        <v>251</v>
      </c>
      <c r="E12" s="102" t="s">
        <v>252</v>
      </c>
      <c r="F12" s="102" t="s">
        <v>251</v>
      </c>
      <c r="G12" s="99"/>
      <c r="I12" s="102" t="s">
        <v>252</v>
      </c>
      <c r="J12" s="102" t="s">
        <v>251</v>
      </c>
      <c r="K12" s="102" t="s">
        <v>252</v>
      </c>
      <c r="L12" s="102" t="s">
        <v>251</v>
      </c>
      <c r="N12" s="92" t="s">
        <v>264</v>
      </c>
      <c r="O12" s="102" t="s">
        <v>252</v>
      </c>
      <c r="P12" s="102" t="s">
        <v>251</v>
      </c>
      <c r="Q12" s="102" t="s">
        <v>252</v>
      </c>
      <c r="R12" s="102" t="s">
        <v>251</v>
      </c>
    </row>
    <row r="13" spans="1:18" x14ac:dyDescent="0.3">
      <c r="B13" s="92" t="s">
        <v>17</v>
      </c>
      <c r="C13" s="103">
        <v>12011</v>
      </c>
      <c r="D13" s="103">
        <v>12054</v>
      </c>
      <c r="E13" s="103">
        <v>13310</v>
      </c>
      <c r="F13" s="103">
        <v>12087</v>
      </c>
      <c r="H13" s="92" t="s">
        <v>263</v>
      </c>
      <c r="I13" s="103">
        <v>2230</v>
      </c>
      <c r="J13" s="103">
        <v>2160</v>
      </c>
      <c r="K13" s="103">
        <v>2353</v>
      </c>
      <c r="L13" s="103">
        <v>2119</v>
      </c>
      <c r="N13" s="92" t="s">
        <v>262</v>
      </c>
      <c r="O13" s="104">
        <v>379.48540798094103</v>
      </c>
      <c r="P13" s="104">
        <v>315</v>
      </c>
      <c r="Q13" s="104">
        <v>342</v>
      </c>
      <c r="R13" s="104">
        <v>281</v>
      </c>
    </row>
    <row r="14" spans="1:18" x14ac:dyDescent="0.3">
      <c r="B14" s="92" t="s">
        <v>261</v>
      </c>
      <c r="C14" s="103">
        <v>3300</v>
      </c>
      <c r="D14" s="103">
        <v>2899</v>
      </c>
      <c r="E14" s="103">
        <v>2783</v>
      </c>
      <c r="F14" s="103">
        <v>2962</v>
      </c>
      <c r="I14" s="105"/>
      <c r="J14" s="105"/>
      <c r="K14" s="105"/>
      <c r="L14" s="105"/>
      <c r="N14" s="92" t="s">
        <v>260</v>
      </c>
      <c r="O14" s="104">
        <v>429</v>
      </c>
      <c r="P14" s="104">
        <v>405</v>
      </c>
      <c r="Q14" s="104">
        <v>386</v>
      </c>
      <c r="R14" s="104">
        <v>380</v>
      </c>
    </row>
    <row r="15" spans="1:18" x14ac:dyDescent="0.3">
      <c r="B15" s="92" t="s">
        <v>16</v>
      </c>
      <c r="C15" s="103">
        <v>5668</v>
      </c>
      <c r="D15" s="103">
        <v>5428</v>
      </c>
      <c r="E15" s="103">
        <v>4502</v>
      </c>
      <c r="F15" s="103">
        <v>5124</v>
      </c>
      <c r="N15" s="92" t="s">
        <v>15</v>
      </c>
      <c r="O15" s="104">
        <v>319</v>
      </c>
      <c r="P15" s="104">
        <v>281</v>
      </c>
      <c r="Q15" s="104">
        <v>293</v>
      </c>
      <c r="R15" s="104">
        <v>269</v>
      </c>
    </row>
    <row r="16" spans="1:18" x14ac:dyDescent="0.3">
      <c r="B16" s="92" t="s">
        <v>259</v>
      </c>
      <c r="C16" s="103">
        <v>1579</v>
      </c>
      <c r="D16" s="103">
        <v>1656</v>
      </c>
      <c r="E16" s="103">
        <v>1770</v>
      </c>
      <c r="F16" s="103">
        <v>1564</v>
      </c>
      <c r="N16" s="92" t="s">
        <v>258</v>
      </c>
      <c r="O16" s="104">
        <v>1179</v>
      </c>
      <c r="P16" s="104">
        <v>1075</v>
      </c>
      <c r="Q16" s="104">
        <v>1081</v>
      </c>
      <c r="R16" s="104">
        <v>1110</v>
      </c>
    </row>
    <row r="17" spans="1:18" x14ac:dyDescent="0.3">
      <c r="B17" s="92" t="s">
        <v>257</v>
      </c>
      <c r="C17" s="103">
        <v>1814</v>
      </c>
      <c r="D17" s="103">
        <v>1134</v>
      </c>
      <c r="E17" s="103">
        <v>1517</v>
      </c>
      <c r="F17" s="103">
        <v>1090</v>
      </c>
      <c r="N17" s="92" t="s">
        <v>256</v>
      </c>
      <c r="O17" s="104">
        <v>662</v>
      </c>
      <c r="P17" s="104">
        <v>656</v>
      </c>
      <c r="Q17" s="104">
        <v>576</v>
      </c>
      <c r="R17" s="104">
        <v>604</v>
      </c>
    </row>
    <row r="18" spans="1:18" x14ac:dyDescent="0.3">
      <c r="N18" s="92" t="s">
        <v>255</v>
      </c>
      <c r="O18" s="104">
        <v>499</v>
      </c>
      <c r="P18" s="104">
        <v>498</v>
      </c>
      <c r="Q18" s="104">
        <v>611</v>
      </c>
      <c r="R18" s="104">
        <v>582</v>
      </c>
    </row>
    <row r="19" spans="1:18" x14ac:dyDescent="0.3">
      <c r="G19" s="99"/>
    </row>
    <row r="20" spans="1:18" x14ac:dyDescent="0.3">
      <c r="B20" s="93" t="s">
        <v>12</v>
      </c>
      <c r="C20" s="94"/>
      <c r="D20" s="94"/>
      <c r="E20" s="94"/>
      <c r="F20" s="95"/>
      <c r="G20" s="99"/>
    </row>
    <row r="21" spans="1:18" x14ac:dyDescent="0.3">
      <c r="B21" s="96" t="s">
        <v>250</v>
      </c>
      <c r="C21" s="97"/>
      <c r="D21" s="97"/>
      <c r="E21" s="97"/>
      <c r="F21" s="98"/>
      <c r="G21" s="99"/>
    </row>
    <row r="22" spans="1:18" x14ac:dyDescent="0.3">
      <c r="C22" s="106"/>
      <c r="D22" s="106"/>
      <c r="E22" s="106"/>
      <c r="F22" s="99"/>
      <c r="G22" s="99"/>
      <c r="I22" s="106"/>
      <c r="J22" s="106"/>
      <c r="K22" s="106"/>
    </row>
    <row r="23" spans="1:18" x14ac:dyDescent="0.3">
      <c r="C23" s="100" t="s">
        <v>254</v>
      </c>
      <c r="D23" s="101"/>
      <c r="E23" s="100" t="s">
        <v>253</v>
      </c>
      <c r="F23" s="101"/>
      <c r="G23" s="99"/>
      <c r="I23" s="106"/>
      <c r="J23" s="106"/>
      <c r="K23" s="106"/>
    </row>
    <row r="24" spans="1:18" x14ac:dyDescent="0.3">
      <c r="C24" s="102" t="s">
        <v>252</v>
      </c>
      <c r="D24" s="102" t="s">
        <v>251</v>
      </c>
      <c r="E24" s="102" t="s">
        <v>252</v>
      </c>
      <c r="F24" s="102" t="s">
        <v>251</v>
      </c>
      <c r="G24" s="99"/>
      <c r="I24" s="106"/>
      <c r="J24" s="106"/>
      <c r="K24" s="106"/>
    </row>
    <row r="25" spans="1:18" x14ac:dyDescent="0.3">
      <c r="B25" s="92" t="s">
        <v>250</v>
      </c>
      <c r="C25" s="107">
        <v>20220</v>
      </c>
      <c r="D25" s="107">
        <v>661677</v>
      </c>
      <c r="E25" s="107">
        <v>1572</v>
      </c>
      <c r="F25" s="107">
        <v>55707</v>
      </c>
      <c r="G25" s="99"/>
      <c r="I25" s="106"/>
      <c r="J25" s="106"/>
      <c r="K25" s="106"/>
    </row>
    <row r="26" spans="1:18" x14ac:dyDescent="0.3">
      <c r="C26" s="106"/>
      <c r="D26" s="106"/>
      <c r="E26" s="106"/>
      <c r="F26" s="99"/>
      <c r="G26" s="99"/>
      <c r="I26" s="106"/>
      <c r="J26" s="106"/>
      <c r="K26" s="106"/>
    </row>
    <row r="27" spans="1:18" x14ac:dyDescent="0.3">
      <c r="B27" s="92" t="s">
        <v>296</v>
      </c>
      <c r="E27" s="99"/>
      <c r="F27" s="99"/>
      <c r="G27" s="99"/>
      <c r="H27" s="99"/>
    </row>
    <row r="28" spans="1:18" x14ac:dyDescent="0.3">
      <c r="B28" s="108"/>
      <c r="E28" s="99"/>
      <c r="F28" s="99"/>
      <c r="G28" s="99"/>
      <c r="H28" s="99"/>
    </row>
    <row r="29" spans="1:18" x14ac:dyDescent="0.3">
      <c r="E29" s="99"/>
      <c r="F29" s="99"/>
      <c r="G29" s="99"/>
      <c r="H29" s="99"/>
    </row>
    <row r="30" spans="1:18" x14ac:dyDescent="0.3">
      <c r="A30" s="92" t="s">
        <v>2</v>
      </c>
      <c r="B30" s="92" t="s">
        <v>297</v>
      </c>
      <c r="E30" s="99"/>
      <c r="F30" s="99"/>
    </row>
    <row r="31" spans="1:18" x14ac:dyDescent="0.3">
      <c r="E31" s="99"/>
      <c r="F31" s="99"/>
    </row>
    <row r="32" spans="1:18" x14ac:dyDescent="0.3">
      <c r="A32" s="92" t="s">
        <v>1</v>
      </c>
      <c r="B32" s="92" t="s">
        <v>298</v>
      </c>
      <c r="G32" s="105"/>
    </row>
    <row r="33" spans="1:7" x14ac:dyDescent="0.3">
      <c r="G33" s="105"/>
    </row>
    <row r="34" spans="1:7" x14ac:dyDescent="0.3">
      <c r="A34" s="92" t="s">
        <v>0</v>
      </c>
      <c r="B34" s="92" t="s">
        <v>299</v>
      </c>
      <c r="F34" s="109"/>
    </row>
    <row r="35" spans="1:7" x14ac:dyDescent="0.3">
      <c r="F35" s="109"/>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2CED7-1F62-4420-883A-495B9F7BAE79}">
  <sheetPr>
    <tabColor theme="9" tint="0.59999389629810485"/>
  </sheetPr>
  <dimension ref="A1:R75"/>
  <sheetViews>
    <sheetView zoomScale="115" zoomScaleNormal="115" workbookViewId="0"/>
  </sheetViews>
  <sheetFormatPr defaultColWidth="8.88671875" defaultRowHeight="14.4" x14ac:dyDescent="0.3"/>
  <cols>
    <col min="1" max="1" width="8.88671875" style="92"/>
    <col min="2" max="2" width="27.5546875" style="92" customWidth="1"/>
    <col min="3" max="3" width="15.88671875" style="92" customWidth="1"/>
    <col min="4" max="6" width="11.6640625" style="92" customWidth="1"/>
    <col min="7" max="7" width="15" style="92" bestFit="1" customWidth="1"/>
    <col min="8" max="8" width="18" style="92" customWidth="1"/>
    <col min="9" max="12" width="11.6640625" style="92" customWidth="1"/>
    <col min="13" max="13" width="10.5546875" style="92" customWidth="1"/>
    <col min="14" max="14" width="27.5546875" style="92" customWidth="1"/>
    <col min="15" max="18" width="11.6640625" style="92" customWidth="1"/>
    <col min="19" max="30" width="8.88671875" style="92"/>
    <col min="31" max="33" width="10" style="92" bestFit="1" customWidth="1"/>
    <col min="34" max="16384" width="8.88671875" style="92"/>
  </cols>
  <sheetData>
    <row r="1" spans="1:18" x14ac:dyDescent="0.3">
      <c r="A1" s="131" t="s">
        <v>312</v>
      </c>
    </row>
    <row r="3" spans="1:18" x14ac:dyDescent="0.3">
      <c r="A3" s="91" t="s">
        <v>8</v>
      </c>
    </row>
    <row r="4" spans="1:18" x14ac:dyDescent="0.3">
      <c r="A4" s="92" t="s">
        <v>249</v>
      </c>
    </row>
    <row r="5" spans="1:18" x14ac:dyDescent="0.3">
      <c r="A5" s="91"/>
    </row>
    <row r="8" spans="1:18" x14ac:dyDescent="0.3">
      <c r="B8" s="93" t="s">
        <v>7</v>
      </c>
      <c r="C8" s="94"/>
      <c r="D8" s="94"/>
      <c r="E8" s="94"/>
      <c r="F8" s="95"/>
      <c r="H8" s="93" t="s">
        <v>6</v>
      </c>
      <c r="I8" s="94"/>
      <c r="J8" s="94"/>
      <c r="K8" s="94"/>
      <c r="L8" s="95"/>
      <c r="N8" s="93" t="s">
        <v>5</v>
      </c>
      <c r="O8" s="94"/>
      <c r="P8" s="94"/>
      <c r="Q8" s="94"/>
      <c r="R8" s="95"/>
    </row>
    <row r="9" spans="1:18" x14ac:dyDescent="0.3">
      <c r="B9" s="96" t="s">
        <v>267</v>
      </c>
      <c r="C9" s="97"/>
      <c r="D9" s="97"/>
      <c r="E9" s="97"/>
      <c r="F9" s="98"/>
      <c r="H9" s="96" t="s">
        <v>266</v>
      </c>
      <c r="I9" s="97"/>
      <c r="J9" s="97"/>
      <c r="K9" s="97"/>
      <c r="L9" s="98"/>
      <c r="N9" s="96" t="s">
        <v>265</v>
      </c>
      <c r="O9" s="97"/>
      <c r="P9" s="97"/>
      <c r="Q9" s="97"/>
      <c r="R9" s="98"/>
    </row>
    <row r="10" spans="1:18" x14ac:dyDescent="0.3">
      <c r="E10" s="99"/>
      <c r="F10" s="99"/>
      <c r="G10" s="99"/>
      <c r="H10" s="99"/>
      <c r="I10" s="99"/>
      <c r="J10" s="99"/>
    </row>
    <row r="11" spans="1:18" x14ac:dyDescent="0.3">
      <c r="C11" s="100" t="s">
        <v>254</v>
      </c>
      <c r="D11" s="101"/>
      <c r="E11" s="100" t="s">
        <v>253</v>
      </c>
      <c r="F11" s="101"/>
      <c r="G11" s="99"/>
      <c r="H11" s="99"/>
      <c r="I11" s="100" t="s">
        <v>254</v>
      </c>
      <c r="J11" s="101"/>
      <c r="K11" s="100" t="s">
        <v>253</v>
      </c>
      <c r="L11" s="101"/>
      <c r="O11" s="100" t="s">
        <v>254</v>
      </c>
      <c r="P11" s="101"/>
      <c r="Q11" s="100" t="s">
        <v>253</v>
      </c>
      <c r="R11" s="101"/>
    </row>
    <row r="12" spans="1:18" x14ac:dyDescent="0.3">
      <c r="B12" s="92" t="s">
        <v>264</v>
      </c>
      <c r="C12" s="102" t="s">
        <v>252</v>
      </c>
      <c r="D12" s="102" t="s">
        <v>251</v>
      </c>
      <c r="E12" s="102" t="s">
        <v>252</v>
      </c>
      <c r="F12" s="102" t="s">
        <v>251</v>
      </c>
      <c r="G12" s="99"/>
      <c r="I12" s="102" t="s">
        <v>252</v>
      </c>
      <c r="J12" s="102" t="s">
        <v>251</v>
      </c>
      <c r="K12" s="102" t="s">
        <v>252</v>
      </c>
      <c r="L12" s="102" t="s">
        <v>251</v>
      </c>
      <c r="N12" s="92" t="s">
        <v>264</v>
      </c>
      <c r="O12" s="104" t="s">
        <v>252</v>
      </c>
      <c r="P12" s="104" t="s">
        <v>251</v>
      </c>
      <c r="Q12" s="104" t="s">
        <v>252</v>
      </c>
      <c r="R12" s="104" t="s">
        <v>251</v>
      </c>
    </row>
    <row r="13" spans="1:18" x14ac:dyDescent="0.3">
      <c r="B13" s="92" t="s">
        <v>17</v>
      </c>
      <c r="C13" s="103">
        <v>12011</v>
      </c>
      <c r="D13" s="103">
        <v>12054</v>
      </c>
      <c r="E13" s="103">
        <v>13310</v>
      </c>
      <c r="F13" s="103">
        <v>12087</v>
      </c>
      <c r="H13" s="92" t="s">
        <v>263</v>
      </c>
      <c r="I13" s="103">
        <v>2230</v>
      </c>
      <c r="J13" s="103">
        <v>2160</v>
      </c>
      <c r="K13" s="103">
        <v>2353</v>
      </c>
      <c r="L13" s="103">
        <v>2119</v>
      </c>
      <c r="N13" s="92" t="s">
        <v>262</v>
      </c>
      <c r="O13" s="104">
        <v>379.48540798094103</v>
      </c>
      <c r="P13" s="104">
        <v>315</v>
      </c>
      <c r="Q13" s="104">
        <v>342</v>
      </c>
      <c r="R13" s="104">
        <v>281</v>
      </c>
    </row>
    <row r="14" spans="1:18" x14ac:dyDescent="0.3">
      <c r="B14" s="92" t="s">
        <v>261</v>
      </c>
      <c r="C14" s="103">
        <v>3300</v>
      </c>
      <c r="D14" s="103">
        <v>2899</v>
      </c>
      <c r="E14" s="103">
        <v>2783</v>
      </c>
      <c r="F14" s="103">
        <v>2962</v>
      </c>
      <c r="I14" s="110"/>
      <c r="J14" s="110"/>
      <c r="K14" s="110"/>
      <c r="L14" s="110"/>
      <c r="N14" s="92" t="s">
        <v>260</v>
      </c>
      <c r="O14" s="104">
        <v>429</v>
      </c>
      <c r="P14" s="104">
        <v>405</v>
      </c>
      <c r="Q14" s="104">
        <v>386</v>
      </c>
      <c r="R14" s="104">
        <v>380</v>
      </c>
    </row>
    <row r="15" spans="1:18" x14ac:dyDescent="0.3">
      <c r="B15" s="92" t="s">
        <v>16</v>
      </c>
      <c r="C15" s="103">
        <v>5668</v>
      </c>
      <c r="D15" s="103">
        <v>5428</v>
      </c>
      <c r="E15" s="103">
        <v>4502</v>
      </c>
      <c r="F15" s="103">
        <v>5124</v>
      </c>
      <c r="N15" s="92" t="s">
        <v>15</v>
      </c>
      <c r="O15" s="104">
        <v>319</v>
      </c>
      <c r="P15" s="104">
        <v>281</v>
      </c>
      <c r="Q15" s="104">
        <v>293</v>
      </c>
      <c r="R15" s="104">
        <v>269</v>
      </c>
    </row>
    <row r="16" spans="1:18" x14ac:dyDescent="0.3">
      <c r="B16" s="92" t="s">
        <v>259</v>
      </c>
      <c r="C16" s="103">
        <v>1579</v>
      </c>
      <c r="D16" s="103">
        <v>1656</v>
      </c>
      <c r="E16" s="103">
        <v>1770</v>
      </c>
      <c r="F16" s="103">
        <v>1564</v>
      </c>
      <c r="N16" s="92" t="s">
        <v>258</v>
      </c>
      <c r="O16" s="104">
        <v>1179</v>
      </c>
      <c r="P16" s="104">
        <v>1075</v>
      </c>
      <c r="Q16" s="104">
        <v>1081</v>
      </c>
      <c r="R16" s="104">
        <v>1110</v>
      </c>
    </row>
    <row r="17" spans="1:18" x14ac:dyDescent="0.3">
      <c r="B17" s="92" t="s">
        <v>257</v>
      </c>
      <c r="C17" s="103">
        <v>1814</v>
      </c>
      <c r="D17" s="103">
        <v>1134</v>
      </c>
      <c r="E17" s="103">
        <v>1517</v>
      </c>
      <c r="F17" s="103">
        <v>1090</v>
      </c>
      <c r="N17" s="92" t="s">
        <v>256</v>
      </c>
      <c r="O17" s="104">
        <v>662</v>
      </c>
      <c r="P17" s="104">
        <v>656</v>
      </c>
      <c r="Q17" s="104">
        <v>576</v>
      </c>
      <c r="R17" s="104">
        <v>604</v>
      </c>
    </row>
    <row r="18" spans="1:18" x14ac:dyDescent="0.3">
      <c r="N18" s="92" t="s">
        <v>255</v>
      </c>
      <c r="O18" s="104">
        <v>499</v>
      </c>
      <c r="P18" s="104">
        <v>498</v>
      </c>
      <c r="Q18" s="104">
        <v>611</v>
      </c>
      <c r="R18" s="104">
        <v>582</v>
      </c>
    </row>
    <row r="19" spans="1:18" x14ac:dyDescent="0.3">
      <c r="G19" s="99"/>
    </row>
    <row r="20" spans="1:18" x14ac:dyDescent="0.3">
      <c r="B20" s="93" t="s">
        <v>12</v>
      </c>
      <c r="C20" s="94"/>
      <c r="D20" s="94"/>
      <c r="E20" s="94"/>
      <c r="F20" s="95"/>
      <c r="G20" s="99"/>
    </row>
    <row r="21" spans="1:18" x14ac:dyDescent="0.3">
      <c r="B21" s="96" t="s">
        <v>250</v>
      </c>
      <c r="C21" s="97"/>
      <c r="D21" s="97"/>
      <c r="E21" s="97"/>
      <c r="F21" s="98"/>
      <c r="G21" s="99"/>
    </row>
    <row r="22" spans="1:18" x14ac:dyDescent="0.3">
      <c r="C22" s="106"/>
      <c r="D22" s="106"/>
      <c r="E22" s="106"/>
      <c r="F22" s="99"/>
      <c r="G22" s="99"/>
      <c r="I22" s="106"/>
      <c r="J22" s="106"/>
      <c r="K22" s="106"/>
    </row>
    <row r="23" spans="1:18" x14ac:dyDescent="0.3">
      <c r="C23" s="100" t="s">
        <v>254</v>
      </c>
      <c r="D23" s="101"/>
      <c r="E23" s="100" t="s">
        <v>253</v>
      </c>
      <c r="F23" s="101"/>
      <c r="G23" s="99"/>
      <c r="I23" s="106"/>
      <c r="J23" s="106"/>
      <c r="K23" s="106"/>
    </row>
    <row r="24" spans="1:18" x14ac:dyDescent="0.3">
      <c r="C24" s="102" t="s">
        <v>252</v>
      </c>
      <c r="D24" s="102" t="s">
        <v>251</v>
      </c>
      <c r="E24" s="102" t="s">
        <v>252</v>
      </c>
      <c r="F24" s="102" t="s">
        <v>251</v>
      </c>
      <c r="G24" s="99"/>
      <c r="I24" s="106"/>
      <c r="J24" s="106"/>
      <c r="K24" s="106"/>
    </row>
    <row r="25" spans="1:18" x14ac:dyDescent="0.3">
      <c r="B25" s="92" t="s">
        <v>250</v>
      </c>
      <c r="C25" s="107">
        <v>20220</v>
      </c>
      <c r="D25" s="107">
        <v>661677</v>
      </c>
      <c r="E25" s="107">
        <v>1572</v>
      </c>
      <c r="F25" s="107">
        <v>55707</v>
      </c>
      <c r="G25" s="99"/>
      <c r="I25" s="106"/>
      <c r="J25" s="106"/>
      <c r="K25" s="106"/>
    </row>
    <row r="26" spans="1:18" x14ac:dyDescent="0.3">
      <c r="C26" s="106"/>
      <c r="D26" s="106"/>
      <c r="E26" s="106"/>
      <c r="F26" s="99"/>
      <c r="G26" s="99"/>
      <c r="I26" s="106"/>
      <c r="J26" s="106"/>
      <c r="K26" s="106"/>
    </row>
    <row r="27" spans="1:18" x14ac:dyDescent="0.3">
      <c r="B27" s="92" t="s">
        <v>296</v>
      </c>
      <c r="E27" s="99"/>
      <c r="F27" s="99"/>
      <c r="G27" s="99"/>
      <c r="H27" s="99"/>
    </row>
    <row r="28" spans="1:18" x14ac:dyDescent="0.3">
      <c r="B28" s="108"/>
      <c r="E28" s="99"/>
      <c r="F28" s="99"/>
      <c r="G28" s="99"/>
      <c r="H28" s="99"/>
    </row>
    <row r="29" spans="1:18" x14ac:dyDescent="0.3">
      <c r="E29" s="99"/>
      <c r="F29" s="99"/>
      <c r="G29" s="99"/>
      <c r="H29" s="99"/>
    </row>
    <row r="30" spans="1:18" x14ac:dyDescent="0.3">
      <c r="A30" s="92" t="s">
        <v>2</v>
      </c>
      <c r="B30" s="92" t="s">
        <v>297</v>
      </c>
      <c r="E30" s="99"/>
      <c r="F30" s="99"/>
    </row>
    <row r="32" spans="1:18" x14ac:dyDescent="0.3">
      <c r="C32" s="92" t="s">
        <v>282</v>
      </c>
      <c r="F32" s="92" t="s">
        <v>281</v>
      </c>
      <c r="I32" s="111" t="s">
        <v>11</v>
      </c>
    </row>
    <row r="33" spans="2:9" x14ac:dyDescent="0.3">
      <c r="B33" s="92" t="s">
        <v>275</v>
      </c>
      <c r="C33" s="102" t="s">
        <v>252</v>
      </c>
      <c r="D33" s="102" t="s">
        <v>251</v>
      </c>
      <c r="E33" s="102"/>
      <c r="F33" s="102" t="s">
        <v>280</v>
      </c>
      <c r="G33" s="102" t="s">
        <v>279</v>
      </c>
    </row>
    <row r="34" spans="2:9" x14ac:dyDescent="0.3">
      <c r="B34" s="92" t="str">
        <f>B13</f>
        <v>Inpatient</v>
      </c>
      <c r="C34" s="104">
        <f t="shared" ref="C34:D38" si="0">C13-E13</f>
        <v>-1299</v>
      </c>
      <c r="D34" s="104">
        <f t="shared" si="0"/>
        <v>-33</v>
      </c>
      <c r="E34" s="104"/>
      <c r="F34" s="104">
        <f>C34-D34</f>
        <v>-1266</v>
      </c>
      <c r="G34" s="104">
        <f>F34*$E$25</f>
        <v>-1990152</v>
      </c>
      <c r="I34" s="92" t="s">
        <v>290</v>
      </c>
    </row>
    <row r="35" spans="2:9" x14ac:dyDescent="0.3">
      <c r="B35" s="92" t="str">
        <f>B14</f>
        <v>Readmissions</v>
      </c>
      <c r="C35" s="104">
        <f t="shared" si="0"/>
        <v>517</v>
      </c>
      <c r="D35" s="104">
        <f t="shared" si="0"/>
        <v>-63</v>
      </c>
      <c r="E35" s="104"/>
      <c r="F35" s="104">
        <f>C35-D35</f>
        <v>580</v>
      </c>
      <c r="G35" s="104">
        <f>F35*$E$25</f>
        <v>911760</v>
      </c>
      <c r="I35" s="92" t="s">
        <v>295</v>
      </c>
    </row>
    <row r="36" spans="2:9" x14ac:dyDescent="0.3">
      <c r="B36" s="92" t="str">
        <f>B15</f>
        <v>Skilled Nursing Facility</v>
      </c>
      <c r="C36" s="104">
        <f t="shared" si="0"/>
        <v>1166</v>
      </c>
      <c r="D36" s="104">
        <f t="shared" si="0"/>
        <v>304</v>
      </c>
      <c r="E36" s="104"/>
      <c r="F36" s="104">
        <f>C36-D36</f>
        <v>862</v>
      </c>
      <c r="G36" s="104">
        <f>F36*$E$25</f>
        <v>1355064</v>
      </c>
      <c r="I36" s="92" t="s">
        <v>289</v>
      </c>
    </row>
    <row r="37" spans="2:9" x14ac:dyDescent="0.3">
      <c r="B37" s="92" t="str">
        <f>B16</f>
        <v>Home Health Agency</v>
      </c>
      <c r="C37" s="104">
        <f t="shared" si="0"/>
        <v>-191</v>
      </c>
      <c r="D37" s="104">
        <f t="shared" si="0"/>
        <v>92</v>
      </c>
      <c r="E37" s="104"/>
      <c r="F37" s="104">
        <f>C37-D37</f>
        <v>-283</v>
      </c>
      <c r="G37" s="104">
        <f>F37*$E$25</f>
        <v>-444876</v>
      </c>
    </row>
    <row r="38" spans="2:9" x14ac:dyDescent="0.3">
      <c r="B38" s="92" t="str">
        <f>B17</f>
        <v>Inpatient Rehabilitation Facility</v>
      </c>
      <c r="C38" s="104">
        <f t="shared" si="0"/>
        <v>297</v>
      </c>
      <c r="D38" s="104">
        <f t="shared" si="0"/>
        <v>44</v>
      </c>
      <c r="E38" s="104"/>
      <c r="F38" s="104">
        <f>C38-D38</f>
        <v>253</v>
      </c>
      <c r="G38" s="104">
        <f>F38*$E$25</f>
        <v>397716</v>
      </c>
    </row>
    <row r="40" spans="2:9" x14ac:dyDescent="0.3">
      <c r="F40" s="92" t="s">
        <v>284</v>
      </c>
      <c r="G40" s="112">
        <f>SUM(G34:G38)</f>
        <v>229512</v>
      </c>
      <c r="I40" s="92" t="s">
        <v>288</v>
      </c>
    </row>
    <row r="41" spans="2:9" x14ac:dyDescent="0.3">
      <c r="G41" s="105"/>
    </row>
    <row r="42" spans="2:9" x14ac:dyDescent="0.3">
      <c r="C42" s="92" t="s">
        <v>287</v>
      </c>
      <c r="F42" s="92" t="s">
        <v>281</v>
      </c>
    </row>
    <row r="43" spans="2:9" x14ac:dyDescent="0.3">
      <c r="B43" s="92" t="s">
        <v>272</v>
      </c>
      <c r="C43" s="104" t="s">
        <v>252</v>
      </c>
      <c r="D43" s="104" t="s">
        <v>251</v>
      </c>
      <c r="E43" s="104"/>
      <c r="F43" s="104" t="s">
        <v>280</v>
      </c>
      <c r="G43" s="104" t="s">
        <v>279</v>
      </c>
    </row>
    <row r="44" spans="2:9" x14ac:dyDescent="0.3">
      <c r="B44" s="92" t="s">
        <v>286</v>
      </c>
      <c r="C44" s="104">
        <f>I13-K13</f>
        <v>-123</v>
      </c>
      <c r="D44" s="104">
        <f>J13-L13</f>
        <v>41</v>
      </c>
      <c r="E44" s="104"/>
      <c r="F44" s="104">
        <f>C44-D44</f>
        <v>-164</v>
      </c>
      <c r="G44" s="104">
        <f>F44*$E$25</f>
        <v>-257808</v>
      </c>
      <c r="I44" s="92" t="s">
        <v>285</v>
      </c>
    </row>
    <row r="45" spans="2:9" x14ac:dyDescent="0.3">
      <c r="C45" s="104"/>
      <c r="D45" s="104"/>
      <c r="E45" s="104"/>
      <c r="F45" s="104"/>
      <c r="G45" s="104"/>
    </row>
    <row r="46" spans="2:9" x14ac:dyDescent="0.3">
      <c r="C46" s="104"/>
      <c r="D46" s="104"/>
      <c r="E46" s="104"/>
      <c r="F46" s="104" t="s">
        <v>277</v>
      </c>
      <c r="G46" s="104">
        <f>G44</f>
        <v>-257808</v>
      </c>
    </row>
    <row r="47" spans="2:9" ht="15" thickBot="1" x14ac:dyDescent="0.35">
      <c r="C47" s="104"/>
      <c r="D47" s="104"/>
      <c r="E47" s="104"/>
      <c r="F47" s="104"/>
      <c r="G47" s="104"/>
    </row>
    <row r="48" spans="2:9" ht="15" thickBot="1" x14ac:dyDescent="0.35">
      <c r="C48" s="104"/>
      <c r="D48" s="104"/>
      <c r="E48" s="104"/>
      <c r="F48" s="104" t="s">
        <v>142</v>
      </c>
      <c r="G48" s="113">
        <f>G40+G46</f>
        <v>-28296</v>
      </c>
      <c r="I48" s="92" t="s">
        <v>276</v>
      </c>
    </row>
    <row r="49" spans="1:9" x14ac:dyDescent="0.3">
      <c r="F49" s="109"/>
    </row>
    <row r="50" spans="1:9" x14ac:dyDescent="0.3">
      <c r="A50" s="92" t="s">
        <v>1</v>
      </c>
      <c r="B50" s="92" t="s">
        <v>298</v>
      </c>
      <c r="G50" s="105"/>
    </row>
    <row r="51" spans="1:9" x14ac:dyDescent="0.3">
      <c r="G51" s="105"/>
    </row>
    <row r="52" spans="1:9" x14ac:dyDescent="0.3">
      <c r="B52" s="92" t="s">
        <v>275</v>
      </c>
      <c r="F52" s="109" t="s">
        <v>284</v>
      </c>
      <c r="G52" s="112">
        <v>0</v>
      </c>
      <c r="I52" s="92" t="s">
        <v>283</v>
      </c>
    </row>
    <row r="53" spans="1:9" x14ac:dyDescent="0.3">
      <c r="G53" s="105"/>
    </row>
    <row r="54" spans="1:9" x14ac:dyDescent="0.3">
      <c r="C54" s="92" t="s">
        <v>282</v>
      </c>
      <c r="F54" s="92" t="s">
        <v>281</v>
      </c>
    </row>
    <row r="55" spans="1:9" x14ac:dyDescent="0.3">
      <c r="B55" s="92" t="s">
        <v>272</v>
      </c>
      <c r="C55" s="102" t="s">
        <v>252</v>
      </c>
      <c r="D55" s="102" t="s">
        <v>251</v>
      </c>
      <c r="E55" s="102"/>
      <c r="F55" s="114" t="s">
        <v>280</v>
      </c>
      <c r="G55" s="102" t="s">
        <v>279</v>
      </c>
      <c r="I55" s="92" t="s">
        <v>278</v>
      </c>
    </row>
    <row r="56" spans="1:9" x14ac:dyDescent="0.3">
      <c r="B56" s="92" t="s">
        <v>262</v>
      </c>
      <c r="C56" s="104">
        <f t="shared" ref="C56:D61" si="1">O13-Q13</f>
        <v>37.485407980941034</v>
      </c>
      <c r="D56" s="104">
        <f t="shared" si="1"/>
        <v>34</v>
      </c>
      <c r="E56" s="104"/>
      <c r="F56" s="104">
        <f t="shared" ref="F56:F61" si="2">C56-D56</f>
        <v>3.4854079809410337</v>
      </c>
      <c r="G56" s="104">
        <f t="shared" ref="G56:G61" si="3">F56*$E$25</f>
        <v>5479.0613460393051</v>
      </c>
    </row>
    <row r="57" spans="1:9" x14ac:dyDescent="0.3">
      <c r="B57" s="92" t="s">
        <v>260</v>
      </c>
      <c r="C57" s="104">
        <f t="shared" si="1"/>
        <v>43</v>
      </c>
      <c r="D57" s="104">
        <f t="shared" si="1"/>
        <v>25</v>
      </c>
      <c r="E57" s="104"/>
      <c r="F57" s="104">
        <f t="shared" si="2"/>
        <v>18</v>
      </c>
      <c r="G57" s="104">
        <f t="shared" si="3"/>
        <v>28296</v>
      </c>
    </row>
    <row r="58" spans="1:9" x14ac:dyDescent="0.3">
      <c r="B58" s="92" t="s">
        <v>15</v>
      </c>
      <c r="C58" s="104">
        <f t="shared" si="1"/>
        <v>26</v>
      </c>
      <c r="D58" s="104">
        <f t="shared" si="1"/>
        <v>12</v>
      </c>
      <c r="E58" s="104"/>
      <c r="F58" s="104">
        <f t="shared" si="2"/>
        <v>14</v>
      </c>
      <c r="G58" s="104">
        <f t="shared" si="3"/>
        <v>22008</v>
      </c>
    </row>
    <row r="59" spans="1:9" x14ac:dyDescent="0.3">
      <c r="B59" s="92" t="s">
        <v>258</v>
      </c>
      <c r="C59" s="104">
        <f t="shared" si="1"/>
        <v>98</v>
      </c>
      <c r="D59" s="104">
        <f t="shared" si="1"/>
        <v>-35</v>
      </c>
      <c r="E59" s="104"/>
      <c r="F59" s="104">
        <f t="shared" si="2"/>
        <v>133</v>
      </c>
      <c r="G59" s="104">
        <f t="shared" si="3"/>
        <v>209076</v>
      </c>
    </row>
    <row r="60" spans="1:9" x14ac:dyDescent="0.3">
      <c r="B60" s="92" t="s">
        <v>256</v>
      </c>
      <c r="C60" s="104">
        <f t="shared" si="1"/>
        <v>86</v>
      </c>
      <c r="D60" s="104">
        <f t="shared" si="1"/>
        <v>52</v>
      </c>
      <c r="E60" s="104"/>
      <c r="F60" s="104">
        <f t="shared" si="2"/>
        <v>34</v>
      </c>
      <c r="G60" s="104">
        <f t="shared" si="3"/>
        <v>53448</v>
      </c>
    </row>
    <row r="61" spans="1:9" x14ac:dyDescent="0.3">
      <c r="B61" s="92" t="s">
        <v>255</v>
      </c>
      <c r="C61" s="104">
        <f t="shared" si="1"/>
        <v>-112</v>
      </c>
      <c r="D61" s="104">
        <f t="shared" si="1"/>
        <v>-84</v>
      </c>
      <c r="E61" s="104"/>
      <c r="F61" s="104">
        <f t="shared" si="2"/>
        <v>-28</v>
      </c>
      <c r="G61" s="104">
        <f t="shared" si="3"/>
        <v>-44016</v>
      </c>
    </row>
    <row r="62" spans="1:9" x14ac:dyDescent="0.3">
      <c r="C62" s="104"/>
      <c r="D62" s="104"/>
      <c r="E62" s="104"/>
      <c r="F62" s="104"/>
      <c r="G62" s="104"/>
    </row>
    <row r="63" spans="1:9" x14ac:dyDescent="0.3">
      <c r="C63" s="104"/>
      <c r="D63" s="104"/>
      <c r="E63" s="104"/>
      <c r="F63" s="104" t="s">
        <v>277</v>
      </c>
      <c r="G63" s="104">
        <f>SUM(G56:G61)</f>
        <v>274291.06134603929</v>
      </c>
    </row>
    <row r="64" spans="1:9" ht="15" thickBot="1" x14ac:dyDescent="0.35">
      <c r="C64" s="104"/>
      <c r="D64" s="104"/>
      <c r="E64" s="104"/>
      <c r="F64" s="104"/>
      <c r="G64" s="104"/>
    </row>
    <row r="65" spans="1:9" ht="15" thickBot="1" x14ac:dyDescent="0.35">
      <c r="C65" s="104"/>
      <c r="D65" s="104"/>
      <c r="E65" s="104"/>
      <c r="F65" s="104" t="s">
        <v>142</v>
      </c>
      <c r="G65" s="113">
        <f>G52+G63</f>
        <v>274291.06134603929</v>
      </c>
      <c r="I65" s="92" t="s">
        <v>276</v>
      </c>
    </row>
    <row r="66" spans="1:9" x14ac:dyDescent="0.3">
      <c r="F66" s="109"/>
    </row>
    <row r="67" spans="1:9" x14ac:dyDescent="0.3">
      <c r="A67" s="92" t="s">
        <v>0</v>
      </c>
      <c r="B67" s="92" t="s">
        <v>299</v>
      </c>
      <c r="F67" s="109"/>
    </row>
    <row r="68" spans="1:9" x14ac:dyDescent="0.3">
      <c r="F68" s="109"/>
    </row>
    <row r="69" spans="1:9" ht="29.4" thickBot="1" x14ac:dyDescent="0.35">
      <c r="B69" s="92" t="s">
        <v>275</v>
      </c>
      <c r="C69" s="114" t="s">
        <v>274</v>
      </c>
      <c r="D69" s="114" t="s">
        <v>264</v>
      </c>
      <c r="F69" s="109"/>
      <c r="I69" s="111" t="s">
        <v>11</v>
      </c>
    </row>
    <row r="70" spans="1:9" ht="43.8" thickBot="1" x14ac:dyDescent="0.35">
      <c r="B70" s="92" t="s">
        <v>271</v>
      </c>
      <c r="C70" s="104">
        <f>MAX(G34:G38)</f>
        <v>1355064</v>
      </c>
      <c r="D70" s="115" t="str">
        <f>INDEX($B$34:$B$38,MATCH(C70,$G$34:$G$38,0))</f>
        <v>Skilled Nursing Facility</v>
      </c>
      <c r="F70" s="109"/>
      <c r="I70" s="92" t="s">
        <v>273</v>
      </c>
    </row>
    <row r="71" spans="1:9" ht="15" thickBot="1" x14ac:dyDescent="0.35">
      <c r="B71" s="92" t="s">
        <v>269</v>
      </c>
      <c r="C71" s="104">
        <f>MIN(G34:G38)</f>
        <v>-1990152</v>
      </c>
      <c r="D71" s="115" t="str">
        <f>INDEX($B$34:$B$38,MATCH(C71,$G$34:$G$38,0))</f>
        <v>Inpatient</v>
      </c>
      <c r="F71" s="109"/>
    </row>
    <row r="72" spans="1:9" x14ac:dyDescent="0.3">
      <c r="C72" s="104"/>
      <c r="D72" s="102"/>
      <c r="F72" s="109"/>
    </row>
    <row r="73" spans="1:9" ht="15" thickBot="1" x14ac:dyDescent="0.35">
      <c r="B73" s="92" t="s">
        <v>272</v>
      </c>
      <c r="C73" s="104"/>
      <c r="D73" s="102"/>
      <c r="F73" s="109"/>
    </row>
    <row r="74" spans="1:9" ht="15" thickBot="1" x14ac:dyDescent="0.35">
      <c r="B74" s="92" t="s">
        <v>271</v>
      </c>
      <c r="C74" s="104">
        <f>MAX(G56:G61)</f>
        <v>209076</v>
      </c>
      <c r="D74" s="115" t="str">
        <f>INDEX($B$56:$B$61,MATCH(C74,$G$56:$G$61,0))</f>
        <v>E&amp;M</v>
      </c>
      <c r="F74" s="109"/>
      <c r="I74" s="92" t="s">
        <v>270</v>
      </c>
    </row>
    <row r="75" spans="1:9" ht="29.4" thickBot="1" x14ac:dyDescent="0.35">
      <c r="B75" s="92" t="s">
        <v>269</v>
      </c>
      <c r="C75" s="104">
        <f>MIN(G56:G61)</f>
        <v>-44016</v>
      </c>
      <c r="D75" s="115" t="str">
        <f>INDEX($B$56:$B$61,MATCH(C75,$G$56:$G$61,0))</f>
        <v>All other institutional</v>
      </c>
      <c r="F75" s="109"/>
      <c r="I75" s="92" t="s">
        <v>268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D66B-3068-4AD7-959B-8A20217C1493}">
  <sheetPr>
    <tabColor theme="5" tint="0.39997558519241921"/>
  </sheetPr>
  <dimension ref="A1:K59"/>
  <sheetViews>
    <sheetView tabSelected="1" zoomScale="115" zoomScaleNormal="115" workbookViewId="0"/>
  </sheetViews>
  <sheetFormatPr defaultRowHeight="14.4" x14ac:dyDescent="0.3"/>
  <cols>
    <col min="2" max="11" width="13.5546875" customWidth="1"/>
  </cols>
  <sheetData>
    <row r="1" spans="1:11" x14ac:dyDescent="0.3">
      <c r="A1" s="131" t="s">
        <v>312</v>
      </c>
    </row>
    <row r="3" spans="1:11" x14ac:dyDescent="0.3">
      <c r="A3" s="9" t="s">
        <v>8</v>
      </c>
    </row>
    <row r="4" spans="1:11" x14ac:dyDescent="0.3">
      <c r="A4" t="s">
        <v>46</v>
      </c>
    </row>
    <row r="5" spans="1:11" x14ac:dyDescent="0.3">
      <c r="A5" s="9"/>
    </row>
    <row r="8" spans="1:11" x14ac:dyDescent="0.3">
      <c r="B8" s="8" t="s">
        <v>7</v>
      </c>
      <c r="C8" s="7"/>
      <c r="D8" s="6"/>
      <c r="F8" s="8" t="s">
        <v>6</v>
      </c>
      <c r="G8" s="7"/>
      <c r="H8" s="7"/>
      <c r="I8" s="7"/>
      <c r="J8" s="7"/>
      <c r="K8" s="6"/>
    </row>
    <row r="9" spans="1:11" x14ac:dyDescent="0.3">
      <c r="B9" s="5" t="s">
        <v>45</v>
      </c>
      <c r="C9" s="4"/>
      <c r="D9" s="3"/>
      <c r="F9" s="5" t="s">
        <v>44</v>
      </c>
      <c r="G9" s="4"/>
      <c r="H9" s="4"/>
      <c r="I9" s="4"/>
      <c r="J9" s="4"/>
      <c r="K9" s="3"/>
    </row>
    <row r="10" spans="1:11" x14ac:dyDescent="0.3">
      <c r="E10" s="40"/>
    </row>
    <row r="11" spans="1:11" ht="43.2" x14ac:dyDescent="0.3">
      <c r="B11" s="12" t="s">
        <v>43</v>
      </c>
      <c r="C11" s="47" t="s">
        <v>42</v>
      </c>
      <c r="D11" s="47" t="s">
        <v>41</v>
      </c>
      <c r="F11" s="47" t="s">
        <v>40</v>
      </c>
      <c r="G11" s="47" t="s">
        <v>39</v>
      </c>
      <c r="H11" s="47" t="s">
        <v>38</v>
      </c>
      <c r="I11" s="47" t="s">
        <v>37</v>
      </c>
      <c r="J11" s="47" t="s">
        <v>36</v>
      </c>
      <c r="K11" s="47" t="s">
        <v>35</v>
      </c>
    </row>
    <row r="12" spans="1:11" x14ac:dyDescent="0.3">
      <c r="B12" s="12">
        <v>99202</v>
      </c>
      <c r="C12" s="49">
        <v>73.97</v>
      </c>
      <c r="D12" s="29">
        <v>75</v>
      </c>
      <c r="F12" s="27">
        <v>3.8613119807636429</v>
      </c>
      <c r="G12" s="27">
        <v>0.34796923827964887</v>
      </c>
      <c r="H12" s="27">
        <v>5.7187650495426345E-2</v>
      </c>
      <c r="I12" s="27">
        <v>1.7571846774389501</v>
      </c>
      <c r="J12" s="27">
        <v>0.40181894916553335</v>
      </c>
      <c r="K12" s="27">
        <v>0.39241746755010853</v>
      </c>
    </row>
    <row r="13" spans="1:11" x14ac:dyDescent="0.3">
      <c r="B13" s="12">
        <v>99203</v>
      </c>
      <c r="C13" s="49">
        <v>113.75</v>
      </c>
      <c r="D13" s="29">
        <v>120</v>
      </c>
      <c r="F13" s="27">
        <v>7.0203302688799054</v>
      </c>
      <c r="G13" s="27">
        <v>2.0471095622755588</v>
      </c>
      <c r="H13" s="27">
        <v>0.1627908326818053</v>
      </c>
      <c r="I13" s="27">
        <v>2.2078634391606111</v>
      </c>
      <c r="J13" s="27">
        <v>0.74012499364834372</v>
      </c>
      <c r="K13" s="27">
        <v>1.3830328134644143</v>
      </c>
    </row>
    <row r="14" spans="1:11" x14ac:dyDescent="0.3">
      <c r="B14" s="12">
        <v>99204</v>
      </c>
      <c r="C14" s="49">
        <v>169.93</v>
      </c>
      <c r="D14" s="29">
        <v>150</v>
      </c>
      <c r="F14" s="27">
        <v>4.6413030937869744</v>
      </c>
      <c r="G14" s="27">
        <v>4.984275746758918</v>
      </c>
      <c r="H14" s="27">
        <v>0.21250536856113947</v>
      </c>
      <c r="I14" s="27">
        <v>0.73461903065247491</v>
      </c>
      <c r="J14" s="27">
        <v>0.28871871771623209</v>
      </c>
      <c r="K14" s="27">
        <v>1.540798898511522</v>
      </c>
    </row>
    <row r="15" spans="1:11" x14ac:dyDescent="0.3">
      <c r="B15" s="12">
        <v>99205</v>
      </c>
      <c r="C15" s="49">
        <v>224.36</v>
      </c>
      <c r="D15" s="29">
        <v>300</v>
      </c>
      <c r="F15" s="27">
        <v>1.1242502151894065</v>
      </c>
      <c r="G15" s="27">
        <v>1.5479130865190112</v>
      </c>
      <c r="H15" s="27">
        <v>0.13340282365568382</v>
      </c>
      <c r="I15" s="27">
        <v>0.18761627302523923</v>
      </c>
      <c r="J15" s="27">
        <v>6.5968970503815311E-2</v>
      </c>
      <c r="K15" s="27">
        <v>0.33219018071837425</v>
      </c>
    </row>
    <row r="16" spans="1:11" x14ac:dyDescent="0.3">
      <c r="B16" s="12">
        <v>99211</v>
      </c>
      <c r="C16" s="49">
        <v>23.03</v>
      </c>
      <c r="D16" s="29">
        <v>25</v>
      </c>
      <c r="F16" s="27">
        <v>0.68168713784538448</v>
      </c>
      <c r="G16" s="27">
        <v>2.7609256159111557</v>
      </c>
      <c r="H16" s="27">
        <v>1.5801163175567456E-2</v>
      </c>
      <c r="I16" s="27">
        <v>0.18216502822366504</v>
      </c>
      <c r="J16" s="27">
        <v>9.2999460603091999E-2</v>
      </c>
      <c r="K16" s="27">
        <v>0.17992085857831674</v>
      </c>
    </row>
    <row r="17" spans="1:11" x14ac:dyDescent="0.3">
      <c r="B17" s="12">
        <v>99212</v>
      </c>
      <c r="C17" s="49">
        <v>56.88</v>
      </c>
      <c r="D17" s="29">
        <v>55</v>
      </c>
      <c r="F17" s="27">
        <v>5.8900055467394843</v>
      </c>
      <c r="G17" s="27">
        <v>1.6542420216371738</v>
      </c>
      <c r="H17" s="27">
        <v>0.16926519427885828</v>
      </c>
      <c r="I17" s="27">
        <v>1.8498158387250641</v>
      </c>
      <c r="J17" s="27">
        <v>0.50757231240605272</v>
      </c>
      <c r="K17" s="27">
        <v>1.3592252689222062</v>
      </c>
    </row>
    <row r="18" spans="1:11" x14ac:dyDescent="0.3">
      <c r="B18" s="12">
        <v>99213</v>
      </c>
      <c r="C18" s="50">
        <v>92.47</v>
      </c>
      <c r="D18" s="29">
        <v>90</v>
      </c>
      <c r="F18" s="27">
        <v>12.272662506700941</v>
      </c>
      <c r="G18" s="27">
        <v>17.139322953534577</v>
      </c>
      <c r="H18" s="27">
        <v>0.4102635423839141</v>
      </c>
      <c r="I18" s="27">
        <v>2.5490002669396485</v>
      </c>
      <c r="J18" s="27">
        <v>0.93432441951877765</v>
      </c>
      <c r="K18" s="27">
        <v>4.1469339779737409</v>
      </c>
    </row>
    <row r="19" spans="1:11" x14ac:dyDescent="0.3">
      <c r="B19" s="12">
        <v>99214</v>
      </c>
      <c r="C19" s="49">
        <v>131.19999999999999</v>
      </c>
      <c r="D19" s="29">
        <v>130</v>
      </c>
      <c r="F19" s="27">
        <v>5.7862867904040858</v>
      </c>
      <c r="G19" s="27">
        <v>27.510353299966372</v>
      </c>
      <c r="H19" s="27">
        <v>0.24628732344168705</v>
      </c>
      <c r="I19" s="27">
        <v>0.69707867760328046</v>
      </c>
      <c r="J19" s="27">
        <v>0.29586560919536581</v>
      </c>
      <c r="K19" s="27">
        <v>1.5966299608297001</v>
      </c>
    </row>
    <row r="20" spans="1:11" x14ac:dyDescent="0.3">
      <c r="B20" s="12">
        <v>99215</v>
      </c>
      <c r="C20" s="49">
        <v>183.19</v>
      </c>
      <c r="D20" s="29">
        <v>200</v>
      </c>
      <c r="F20" s="27">
        <v>1.1810713254067307</v>
      </c>
      <c r="G20" s="27">
        <v>3.4010075895429051</v>
      </c>
      <c r="H20" s="27">
        <v>7.0267795382428763E-2</v>
      </c>
      <c r="I20" s="27">
        <v>0.17377611641324672</v>
      </c>
      <c r="J20" s="27">
        <v>4.719167475946108E-2</v>
      </c>
      <c r="K20" s="27">
        <v>0.27886066099058798</v>
      </c>
    </row>
    <row r="21" spans="1:11" x14ac:dyDescent="0.3">
      <c r="B21" s="12">
        <v>99231</v>
      </c>
      <c r="C21" s="49">
        <v>38.380000000000003</v>
      </c>
      <c r="D21" s="29">
        <v>30</v>
      </c>
      <c r="F21" s="27">
        <v>2.1347846040130558</v>
      </c>
      <c r="G21" s="27">
        <v>0.97307201373418217</v>
      </c>
      <c r="H21" s="27">
        <v>9.319993278670631E-2</v>
      </c>
      <c r="I21" s="27">
        <v>5.7714825304285698E-2</v>
      </c>
      <c r="J21" s="27">
        <v>8.8561645162675395E-2</v>
      </c>
      <c r="K21" s="27">
        <v>0.34868679028576904</v>
      </c>
    </row>
    <row r="22" spans="1:11" x14ac:dyDescent="0.3">
      <c r="B22" s="12">
        <v>99232</v>
      </c>
      <c r="C22" s="49">
        <v>71.88</v>
      </c>
      <c r="D22" s="29">
        <v>60</v>
      </c>
      <c r="F22" s="27">
        <v>2.8414082828588474</v>
      </c>
      <c r="G22" s="27">
        <v>5.406365437995686</v>
      </c>
      <c r="H22" s="27">
        <v>9.5643225398667875E-2</v>
      </c>
      <c r="I22" s="27">
        <v>4.8978103778700474E-2</v>
      </c>
      <c r="J22" s="27">
        <v>8.4259803528779778E-2</v>
      </c>
      <c r="K22" s="27">
        <v>0.3156316184155894</v>
      </c>
    </row>
    <row r="23" spans="1:11" x14ac:dyDescent="0.3">
      <c r="B23" s="12">
        <v>99233</v>
      </c>
      <c r="C23" s="49">
        <v>103.28</v>
      </c>
      <c r="D23" s="29">
        <v>100</v>
      </c>
      <c r="F23" s="27">
        <v>1.1005558524678882</v>
      </c>
      <c r="G23" s="27">
        <v>2.8487407730849306</v>
      </c>
      <c r="H23" s="27">
        <v>5.7236561622303242E-2</v>
      </c>
      <c r="I23" s="27">
        <v>1.9655748721044437E-2</v>
      </c>
      <c r="J23" s="27">
        <v>3.8685447761404791E-2</v>
      </c>
      <c r="K23" s="27">
        <v>9.6832454666950826E-2</v>
      </c>
    </row>
    <row r="24" spans="1:11" x14ac:dyDescent="0.3">
      <c r="E24" s="41"/>
    </row>
    <row r="25" spans="1:11" x14ac:dyDescent="0.3">
      <c r="B25" t="s">
        <v>34</v>
      </c>
      <c r="E25" s="39"/>
    </row>
    <row r="26" spans="1:11" x14ac:dyDescent="0.3">
      <c r="E26" s="39"/>
    </row>
    <row r="27" spans="1:11" x14ac:dyDescent="0.3">
      <c r="A27" t="s">
        <v>2</v>
      </c>
      <c r="B27" t="s">
        <v>33</v>
      </c>
      <c r="E27" s="39"/>
    </row>
    <row r="28" spans="1:11" x14ac:dyDescent="0.3">
      <c r="E28" s="39"/>
    </row>
    <row r="29" spans="1:11" x14ac:dyDescent="0.3">
      <c r="B29" t="s">
        <v>291</v>
      </c>
      <c r="E29" s="40"/>
    </row>
    <row r="30" spans="1:11" x14ac:dyDescent="0.3">
      <c r="E30" s="40"/>
    </row>
    <row r="31" spans="1:11" x14ac:dyDescent="0.3">
      <c r="A31" t="s">
        <v>1</v>
      </c>
      <c r="B31" t="s">
        <v>32</v>
      </c>
      <c r="E31" s="40"/>
    </row>
    <row r="32" spans="1:11" x14ac:dyDescent="0.3">
      <c r="E32" s="40"/>
    </row>
    <row r="33" spans="1:5" x14ac:dyDescent="0.3">
      <c r="B33" t="s">
        <v>31</v>
      </c>
      <c r="E33" s="40"/>
    </row>
    <row r="34" spans="1:5" x14ac:dyDescent="0.3">
      <c r="E34" s="40"/>
    </row>
    <row r="35" spans="1:5" x14ac:dyDescent="0.3">
      <c r="A35" t="s">
        <v>0</v>
      </c>
      <c r="B35" t="s">
        <v>30</v>
      </c>
      <c r="E35" s="40"/>
    </row>
    <row r="36" spans="1:5" x14ac:dyDescent="0.3">
      <c r="E36" s="40"/>
    </row>
    <row r="37" spans="1:5" x14ac:dyDescent="0.3">
      <c r="E37" s="39"/>
    </row>
    <row r="38" spans="1:5" x14ac:dyDescent="0.3">
      <c r="E38" s="41"/>
    </row>
    <row r="39" spans="1:5" x14ac:dyDescent="0.3">
      <c r="E39" s="39"/>
    </row>
    <row r="40" spans="1:5" x14ac:dyDescent="0.3">
      <c r="E40" s="39"/>
    </row>
    <row r="41" spans="1:5" x14ac:dyDescent="0.3">
      <c r="E41" s="40"/>
    </row>
    <row r="42" spans="1:5" x14ac:dyDescent="0.3">
      <c r="E42" s="39"/>
    </row>
    <row r="43" spans="1:5" x14ac:dyDescent="0.3">
      <c r="E43" s="39"/>
    </row>
    <row r="44" spans="1:5" x14ac:dyDescent="0.3">
      <c r="E44" s="41"/>
    </row>
    <row r="45" spans="1:5" x14ac:dyDescent="0.3">
      <c r="E45" s="39"/>
    </row>
    <row r="46" spans="1:5" x14ac:dyDescent="0.3">
      <c r="E46" s="39"/>
    </row>
    <row r="47" spans="1:5" x14ac:dyDescent="0.3">
      <c r="E47" s="39"/>
    </row>
    <row r="48" spans="1:5" x14ac:dyDescent="0.3">
      <c r="E48" s="39"/>
    </row>
    <row r="49" spans="5:5" x14ac:dyDescent="0.3">
      <c r="E49" s="39"/>
    </row>
    <row r="50" spans="5:5" x14ac:dyDescent="0.3">
      <c r="E50" s="41"/>
    </row>
    <row r="51" spans="5:5" x14ac:dyDescent="0.3">
      <c r="E51" s="39"/>
    </row>
    <row r="52" spans="5:5" x14ac:dyDescent="0.3">
      <c r="E52" s="39"/>
    </row>
    <row r="53" spans="5:5" x14ac:dyDescent="0.3">
      <c r="E53" s="40"/>
    </row>
    <row r="54" spans="5:5" x14ac:dyDescent="0.3">
      <c r="E54" s="39"/>
    </row>
    <row r="55" spans="5:5" x14ac:dyDescent="0.3">
      <c r="E55" s="39"/>
    </row>
    <row r="56" spans="5:5" x14ac:dyDescent="0.3">
      <c r="E56" s="38"/>
    </row>
    <row r="57" spans="5:5" x14ac:dyDescent="0.3">
      <c r="E57" s="37"/>
    </row>
    <row r="58" spans="5:5" x14ac:dyDescent="0.3">
      <c r="E58" s="37"/>
    </row>
    <row r="59" spans="5:5" x14ac:dyDescent="0.3">
      <c r="E59" s="37"/>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215FA-651A-4B6E-BA0D-04D7FA04D849}">
  <sheetPr>
    <tabColor theme="9" tint="0.59999389629810485"/>
  </sheetPr>
  <dimension ref="A1:M102"/>
  <sheetViews>
    <sheetView zoomScale="115" zoomScaleNormal="115" workbookViewId="0"/>
  </sheetViews>
  <sheetFormatPr defaultRowHeight="14.4" x14ac:dyDescent="0.3"/>
  <cols>
    <col min="2" max="11" width="13.5546875" customWidth="1"/>
  </cols>
  <sheetData>
    <row r="1" spans="1:11" x14ac:dyDescent="0.3">
      <c r="A1" s="131" t="s">
        <v>312</v>
      </c>
    </row>
    <row r="3" spans="1:11" x14ac:dyDescent="0.3">
      <c r="A3" s="9" t="s">
        <v>8</v>
      </c>
    </row>
    <row r="4" spans="1:11" x14ac:dyDescent="0.3">
      <c r="A4" t="s">
        <v>46</v>
      </c>
    </row>
    <row r="5" spans="1:11" x14ac:dyDescent="0.3">
      <c r="A5" s="9"/>
    </row>
    <row r="8" spans="1:11" x14ac:dyDescent="0.3">
      <c r="B8" s="8" t="s">
        <v>7</v>
      </c>
      <c r="C8" s="7"/>
      <c r="D8" s="6"/>
      <c r="F8" s="8" t="s">
        <v>6</v>
      </c>
      <c r="G8" s="7"/>
      <c r="H8" s="7"/>
      <c r="I8" s="7"/>
      <c r="J8" s="7"/>
      <c r="K8" s="6"/>
    </row>
    <row r="9" spans="1:11" x14ac:dyDescent="0.3">
      <c r="B9" s="5" t="s">
        <v>45</v>
      </c>
      <c r="C9" s="4"/>
      <c r="D9" s="3"/>
      <c r="F9" s="5" t="s">
        <v>44</v>
      </c>
      <c r="G9" s="4"/>
      <c r="H9" s="4"/>
      <c r="I9" s="4"/>
      <c r="J9" s="4"/>
      <c r="K9" s="3"/>
    </row>
    <row r="10" spans="1:11" x14ac:dyDescent="0.3">
      <c r="E10" s="40"/>
    </row>
    <row r="11" spans="1:11" ht="43.2" x14ac:dyDescent="0.3">
      <c r="B11" s="12" t="s">
        <v>43</v>
      </c>
      <c r="C11" s="47" t="s">
        <v>42</v>
      </c>
      <c r="D11" s="47" t="s">
        <v>41</v>
      </c>
      <c r="E11" s="12"/>
      <c r="F11" s="47" t="s">
        <v>40</v>
      </c>
      <c r="G11" s="47" t="s">
        <v>39</v>
      </c>
      <c r="H11" s="47" t="s">
        <v>38</v>
      </c>
      <c r="I11" s="47" t="s">
        <v>37</v>
      </c>
      <c r="J11" s="47" t="s">
        <v>36</v>
      </c>
      <c r="K11" s="47" t="s">
        <v>35</v>
      </c>
    </row>
    <row r="12" spans="1:11" x14ac:dyDescent="0.3">
      <c r="B12" s="12">
        <v>99202</v>
      </c>
      <c r="C12" s="49">
        <v>73.97</v>
      </c>
      <c r="D12" s="29">
        <v>75</v>
      </c>
      <c r="E12" s="12"/>
      <c r="F12" s="27">
        <v>3.8613119807636429</v>
      </c>
      <c r="G12" s="27">
        <v>0.34796923827964887</v>
      </c>
      <c r="H12" s="27">
        <v>5.7187650495426345E-2</v>
      </c>
      <c r="I12" s="27">
        <v>1.7571846774389501</v>
      </c>
      <c r="J12" s="27">
        <v>0.40181894916553335</v>
      </c>
      <c r="K12" s="27">
        <v>0.39241746755010853</v>
      </c>
    </row>
    <row r="13" spans="1:11" x14ac:dyDescent="0.3">
      <c r="B13" s="12">
        <v>99203</v>
      </c>
      <c r="C13" s="49">
        <v>113.75</v>
      </c>
      <c r="D13" s="29">
        <v>120</v>
      </c>
      <c r="E13" s="12"/>
      <c r="F13" s="27">
        <v>7.0203302688799054</v>
      </c>
      <c r="G13" s="27">
        <v>2.0471095622755588</v>
      </c>
      <c r="H13" s="27">
        <v>0.1627908326818053</v>
      </c>
      <c r="I13" s="27">
        <v>2.2078634391606111</v>
      </c>
      <c r="J13" s="27">
        <v>0.74012499364834372</v>
      </c>
      <c r="K13" s="27">
        <v>1.3830328134644143</v>
      </c>
    </row>
    <row r="14" spans="1:11" x14ac:dyDescent="0.3">
      <c r="B14" s="12">
        <v>99204</v>
      </c>
      <c r="C14" s="49">
        <v>169.93</v>
      </c>
      <c r="D14" s="29">
        <v>150</v>
      </c>
      <c r="E14" s="12"/>
      <c r="F14" s="27">
        <v>4.6413030937869744</v>
      </c>
      <c r="G14" s="27">
        <v>4.984275746758918</v>
      </c>
      <c r="H14" s="27">
        <v>0.21250536856113947</v>
      </c>
      <c r="I14" s="27">
        <v>0.73461903065247491</v>
      </c>
      <c r="J14" s="27">
        <v>0.28871871771623209</v>
      </c>
      <c r="K14" s="27">
        <v>1.540798898511522</v>
      </c>
    </row>
    <row r="15" spans="1:11" x14ac:dyDescent="0.3">
      <c r="B15" s="12">
        <v>99205</v>
      </c>
      <c r="C15" s="49">
        <v>224.36</v>
      </c>
      <c r="D15" s="29">
        <v>300</v>
      </c>
      <c r="E15" s="12"/>
      <c r="F15" s="27">
        <v>1.1242502151894065</v>
      </c>
      <c r="G15" s="27">
        <v>1.5479130865190112</v>
      </c>
      <c r="H15" s="27">
        <v>0.13340282365568382</v>
      </c>
      <c r="I15" s="27">
        <v>0.18761627302523923</v>
      </c>
      <c r="J15" s="27">
        <v>6.5968970503815311E-2</v>
      </c>
      <c r="K15" s="27">
        <v>0.33219018071837425</v>
      </c>
    </row>
    <row r="16" spans="1:11" x14ac:dyDescent="0.3">
      <c r="B16" s="12">
        <v>99211</v>
      </c>
      <c r="C16" s="49">
        <v>23.03</v>
      </c>
      <c r="D16" s="29">
        <v>25</v>
      </c>
      <c r="E16" s="12"/>
      <c r="F16" s="27">
        <v>0.68168713784538448</v>
      </c>
      <c r="G16" s="27">
        <v>2.7609256159111557</v>
      </c>
      <c r="H16" s="27">
        <v>1.5801163175567456E-2</v>
      </c>
      <c r="I16" s="27">
        <v>0.18216502822366504</v>
      </c>
      <c r="J16" s="27">
        <v>9.2999460603091999E-2</v>
      </c>
      <c r="K16" s="27">
        <v>0.17992085857831674</v>
      </c>
    </row>
    <row r="17" spans="1:13" x14ac:dyDescent="0.3">
      <c r="B17" s="12">
        <v>99212</v>
      </c>
      <c r="C17" s="49">
        <v>56.88</v>
      </c>
      <c r="D17" s="29">
        <v>55</v>
      </c>
      <c r="E17" s="12"/>
      <c r="F17" s="27">
        <v>5.8900055467394843</v>
      </c>
      <c r="G17" s="27">
        <v>1.6542420216371738</v>
      </c>
      <c r="H17" s="27">
        <v>0.16926519427885828</v>
      </c>
      <c r="I17" s="27">
        <v>1.8498158387250641</v>
      </c>
      <c r="J17" s="27">
        <v>0.50757231240605272</v>
      </c>
      <c r="K17" s="27">
        <v>1.3592252689222062</v>
      </c>
    </row>
    <row r="18" spans="1:13" x14ac:dyDescent="0.3">
      <c r="B18" s="12">
        <v>99213</v>
      </c>
      <c r="C18" s="50">
        <v>92.47</v>
      </c>
      <c r="D18" s="29">
        <v>90</v>
      </c>
      <c r="E18" s="12"/>
      <c r="F18" s="27">
        <v>12.272662506700941</v>
      </c>
      <c r="G18" s="27">
        <v>17.139322953534577</v>
      </c>
      <c r="H18" s="27">
        <v>0.4102635423839141</v>
      </c>
      <c r="I18" s="27">
        <v>2.5490002669396485</v>
      </c>
      <c r="J18" s="27">
        <v>0.93432441951877765</v>
      </c>
      <c r="K18" s="27">
        <v>4.1469339779737409</v>
      </c>
    </row>
    <row r="19" spans="1:13" x14ac:dyDescent="0.3">
      <c r="B19" s="12">
        <v>99214</v>
      </c>
      <c r="C19" s="49">
        <v>131.19999999999999</v>
      </c>
      <c r="D19" s="29">
        <v>130</v>
      </c>
      <c r="E19" s="12"/>
      <c r="F19" s="27">
        <v>5.7862867904040858</v>
      </c>
      <c r="G19" s="27">
        <v>27.510353299966372</v>
      </c>
      <c r="H19" s="27">
        <v>0.24628732344168705</v>
      </c>
      <c r="I19" s="27">
        <v>0.69707867760328046</v>
      </c>
      <c r="J19" s="27">
        <v>0.29586560919536581</v>
      </c>
      <c r="K19" s="27">
        <v>1.5966299608297001</v>
      </c>
    </row>
    <row r="20" spans="1:13" x14ac:dyDescent="0.3">
      <c r="B20" s="12">
        <v>99215</v>
      </c>
      <c r="C20" s="49">
        <v>183.19</v>
      </c>
      <c r="D20" s="29">
        <v>200</v>
      </c>
      <c r="E20" s="12"/>
      <c r="F20" s="27">
        <v>1.1810713254067307</v>
      </c>
      <c r="G20" s="27">
        <v>3.4010075895429051</v>
      </c>
      <c r="H20" s="27">
        <v>7.0267795382428763E-2</v>
      </c>
      <c r="I20" s="27">
        <v>0.17377611641324672</v>
      </c>
      <c r="J20" s="27">
        <v>4.719167475946108E-2</v>
      </c>
      <c r="K20" s="27">
        <v>0.27886066099058798</v>
      </c>
    </row>
    <row r="21" spans="1:13" x14ac:dyDescent="0.3">
      <c r="B21" s="12">
        <v>99231</v>
      </c>
      <c r="C21" s="49">
        <v>38.380000000000003</v>
      </c>
      <c r="D21" s="29">
        <v>30</v>
      </c>
      <c r="E21" s="12"/>
      <c r="F21" s="27">
        <v>2.1347846040130558</v>
      </c>
      <c r="G21" s="27">
        <v>0.97307201373418217</v>
      </c>
      <c r="H21" s="27">
        <v>9.319993278670631E-2</v>
      </c>
      <c r="I21" s="27">
        <v>5.7714825304285698E-2</v>
      </c>
      <c r="J21" s="27">
        <v>8.8561645162675395E-2</v>
      </c>
      <c r="K21" s="27">
        <v>0.34868679028576904</v>
      </c>
    </row>
    <row r="22" spans="1:13" x14ac:dyDescent="0.3">
      <c r="B22" s="12">
        <v>99232</v>
      </c>
      <c r="C22" s="49">
        <v>71.88</v>
      </c>
      <c r="D22" s="29">
        <v>60</v>
      </c>
      <c r="E22" s="12"/>
      <c r="F22" s="27">
        <v>2.8414082828588474</v>
      </c>
      <c r="G22" s="27">
        <v>5.406365437995686</v>
      </c>
      <c r="H22" s="27">
        <v>9.5643225398667875E-2</v>
      </c>
      <c r="I22" s="27">
        <v>4.8978103778700474E-2</v>
      </c>
      <c r="J22" s="27">
        <v>8.4259803528779778E-2</v>
      </c>
      <c r="K22" s="27">
        <v>0.3156316184155894</v>
      </c>
    </row>
    <row r="23" spans="1:13" x14ac:dyDescent="0.3">
      <c r="B23" s="12">
        <v>99233</v>
      </c>
      <c r="C23" s="49">
        <v>103.28</v>
      </c>
      <c r="D23" s="29">
        <v>100</v>
      </c>
      <c r="E23" s="12"/>
      <c r="F23" s="27">
        <v>1.1005558524678882</v>
      </c>
      <c r="G23" s="27">
        <v>2.8487407730849306</v>
      </c>
      <c r="H23" s="27">
        <v>5.7236561622303242E-2</v>
      </c>
      <c r="I23" s="27">
        <v>1.9655748721044437E-2</v>
      </c>
      <c r="J23" s="27">
        <v>3.8685447761404791E-2</v>
      </c>
      <c r="K23" s="27">
        <v>9.6832454666950826E-2</v>
      </c>
    </row>
    <row r="24" spans="1:13" x14ac:dyDescent="0.3">
      <c r="B24" s="12"/>
      <c r="C24" s="48"/>
      <c r="D24" s="27"/>
      <c r="E24" s="12"/>
      <c r="F24" s="27"/>
      <c r="G24" s="27"/>
      <c r="H24" s="27"/>
      <c r="I24" s="27"/>
      <c r="J24" s="27"/>
      <c r="K24" s="27"/>
    </row>
    <row r="25" spans="1:13" x14ac:dyDescent="0.3">
      <c r="B25" t="s">
        <v>34</v>
      </c>
      <c r="E25" s="41"/>
    </row>
    <row r="26" spans="1:13" x14ac:dyDescent="0.3">
      <c r="E26" s="39"/>
    </row>
    <row r="27" spans="1:13" x14ac:dyDescent="0.3">
      <c r="A27" t="s">
        <v>2</v>
      </c>
      <c r="B27" t="s">
        <v>33</v>
      </c>
      <c r="E27" s="39"/>
    </row>
    <row r="28" spans="1:13" x14ac:dyDescent="0.3">
      <c r="E28" s="39"/>
    </row>
    <row r="29" spans="1:13" ht="29.4" thickBot="1" x14ac:dyDescent="0.35">
      <c r="D29" s="51" t="str">
        <f>$C$11</f>
        <v>National Medicare</v>
      </c>
      <c r="E29" s="47" t="str">
        <f>$D$11</f>
        <v>CareSystem Fee Schedule</v>
      </c>
      <c r="F29" s="47" t="s">
        <v>64</v>
      </c>
      <c r="G29" s="46"/>
      <c r="H29" s="23"/>
      <c r="I29" s="15" t="s">
        <v>11</v>
      </c>
      <c r="K29" s="46"/>
      <c r="M29" s="46"/>
    </row>
    <row r="30" spans="1:13" x14ac:dyDescent="0.3">
      <c r="C30" s="10" t="str" cm="1">
        <f t="array" ref="C30:C35">TRANSPOSE(F11:K11)</f>
        <v>General Surgery</v>
      </c>
      <c r="D30" s="29">
        <f>SUMPRODUCT($F$12:$F$23,C$12:C$23)/SUM($F$12:$F$23)</f>
        <v>102.72969397218355</v>
      </c>
      <c r="E30" s="29">
        <f>SUMPRODUCT($F$12:$F$23,D$12:D$23)/SUM($F$12:$F$23)</f>
        <v>101.86440404230038</v>
      </c>
      <c r="F30" s="52">
        <f t="shared" ref="F30:F35" si="0">E30/D30</f>
        <v>0.99157702221796284</v>
      </c>
      <c r="I30" t="s">
        <v>63</v>
      </c>
    </row>
    <row r="31" spans="1:13" x14ac:dyDescent="0.3">
      <c r="C31" s="10" t="str">
        <v>Cardiology / Cardiac Surgery</v>
      </c>
      <c r="D31" s="29">
        <f>SUMPRODUCT($G$12:$G$23,C$12:C$23)/SUM($G$12:$G$23)</f>
        <v>115.37566698044918</v>
      </c>
      <c r="E31" s="29">
        <f>SUMPRODUCT($G$12:$G$23,D$12:D$23)/SUM($G$12:$G$23)</f>
        <v>114.43158878552175</v>
      </c>
      <c r="F31" s="53">
        <f t="shared" si="0"/>
        <v>0.99181735438992169</v>
      </c>
    </row>
    <row r="32" spans="1:13" x14ac:dyDescent="0.3">
      <c r="C32" s="10" t="str">
        <v>Thoracic surgery</v>
      </c>
      <c r="D32" s="29">
        <f>SUMPRODUCT($H$12:$H$23,C$12:C$23)/SUM($H$12:$H$23)</f>
        <v>115.01350438088235</v>
      </c>
      <c r="E32" s="29">
        <f>SUMPRODUCT($H$12:$H$23,D$12:D$23)/SUM($H$12:$H$23)</f>
        <v>117.57284695927557</v>
      </c>
      <c r="F32" s="53">
        <f t="shared" si="0"/>
        <v>1.0222525397532243</v>
      </c>
      <c r="I32" t="s">
        <v>62</v>
      </c>
    </row>
    <row r="33" spans="1:9" x14ac:dyDescent="0.3">
      <c r="C33" s="10" t="str">
        <v>Plastic and reconstructive surgery</v>
      </c>
      <c r="D33" s="29">
        <f>SUMPRODUCT($I$12:$I$23,C$12:C$23)/SUM($I$12:$I$23)</f>
        <v>97.867205692738651</v>
      </c>
      <c r="E33" s="29">
        <f>SUMPRODUCT($I$12:$I$23,D$12:D$23)/SUM($I$12:$I$23)</f>
        <v>98.507336274103992</v>
      </c>
      <c r="F33" s="53">
        <f t="shared" si="0"/>
        <v>1.0065408077898441</v>
      </c>
    </row>
    <row r="34" spans="1:9" x14ac:dyDescent="0.3">
      <c r="C34" s="10" t="str">
        <v>Colorectal surgery</v>
      </c>
      <c r="D34" s="29">
        <f>SUMPRODUCT($J$12:$J$23,C$12:C$23)/SUM($J$12:$J$23)</f>
        <v>99.29963857494738</v>
      </c>
      <c r="E34" s="29">
        <f>SUMPRODUCT($J$12:$J$23,D$12:D$23)/SUM($J$12:$J$23)</f>
        <v>99.234048313322745</v>
      </c>
      <c r="F34" s="53">
        <f t="shared" si="0"/>
        <v>0.99933947129550593</v>
      </c>
      <c r="I34" t="s">
        <v>61</v>
      </c>
    </row>
    <row r="35" spans="1:9" ht="15" thickBot="1" x14ac:dyDescent="0.35">
      <c r="C35" s="10" t="str">
        <v>Neurosurgery</v>
      </c>
      <c r="D35" s="29">
        <f>SUMPRODUCT($K$12:$K$23,C$12:C$23)/SUM($K$12:$K$23)</f>
        <v>108.11498903950471</v>
      </c>
      <c r="E35" s="29">
        <f>SUMPRODUCT($K$12:$K$23,D$12:D$23)/SUM($K$12:$K$23)</f>
        <v>107.01279387912132</v>
      </c>
      <c r="F35" s="54">
        <f t="shared" si="0"/>
        <v>0.98980534364221551</v>
      </c>
    </row>
    <row r="36" spans="1:9" x14ac:dyDescent="0.3">
      <c r="C36" s="10"/>
      <c r="D36" s="45"/>
      <c r="E36" s="45"/>
    </row>
    <row r="37" spans="1:9" x14ac:dyDescent="0.3">
      <c r="B37" t="s">
        <v>291</v>
      </c>
      <c r="E37" s="42"/>
    </row>
    <row r="38" spans="1:9" x14ac:dyDescent="0.3">
      <c r="E38" s="40"/>
    </row>
    <row r="39" spans="1:9" x14ac:dyDescent="0.3">
      <c r="A39" t="s">
        <v>1</v>
      </c>
      <c r="B39" t="s">
        <v>32</v>
      </c>
      <c r="E39" s="40"/>
    </row>
    <row r="40" spans="1:9" x14ac:dyDescent="0.3">
      <c r="E40" s="40"/>
    </row>
    <row r="41" spans="1:9" ht="28.8" x14ac:dyDescent="0.3">
      <c r="B41" s="12" t="str">
        <f t="shared" ref="B41:B53" si="1">B11</f>
        <v>CPT Code</v>
      </c>
      <c r="C41" s="47" t="str">
        <f t="shared" ref="C41:C53" si="2">D11</f>
        <v>CareSystem Fee Schedule</v>
      </c>
      <c r="D41" s="12" t="s">
        <v>9</v>
      </c>
      <c r="E41" s="23"/>
      <c r="F41" s="23"/>
      <c r="G41" s="23"/>
      <c r="H41" s="23"/>
      <c r="I41" s="15" t="s">
        <v>11</v>
      </c>
    </row>
    <row r="42" spans="1:9" x14ac:dyDescent="0.3">
      <c r="B42" s="12">
        <f t="shared" si="1"/>
        <v>99202</v>
      </c>
      <c r="C42" s="29">
        <f t="shared" si="2"/>
        <v>75</v>
      </c>
      <c r="D42" s="29">
        <f t="shared" ref="D42:D53" si="3">SUM(F12:K12)</f>
        <v>6.8178899636933101</v>
      </c>
      <c r="E42" s="22"/>
      <c r="F42" s="22"/>
      <c r="G42" s="22"/>
      <c r="H42" s="22"/>
      <c r="I42" t="s">
        <v>60</v>
      </c>
    </row>
    <row r="43" spans="1:9" x14ac:dyDescent="0.3">
      <c r="B43" s="12">
        <f t="shared" si="1"/>
        <v>99203</v>
      </c>
      <c r="C43" s="29">
        <f t="shared" si="2"/>
        <v>120</v>
      </c>
      <c r="D43" s="29">
        <f t="shared" si="3"/>
        <v>13.56125191011064</v>
      </c>
      <c r="E43" s="22"/>
      <c r="F43" s="22"/>
      <c r="G43" s="22"/>
      <c r="H43" s="22"/>
    </row>
    <row r="44" spans="1:9" x14ac:dyDescent="0.3">
      <c r="B44" s="12">
        <f t="shared" si="1"/>
        <v>99204</v>
      </c>
      <c r="C44" s="29">
        <f t="shared" si="2"/>
        <v>150</v>
      </c>
      <c r="D44" s="29">
        <f t="shared" si="3"/>
        <v>12.40222085598726</v>
      </c>
      <c r="E44" s="22"/>
      <c r="F44" s="22"/>
      <c r="G44" s="22"/>
      <c r="H44" s="22"/>
    </row>
    <row r="45" spans="1:9" x14ac:dyDescent="0.3">
      <c r="B45" s="12">
        <f t="shared" si="1"/>
        <v>99205</v>
      </c>
      <c r="C45" s="29">
        <f t="shared" si="2"/>
        <v>300</v>
      </c>
      <c r="D45" s="29">
        <f t="shared" si="3"/>
        <v>3.3913415496115302</v>
      </c>
      <c r="E45" s="22"/>
      <c r="F45" s="22"/>
      <c r="G45" s="22"/>
      <c r="H45" s="22"/>
    </row>
    <row r="46" spans="1:9" x14ac:dyDescent="0.3">
      <c r="B46" s="12">
        <f t="shared" si="1"/>
        <v>99211</v>
      </c>
      <c r="C46" s="29">
        <f t="shared" si="2"/>
        <v>25</v>
      </c>
      <c r="D46" s="29">
        <f t="shared" si="3"/>
        <v>3.9134992643371813</v>
      </c>
      <c r="E46" s="22"/>
      <c r="F46" s="22"/>
      <c r="G46" s="22"/>
      <c r="H46" s="22"/>
    </row>
    <row r="47" spans="1:9" x14ac:dyDescent="0.3">
      <c r="B47" s="12">
        <f t="shared" si="1"/>
        <v>99212</v>
      </c>
      <c r="C47" s="29">
        <f t="shared" si="2"/>
        <v>55</v>
      </c>
      <c r="D47" s="29">
        <f t="shared" si="3"/>
        <v>11.430126182708838</v>
      </c>
      <c r="E47" s="22"/>
      <c r="F47" s="22"/>
      <c r="G47" s="22"/>
      <c r="H47" s="22"/>
    </row>
    <row r="48" spans="1:9" x14ac:dyDescent="0.3">
      <c r="B48" s="12">
        <f t="shared" si="1"/>
        <v>99213</v>
      </c>
      <c r="C48" s="29">
        <f t="shared" si="2"/>
        <v>90</v>
      </c>
      <c r="D48" s="29">
        <f t="shared" si="3"/>
        <v>37.452507667051599</v>
      </c>
      <c r="E48" s="22"/>
      <c r="F48" s="22"/>
      <c r="G48" s="22"/>
      <c r="H48" s="22"/>
    </row>
    <row r="49" spans="1:12" x14ac:dyDescent="0.3">
      <c r="B49" s="12">
        <f t="shared" si="1"/>
        <v>99214</v>
      </c>
      <c r="C49" s="29">
        <f t="shared" si="2"/>
        <v>130</v>
      </c>
      <c r="D49" s="29">
        <f t="shared" si="3"/>
        <v>36.132501661440493</v>
      </c>
      <c r="E49" s="22"/>
      <c r="F49" s="22"/>
      <c r="G49" s="22"/>
      <c r="H49" s="22"/>
    </row>
    <row r="50" spans="1:12" x14ac:dyDescent="0.3">
      <c r="B50" s="12">
        <f t="shared" si="1"/>
        <v>99215</v>
      </c>
      <c r="C50" s="29">
        <f t="shared" si="2"/>
        <v>200</v>
      </c>
      <c r="D50" s="29">
        <f t="shared" si="3"/>
        <v>5.15217516249536</v>
      </c>
      <c r="E50" s="22"/>
      <c r="F50" s="22"/>
      <c r="G50" s="22"/>
      <c r="H50" s="22"/>
    </row>
    <row r="51" spans="1:12" x14ac:dyDescent="0.3">
      <c r="B51" s="12">
        <f t="shared" si="1"/>
        <v>99231</v>
      </c>
      <c r="C51" s="29">
        <f t="shared" si="2"/>
        <v>30</v>
      </c>
      <c r="D51" s="29">
        <f t="shared" si="3"/>
        <v>3.6960198112866749</v>
      </c>
      <c r="E51" s="22"/>
      <c r="F51" s="22"/>
      <c r="G51" s="22"/>
      <c r="H51" s="22"/>
    </row>
    <row r="52" spans="1:12" x14ac:dyDescent="0.3">
      <c r="B52" s="12">
        <f t="shared" si="1"/>
        <v>99232</v>
      </c>
      <c r="C52" s="29">
        <f t="shared" si="2"/>
        <v>60</v>
      </c>
      <c r="D52" s="29">
        <f t="shared" si="3"/>
        <v>8.7922864719762703</v>
      </c>
      <c r="E52" s="22"/>
      <c r="F52" s="22"/>
      <c r="G52" s="22"/>
      <c r="H52" s="22"/>
    </row>
    <row r="53" spans="1:12" x14ac:dyDescent="0.3">
      <c r="B53" s="12">
        <f t="shared" si="1"/>
        <v>99233</v>
      </c>
      <c r="C53" s="29">
        <f t="shared" si="2"/>
        <v>100</v>
      </c>
      <c r="D53" s="29">
        <f t="shared" si="3"/>
        <v>4.1617068383245224</v>
      </c>
      <c r="E53" s="22"/>
      <c r="F53" s="22"/>
      <c r="G53" s="22"/>
      <c r="H53" s="22"/>
      <c r="I53" t="s">
        <v>59</v>
      </c>
    </row>
    <row r="54" spans="1:12" ht="15" thickBot="1" x14ac:dyDescent="0.35">
      <c r="B54" s="12"/>
      <c r="C54" s="29"/>
      <c r="D54" s="29"/>
      <c r="E54" s="41"/>
    </row>
    <row r="55" spans="1:12" ht="30" customHeight="1" thickBot="1" x14ac:dyDescent="0.35">
      <c r="B55" s="12"/>
      <c r="C55" s="29"/>
      <c r="D55" s="55">
        <f>SUMPRODUCT(C42:C53,D42:D53)</f>
        <v>15895.896396439846</v>
      </c>
      <c r="E55" s="28" t="s">
        <v>58</v>
      </c>
      <c r="F55" s="22"/>
      <c r="G55" s="22"/>
      <c r="I55" t="s">
        <v>57</v>
      </c>
    </row>
    <row r="56" spans="1:12" ht="15" thickBot="1" x14ac:dyDescent="0.35">
      <c r="B56" s="12"/>
      <c r="C56" s="29"/>
      <c r="D56" s="55">
        <f>D55/12000</f>
        <v>1.3246580330366537</v>
      </c>
      <c r="E56" s="28" t="s">
        <v>56</v>
      </c>
    </row>
    <row r="57" spans="1:12" x14ac:dyDescent="0.3">
      <c r="C57" s="10"/>
      <c r="D57" s="10"/>
      <c r="E57" s="28"/>
    </row>
    <row r="58" spans="1:12" x14ac:dyDescent="0.3">
      <c r="B58" t="s">
        <v>31</v>
      </c>
      <c r="C58" s="10"/>
      <c r="D58" s="10"/>
      <c r="E58" s="40"/>
    </row>
    <row r="59" spans="1:12" x14ac:dyDescent="0.3">
      <c r="E59" s="40"/>
    </row>
    <row r="60" spans="1:12" x14ac:dyDescent="0.3">
      <c r="A60" t="s">
        <v>0</v>
      </c>
      <c r="B60" t="s">
        <v>30</v>
      </c>
      <c r="E60" s="40"/>
    </row>
    <row r="61" spans="1:12" x14ac:dyDescent="0.3">
      <c r="E61" s="40"/>
    </row>
    <row r="62" spans="1:12" ht="43.2" x14ac:dyDescent="0.3">
      <c r="B62" s="12" t="str">
        <f t="shared" ref="B62:B74" si="4">B41</f>
        <v>CPT Code</v>
      </c>
      <c r="C62" s="47" t="str">
        <f t="shared" ref="C62:C74" si="5">D11</f>
        <v>CareSystem Fee Schedule</v>
      </c>
      <c r="D62" s="47" t="str">
        <f t="shared" ref="D62:D74" si="6">F11</f>
        <v>General Surgery</v>
      </c>
      <c r="E62" s="47" t="str">
        <f t="shared" ref="E62:E74" si="7">G11</f>
        <v>Cardiology / Cardiac Surgery</v>
      </c>
      <c r="F62" s="47" t="str">
        <f t="shared" ref="F62:F74" si="8">H11</f>
        <v>Thoracic surgery</v>
      </c>
      <c r="G62" s="47" t="str">
        <f t="shared" ref="G62:G74" si="9">I11</f>
        <v>Plastic and reconstructive surgery</v>
      </c>
      <c r="H62" s="47" t="str">
        <f t="shared" ref="H62:H74" si="10">J11</f>
        <v>Colorectal surgery</v>
      </c>
      <c r="I62" s="47" t="str">
        <f t="shared" ref="I62:I74" si="11">K11</f>
        <v>Neurosurgery</v>
      </c>
      <c r="J62" s="47" t="s">
        <v>9</v>
      </c>
      <c r="L62" s="15" t="s">
        <v>11</v>
      </c>
    </row>
    <row r="63" spans="1:12" x14ac:dyDescent="0.3">
      <c r="B63" s="12">
        <f t="shared" si="4"/>
        <v>99202</v>
      </c>
      <c r="C63" s="29">
        <f t="shared" si="5"/>
        <v>75</v>
      </c>
      <c r="D63" s="27">
        <f t="shared" si="6"/>
        <v>3.8613119807636429</v>
      </c>
      <c r="E63" s="27">
        <f t="shared" si="7"/>
        <v>0.34796923827964887</v>
      </c>
      <c r="F63" s="27">
        <f t="shared" si="8"/>
        <v>5.7187650495426345E-2</v>
      </c>
      <c r="G63" s="27">
        <f t="shared" si="9"/>
        <v>1.7571846774389501</v>
      </c>
      <c r="H63" s="27">
        <f t="shared" si="10"/>
        <v>0.40181894916553335</v>
      </c>
      <c r="I63" s="27">
        <f t="shared" si="11"/>
        <v>0.39241746755010853</v>
      </c>
      <c r="J63" s="27">
        <f t="shared" ref="J63:J74" si="12">SUM(D63:I63)</f>
        <v>6.8178899636933101</v>
      </c>
      <c r="L63" t="s">
        <v>55</v>
      </c>
    </row>
    <row r="64" spans="1:12" x14ac:dyDescent="0.3">
      <c r="B64" s="12">
        <f t="shared" si="4"/>
        <v>99203</v>
      </c>
      <c r="C64" s="29">
        <f t="shared" si="5"/>
        <v>120</v>
      </c>
      <c r="D64" s="27">
        <f t="shared" si="6"/>
        <v>7.0203302688799054</v>
      </c>
      <c r="E64" s="27">
        <f t="shared" si="7"/>
        <v>2.0471095622755588</v>
      </c>
      <c r="F64" s="27">
        <f t="shared" si="8"/>
        <v>0.1627908326818053</v>
      </c>
      <c r="G64" s="27">
        <f t="shared" si="9"/>
        <v>2.2078634391606111</v>
      </c>
      <c r="H64" s="27">
        <f t="shared" si="10"/>
        <v>0.74012499364834372</v>
      </c>
      <c r="I64" s="27">
        <f t="shared" si="11"/>
        <v>1.3830328134644143</v>
      </c>
      <c r="J64" s="27">
        <f t="shared" si="12"/>
        <v>13.56125191011064</v>
      </c>
      <c r="L64" t="s">
        <v>54</v>
      </c>
    </row>
    <row r="65" spans="2:12" x14ac:dyDescent="0.3">
      <c r="B65" s="12">
        <f t="shared" si="4"/>
        <v>99204</v>
      </c>
      <c r="C65" s="29">
        <f t="shared" si="5"/>
        <v>150</v>
      </c>
      <c r="D65" s="27">
        <f t="shared" si="6"/>
        <v>4.6413030937869744</v>
      </c>
      <c r="E65" s="27">
        <f t="shared" si="7"/>
        <v>4.984275746758918</v>
      </c>
      <c r="F65" s="27">
        <f t="shared" si="8"/>
        <v>0.21250536856113947</v>
      </c>
      <c r="G65" s="27">
        <f t="shared" si="9"/>
        <v>0.73461903065247491</v>
      </c>
      <c r="H65" s="27">
        <f t="shared" si="10"/>
        <v>0.28871871771623209</v>
      </c>
      <c r="I65" s="27">
        <f t="shared" si="11"/>
        <v>1.540798898511522</v>
      </c>
      <c r="J65" s="27">
        <f t="shared" si="12"/>
        <v>12.40222085598726</v>
      </c>
    </row>
    <row r="66" spans="2:12" x14ac:dyDescent="0.3">
      <c r="B66" s="12">
        <f t="shared" si="4"/>
        <v>99205</v>
      </c>
      <c r="C66" s="29">
        <f t="shared" si="5"/>
        <v>300</v>
      </c>
      <c r="D66" s="27">
        <f t="shared" si="6"/>
        <v>1.1242502151894065</v>
      </c>
      <c r="E66" s="27">
        <f t="shared" si="7"/>
        <v>1.5479130865190112</v>
      </c>
      <c r="F66" s="27">
        <f t="shared" si="8"/>
        <v>0.13340282365568382</v>
      </c>
      <c r="G66" s="27">
        <f t="shared" si="9"/>
        <v>0.18761627302523923</v>
      </c>
      <c r="H66" s="27">
        <f t="shared" si="10"/>
        <v>6.5968970503815311E-2</v>
      </c>
      <c r="I66" s="27">
        <f t="shared" si="11"/>
        <v>0.33219018071837425</v>
      </c>
      <c r="J66" s="27">
        <f t="shared" si="12"/>
        <v>3.3913415496115302</v>
      </c>
      <c r="L66" t="s">
        <v>53</v>
      </c>
    </row>
    <row r="67" spans="2:12" x14ac:dyDescent="0.3">
      <c r="B67" s="12">
        <f t="shared" si="4"/>
        <v>99211</v>
      </c>
      <c r="C67" s="29">
        <f t="shared" si="5"/>
        <v>25</v>
      </c>
      <c r="D67" s="27">
        <f t="shared" si="6"/>
        <v>0.68168713784538448</v>
      </c>
      <c r="E67" s="27">
        <f t="shared" si="7"/>
        <v>2.7609256159111557</v>
      </c>
      <c r="F67" s="27">
        <f t="shared" si="8"/>
        <v>1.5801163175567456E-2</v>
      </c>
      <c r="G67" s="27">
        <f t="shared" si="9"/>
        <v>0.18216502822366504</v>
      </c>
      <c r="H67" s="27">
        <f t="shared" si="10"/>
        <v>9.2999460603091999E-2</v>
      </c>
      <c r="I67" s="27">
        <f t="shared" si="11"/>
        <v>0.17992085857831674</v>
      </c>
      <c r="J67" s="27">
        <f t="shared" si="12"/>
        <v>3.9134992643371813</v>
      </c>
    </row>
    <row r="68" spans="2:12" x14ac:dyDescent="0.3">
      <c r="B68" s="12">
        <f t="shared" si="4"/>
        <v>99212</v>
      </c>
      <c r="C68" s="29">
        <f t="shared" si="5"/>
        <v>55</v>
      </c>
      <c r="D68" s="27">
        <f t="shared" si="6"/>
        <v>5.8900055467394843</v>
      </c>
      <c r="E68" s="27">
        <f t="shared" si="7"/>
        <v>1.6542420216371738</v>
      </c>
      <c r="F68" s="27">
        <f t="shared" si="8"/>
        <v>0.16926519427885828</v>
      </c>
      <c r="G68" s="27">
        <f t="shared" si="9"/>
        <v>1.8498158387250641</v>
      </c>
      <c r="H68" s="27">
        <f t="shared" si="10"/>
        <v>0.50757231240605272</v>
      </c>
      <c r="I68" s="27">
        <f t="shared" si="11"/>
        <v>1.3592252689222062</v>
      </c>
      <c r="J68" s="27">
        <f t="shared" si="12"/>
        <v>11.430126182708838</v>
      </c>
    </row>
    <row r="69" spans="2:12" x14ac:dyDescent="0.3">
      <c r="B69" s="12">
        <f t="shared" si="4"/>
        <v>99213</v>
      </c>
      <c r="C69" s="29">
        <f t="shared" si="5"/>
        <v>90</v>
      </c>
      <c r="D69" s="27">
        <f t="shared" si="6"/>
        <v>12.272662506700941</v>
      </c>
      <c r="E69" s="27">
        <f t="shared" si="7"/>
        <v>17.139322953534577</v>
      </c>
      <c r="F69" s="27">
        <f t="shared" si="8"/>
        <v>0.4102635423839141</v>
      </c>
      <c r="G69" s="27">
        <f t="shared" si="9"/>
        <v>2.5490002669396485</v>
      </c>
      <c r="H69" s="27">
        <f t="shared" si="10"/>
        <v>0.93432441951877765</v>
      </c>
      <c r="I69" s="27">
        <f t="shared" si="11"/>
        <v>4.1469339779737409</v>
      </c>
      <c r="J69" s="27">
        <f t="shared" si="12"/>
        <v>37.452507667051599</v>
      </c>
    </row>
    <row r="70" spans="2:12" x14ac:dyDescent="0.3">
      <c r="B70" s="12">
        <f t="shared" si="4"/>
        <v>99214</v>
      </c>
      <c r="C70" s="29">
        <f t="shared" si="5"/>
        <v>130</v>
      </c>
      <c r="D70" s="27">
        <f t="shared" si="6"/>
        <v>5.7862867904040858</v>
      </c>
      <c r="E70" s="27">
        <f t="shared" si="7"/>
        <v>27.510353299966372</v>
      </c>
      <c r="F70" s="27">
        <f t="shared" si="8"/>
        <v>0.24628732344168705</v>
      </c>
      <c r="G70" s="27">
        <f t="shared" si="9"/>
        <v>0.69707867760328046</v>
      </c>
      <c r="H70" s="27">
        <f t="shared" si="10"/>
        <v>0.29586560919536581</v>
      </c>
      <c r="I70" s="27">
        <f t="shared" si="11"/>
        <v>1.5966299608297001</v>
      </c>
      <c r="J70" s="27">
        <f t="shared" si="12"/>
        <v>36.132501661440493</v>
      </c>
    </row>
    <row r="71" spans="2:12" x14ac:dyDescent="0.3">
      <c r="B71" s="12">
        <f t="shared" si="4"/>
        <v>99215</v>
      </c>
      <c r="C71" s="29">
        <f t="shared" si="5"/>
        <v>200</v>
      </c>
      <c r="D71" s="27">
        <f t="shared" si="6"/>
        <v>1.1810713254067307</v>
      </c>
      <c r="E71" s="27">
        <f t="shared" si="7"/>
        <v>3.4010075895429051</v>
      </c>
      <c r="F71" s="27">
        <f t="shared" si="8"/>
        <v>7.0267795382428763E-2</v>
      </c>
      <c r="G71" s="27">
        <f t="shared" si="9"/>
        <v>0.17377611641324672</v>
      </c>
      <c r="H71" s="27">
        <f t="shared" si="10"/>
        <v>4.719167475946108E-2</v>
      </c>
      <c r="I71" s="27">
        <f t="shared" si="11"/>
        <v>0.27886066099058798</v>
      </c>
      <c r="J71" s="27">
        <f t="shared" si="12"/>
        <v>5.15217516249536</v>
      </c>
    </row>
    <row r="72" spans="2:12" x14ac:dyDescent="0.3">
      <c r="B72" s="12">
        <f t="shared" si="4"/>
        <v>99231</v>
      </c>
      <c r="C72" s="29">
        <f t="shared" si="5"/>
        <v>30</v>
      </c>
      <c r="D72" s="27">
        <f t="shared" si="6"/>
        <v>2.1347846040130558</v>
      </c>
      <c r="E72" s="27">
        <f t="shared" si="7"/>
        <v>0.97307201373418217</v>
      </c>
      <c r="F72" s="27">
        <f t="shared" si="8"/>
        <v>9.319993278670631E-2</v>
      </c>
      <c r="G72" s="27">
        <f t="shared" si="9"/>
        <v>5.7714825304285698E-2</v>
      </c>
      <c r="H72" s="27">
        <f t="shared" si="10"/>
        <v>8.8561645162675395E-2</v>
      </c>
      <c r="I72" s="27">
        <f t="shared" si="11"/>
        <v>0.34868679028576904</v>
      </c>
      <c r="J72" s="27">
        <f t="shared" si="12"/>
        <v>3.6960198112866749</v>
      </c>
      <c r="L72" t="s">
        <v>52</v>
      </c>
    </row>
    <row r="73" spans="2:12" x14ac:dyDescent="0.3">
      <c r="B73" s="12">
        <f t="shared" si="4"/>
        <v>99232</v>
      </c>
      <c r="C73" s="29">
        <f t="shared" si="5"/>
        <v>60</v>
      </c>
      <c r="D73" s="27">
        <f t="shared" si="6"/>
        <v>2.8414082828588474</v>
      </c>
      <c r="E73" s="27">
        <f t="shared" si="7"/>
        <v>5.406365437995686</v>
      </c>
      <c r="F73" s="27">
        <f t="shared" si="8"/>
        <v>9.5643225398667875E-2</v>
      </c>
      <c r="G73" s="27">
        <f t="shared" si="9"/>
        <v>4.8978103778700474E-2</v>
      </c>
      <c r="H73" s="27">
        <f t="shared" si="10"/>
        <v>8.4259803528779778E-2</v>
      </c>
      <c r="I73" s="27">
        <f t="shared" si="11"/>
        <v>0.3156316184155894</v>
      </c>
      <c r="J73" s="27">
        <f t="shared" si="12"/>
        <v>8.7922864719762703</v>
      </c>
      <c r="L73" t="s">
        <v>51</v>
      </c>
    </row>
    <row r="74" spans="2:12" x14ac:dyDescent="0.3">
      <c r="B74" s="12">
        <f t="shared" si="4"/>
        <v>99233</v>
      </c>
      <c r="C74" s="29">
        <f t="shared" si="5"/>
        <v>100</v>
      </c>
      <c r="D74" s="27">
        <f t="shared" si="6"/>
        <v>1.1005558524678882</v>
      </c>
      <c r="E74" s="27">
        <f t="shared" si="7"/>
        <v>2.8487407730849306</v>
      </c>
      <c r="F74" s="27">
        <f t="shared" si="8"/>
        <v>5.7236561622303242E-2</v>
      </c>
      <c r="G74" s="27">
        <f t="shared" si="9"/>
        <v>1.9655748721044437E-2</v>
      </c>
      <c r="H74" s="27">
        <f t="shared" si="10"/>
        <v>3.8685447761404791E-2</v>
      </c>
      <c r="I74" s="27">
        <f t="shared" si="11"/>
        <v>9.6832454666950826E-2</v>
      </c>
      <c r="J74" s="27">
        <f t="shared" si="12"/>
        <v>4.1617068383245224</v>
      </c>
    </row>
    <row r="75" spans="2:12" x14ac:dyDescent="0.3">
      <c r="B75" s="12"/>
      <c r="C75" s="12"/>
      <c r="D75" s="12"/>
      <c r="E75" s="56"/>
      <c r="F75" s="12"/>
      <c r="G75" s="12"/>
      <c r="H75" s="12"/>
      <c r="I75" s="12"/>
      <c r="J75" s="12"/>
      <c r="L75" t="s">
        <v>50</v>
      </c>
    </row>
    <row r="76" spans="2:12" ht="15" thickBot="1" x14ac:dyDescent="0.35">
      <c r="B76" s="12"/>
      <c r="C76" s="12" t="s">
        <v>49</v>
      </c>
      <c r="D76" s="29">
        <f t="shared" ref="D76:J76" si="13">SUMPRODUCT(D63:D74,$C$63:$C$74)/SUM(D63:D74)</f>
        <v>101.86440404230038</v>
      </c>
      <c r="E76" s="29">
        <f t="shared" si="13"/>
        <v>114.43158878552175</v>
      </c>
      <c r="F76" s="29">
        <f t="shared" si="13"/>
        <v>117.57284695927557</v>
      </c>
      <c r="G76" s="29">
        <f t="shared" si="13"/>
        <v>98.507336274103992</v>
      </c>
      <c r="H76" s="29">
        <f t="shared" si="13"/>
        <v>99.234048313322745</v>
      </c>
      <c r="I76" s="29">
        <f t="shared" si="13"/>
        <v>107.01279387912132</v>
      </c>
      <c r="J76" s="29">
        <f t="shared" si="13"/>
        <v>108.2063629401854</v>
      </c>
      <c r="L76" t="s">
        <v>48</v>
      </c>
    </row>
    <row r="77" spans="2:12" ht="15" thickBot="1" x14ac:dyDescent="0.35">
      <c r="B77" s="12"/>
      <c r="C77" s="12" t="s">
        <v>47</v>
      </c>
      <c r="D77" s="29">
        <f t="shared" ref="D77:I77" si="14">$J$76-D76</f>
        <v>6.3419588978850214</v>
      </c>
      <c r="E77" s="58">
        <f t="shared" si="14"/>
        <v>-6.2252258453363538</v>
      </c>
      <c r="F77" s="59">
        <f t="shared" si="14"/>
        <v>-9.3664840190901657</v>
      </c>
      <c r="G77" s="29">
        <f t="shared" si="14"/>
        <v>9.6990266660814086</v>
      </c>
      <c r="H77" s="29">
        <f t="shared" si="14"/>
        <v>8.972314626862655</v>
      </c>
      <c r="I77" s="29">
        <f t="shared" si="14"/>
        <v>1.1935690610640819</v>
      </c>
      <c r="J77" s="12"/>
    </row>
    <row r="78" spans="2:12" x14ac:dyDescent="0.3">
      <c r="B78" s="12"/>
      <c r="C78" s="12"/>
      <c r="D78" s="12"/>
      <c r="E78" s="57"/>
      <c r="F78" s="12"/>
      <c r="G78" s="12"/>
      <c r="H78" s="12"/>
      <c r="I78" s="12"/>
      <c r="J78" s="12"/>
    </row>
    <row r="79" spans="2:12" x14ac:dyDescent="0.3">
      <c r="E79" s="39"/>
    </row>
    <row r="80" spans="2:12" x14ac:dyDescent="0.3">
      <c r="E80" s="39"/>
    </row>
    <row r="81" spans="5:5" x14ac:dyDescent="0.3">
      <c r="E81" s="41"/>
    </row>
    <row r="82" spans="5:5" x14ac:dyDescent="0.3">
      <c r="E82" s="39"/>
    </row>
    <row r="83" spans="5:5" x14ac:dyDescent="0.3">
      <c r="E83" s="39"/>
    </row>
    <row r="84" spans="5:5" x14ac:dyDescent="0.3">
      <c r="E84" s="40"/>
    </row>
    <row r="85" spans="5:5" x14ac:dyDescent="0.3">
      <c r="E85" s="39"/>
    </row>
    <row r="86" spans="5:5" x14ac:dyDescent="0.3">
      <c r="E86" s="39"/>
    </row>
    <row r="87" spans="5:5" x14ac:dyDescent="0.3">
      <c r="E87" s="41"/>
    </row>
    <row r="88" spans="5:5" x14ac:dyDescent="0.3">
      <c r="E88" s="39"/>
    </row>
    <row r="89" spans="5:5" x14ac:dyDescent="0.3">
      <c r="E89" s="39"/>
    </row>
    <row r="90" spans="5:5" x14ac:dyDescent="0.3">
      <c r="E90" s="39"/>
    </row>
    <row r="91" spans="5:5" x14ac:dyDescent="0.3">
      <c r="E91" s="39"/>
    </row>
    <row r="92" spans="5:5" x14ac:dyDescent="0.3">
      <c r="E92" s="39"/>
    </row>
    <row r="93" spans="5:5" x14ac:dyDescent="0.3">
      <c r="E93" s="41"/>
    </row>
    <row r="94" spans="5:5" x14ac:dyDescent="0.3">
      <c r="E94" s="39"/>
    </row>
    <row r="95" spans="5:5" x14ac:dyDescent="0.3">
      <c r="E95" s="39"/>
    </row>
    <row r="96" spans="5:5" x14ac:dyDescent="0.3">
      <c r="E96" s="40"/>
    </row>
    <row r="97" spans="5:5" x14ac:dyDescent="0.3">
      <c r="E97" s="39"/>
    </row>
    <row r="98" spans="5:5" x14ac:dyDescent="0.3">
      <c r="E98" s="39"/>
    </row>
    <row r="99" spans="5:5" x14ac:dyDescent="0.3">
      <c r="E99" s="38"/>
    </row>
    <row r="100" spans="5:5" x14ac:dyDescent="0.3">
      <c r="E100" s="37"/>
    </row>
    <row r="101" spans="5:5" x14ac:dyDescent="0.3">
      <c r="E101" s="37"/>
    </row>
    <row r="102" spans="5:5" x14ac:dyDescent="0.3">
      <c r="E102" s="37"/>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DACAA-BBDC-4A0E-9A4E-689E250F8B46}">
  <sheetPr>
    <tabColor theme="5" tint="0.39997558519241921"/>
  </sheetPr>
  <dimension ref="A1:N39"/>
  <sheetViews>
    <sheetView zoomScale="115" zoomScaleNormal="115" workbookViewId="0"/>
  </sheetViews>
  <sheetFormatPr defaultRowHeight="14.4" x14ac:dyDescent="0.3"/>
  <cols>
    <col min="2" max="9" width="11.33203125" customWidth="1"/>
    <col min="10" max="10" width="16.5546875" customWidth="1"/>
    <col min="11" max="11" width="11.33203125" customWidth="1"/>
    <col min="16" max="17" width="11.33203125" customWidth="1"/>
  </cols>
  <sheetData>
    <row r="1" spans="1:14" x14ac:dyDescent="0.3">
      <c r="A1" s="131" t="s">
        <v>312</v>
      </c>
    </row>
    <row r="3" spans="1:14" x14ac:dyDescent="0.3">
      <c r="A3" s="9" t="s">
        <v>8</v>
      </c>
    </row>
    <row r="4" spans="1:14" x14ac:dyDescent="0.3">
      <c r="A4" t="s">
        <v>46</v>
      </c>
    </row>
    <row r="5" spans="1:14" x14ac:dyDescent="0.3">
      <c r="A5" s="9"/>
    </row>
    <row r="8" spans="1:14" x14ac:dyDescent="0.3">
      <c r="B8" s="8" t="s">
        <v>7</v>
      </c>
      <c r="C8" s="7"/>
      <c r="D8" s="7"/>
      <c r="E8" s="7"/>
      <c r="F8" s="7"/>
      <c r="G8" s="7"/>
      <c r="H8" s="6"/>
      <c r="J8" s="8" t="s">
        <v>6</v>
      </c>
      <c r="K8" s="7"/>
      <c r="L8" s="7"/>
      <c r="M8" s="7"/>
      <c r="N8" s="6"/>
    </row>
    <row r="9" spans="1:14" x14ac:dyDescent="0.3">
      <c r="B9" s="5" t="s">
        <v>93</v>
      </c>
      <c r="C9" s="4"/>
      <c r="D9" s="4"/>
      <c r="E9" s="4"/>
      <c r="F9" s="4"/>
      <c r="G9" s="4"/>
      <c r="H9" s="3"/>
      <c r="J9" s="5" t="s">
        <v>92</v>
      </c>
      <c r="K9" s="4"/>
      <c r="L9" s="4"/>
      <c r="M9" s="4"/>
      <c r="N9" s="3"/>
    </row>
    <row r="10" spans="1:14" x14ac:dyDescent="0.3">
      <c r="E10" s="40"/>
      <c r="F10" s="40"/>
      <c r="G10" s="40"/>
    </row>
    <row r="11" spans="1:14" x14ac:dyDescent="0.3">
      <c r="C11" s="14" t="s">
        <v>29</v>
      </c>
      <c r="D11" s="13"/>
      <c r="E11" s="14" t="s">
        <v>28</v>
      </c>
      <c r="F11" s="13"/>
      <c r="G11" s="14" t="s">
        <v>27</v>
      </c>
      <c r="H11" s="13"/>
      <c r="K11" s="12" t="s">
        <v>80</v>
      </c>
    </row>
    <row r="12" spans="1:14" x14ac:dyDescent="0.3">
      <c r="B12" s="12" t="s">
        <v>82</v>
      </c>
      <c r="C12" s="12" t="s">
        <v>4</v>
      </c>
      <c r="D12" s="57" t="s">
        <v>13</v>
      </c>
      <c r="E12" s="12" t="s">
        <v>4</v>
      </c>
      <c r="F12" s="57" t="s">
        <v>13</v>
      </c>
      <c r="G12" s="12" t="s">
        <v>4</v>
      </c>
      <c r="H12" s="57" t="s">
        <v>13</v>
      </c>
      <c r="I12" s="12"/>
      <c r="J12" s="12" t="s">
        <v>80</v>
      </c>
      <c r="K12" s="27" t="s">
        <v>91</v>
      </c>
      <c r="L12" s="47" t="s">
        <v>77</v>
      </c>
      <c r="M12" s="47" t="s">
        <v>75</v>
      </c>
      <c r="N12" s="47" t="s">
        <v>73</v>
      </c>
    </row>
    <row r="13" spans="1:14" ht="15" customHeight="1" x14ac:dyDescent="0.3">
      <c r="B13" s="12" t="s">
        <v>23</v>
      </c>
      <c r="C13" s="12" t="s">
        <v>3</v>
      </c>
      <c r="D13" s="57" t="s">
        <v>19</v>
      </c>
      <c r="E13" s="12" t="s">
        <v>3</v>
      </c>
      <c r="F13" s="57" t="s">
        <v>19</v>
      </c>
      <c r="G13" s="12" t="s">
        <v>3</v>
      </c>
      <c r="H13" s="57" t="s">
        <v>19</v>
      </c>
      <c r="I13" s="12"/>
      <c r="J13" s="47" t="s">
        <v>90</v>
      </c>
      <c r="K13" s="27">
        <v>2</v>
      </c>
      <c r="L13" s="27">
        <v>4</v>
      </c>
      <c r="M13" s="27">
        <v>4.5</v>
      </c>
      <c r="N13" s="27">
        <v>5</v>
      </c>
    </row>
    <row r="14" spans="1:14" x14ac:dyDescent="0.3">
      <c r="B14" s="66" t="s">
        <v>77</v>
      </c>
      <c r="C14" s="66">
        <v>325</v>
      </c>
      <c r="D14" s="65">
        <v>730</v>
      </c>
      <c r="E14" s="66">
        <v>325</v>
      </c>
      <c r="F14" s="65">
        <v>700</v>
      </c>
      <c r="G14" s="66">
        <v>385</v>
      </c>
      <c r="H14" s="65">
        <v>750</v>
      </c>
      <c r="I14" s="47"/>
      <c r="J14" s="47" t="s">
        <v>89</v>
      </c>
      <c r="K14" s="27">
        <v>2</v>
      </c>
      <c r="L14" s="27">
        <v>2.5</v>
      </c>
      <c r="M14" s="27">
        <v>4.5</v>
      </c>
      <c r="N14" s="27">
        <v>2.5</v>
      </c>
    </row>
    <row r="15" spans="1:14" ht="28.8" x14ac:dyDescent="0.3">
      <c r="B15" s="66" t="s">
        <v>75</v>
      </c>
      <c r="C15" s="66">
        <v>370</v>
      </c>
      <c r="D15" s="65">
        <v>700</v>
      </c>
      <c r="E15" s="66">
        <v>370</v>
      </c>
      <c r="F15" s="65">
        <v>755</v>
      </c>
      <c r="G15" s="66">
        <v>345</v>
      </c>
      <c r="H15" s="65">
        <v>720</v>
      </c>
      <c r="I15" s="47"/>
      <c r="J15" s="47" t="s">
        <v>88</v>
      </c>
      <c r="K15" s="27">
        <v>3</v>
      </c>
      <c r="L15" s="27">
        <v>4</v>
      </c>
      <c r="M15" s="27">
        <v>4</v>
      </c>
      <c r="N15" s="27">
        <v>2</v>
      </c>
    </row>
    <row r="16" spans="1:14" ht="28.8" x14ac:dyDescent="0.3">
      <c r="B16" s="66" t="s">
        <v>73</v>
      </c>
      <c r="C16" s="66">
        <v>355</v>
      </c>
      <c r="D16" s="65">
        <v>695</v>
      </c>
      <c r="E16" s="66">
        <v>345</v>
      </c>
      <c r="F16" s="65">
        <v>755</v>
      </c>
      <c r="G16" s="66">
        <v>315</v>
      </c>
      <c r="H16" s="65">
        <v>735</v>
      </c>
      <c r="I16" s="47"/>
      <c r="J16" s="47" t="s">
        <v>87</v>
      </c>
      <c r="K16" s="27">
        <v>3</v>
      </c>
      <c r="L16" s="27">
        <v>3</v>
      </c>
      <c r="M16" s="27">
        <v>3.5</v>
      </c>
      <c r="N16" s="27">
        <v>5</v>
      </c>
    </row>
    <row r="17" spans="1:14" x14ac:dyDescent="0.3">
      <c r="B17" s="12"/>
      <c r="C17" s="12"/>
      <c r="D17" s="12"/>
      <c r="E17" s="56"/>
      <c r="F17" s="56"/>
      <c r="G17" s="56"/>
      <c r="H17" s="47"/>
      <c r="I17" s="47"/>
      <c r="J17" s="12"/>
      <c r="K17" s="12"/>
      <c r="L17" s="12"/>
      <c r="M17" s="12"/>
      <c r="N17" s="12"/>
    </row>
    <row r="18" spans="1:14" x14ac:dyDescent="0.3">
      <c r="B18" s="8" t="s">
        <v>5</v>
      </c>
      <c r="C18" s="6"/>
      <c r="E18" s="8" t="s">
        <v>12</v>
      </c>
      <c r="F18" s="7"/>
      <c r="G18" s="7"/>
      <c r="H18" s="6"/>
      <c r="I18" s="23"/>
    </row>
    <row r="19" spans="1:14" x14ac:dyDescent="0.3">
      <c r="B19" s="5" t="s">
        <v>86</v>
      </c>
      <c r="C19" s="3"/>
      <c r="E19" s="5" t="s">
        <v>85</v>
      </c>
      <c r="F19" s="4"/>
      <c r="G19" s="4"/>
      <c r="H19" s="3"/>
      <c r="I19" s="23"/>
    </row>
    <row r="20" spans="1:14" x14ac:dyDescent="0.3">
      <c r="I20" s="23"/>
    </row>
    <row r="21" spans="1:14" x14ac:dyDescent="0.3">
      <c r="B21" s="12" t="s">
        <v>84</v>
      </c>
      <c r="C21" s="12" t="s">
        <v>83</v>
      </c>
      <c r="E21" s="12" t="s">
        <v>82</v>
      </c>
      <c r="F21" s="14" t="s">
        <v>81</v>
      </c>
      <c r="G21" s="61"/>
      <c r="H21" s="13"/>
      <c r="I21" s="23"/>
    </row>
    <row r="22" spans="1:14" x14ac:dyDescent="0.3">
      <c r="B22" s="47" t="s">
        <v>80</v>
      </c>
      <c r="C22" s="47" t="s">
        <v>79</v>
      </c>
      <c r="E22" s="12" t="s">
        <v>23</v>
      </c>
      <c r="F22" s="12" t="s">
        <v>29</v>
      </c>
      <c r="G22" s="12" t="s">
        <v>28</v>
      </c>
      <c r="H22" s="12" t="s">
        <v>27</v>
      </c>
      <c r="I22" s="23"/>
    </row>
    <row r="23" spans="1:14" x14ac:dyDescent="0.3">
      <c r="B23" s="32" t="s">
        <v>78</v>
      </c>
      <c r="C23" s="35">
        <v>7.4999999999999997E-2</v>
      </c>
      <c r="E23" s="12" t="s">
        <v>77</v>
      </c>
      <c r="F23" s="12">
        <v>1.1499999999999999</v>
      </c>
      <c r="G23" s="12">
        <v>1.19</v>
      </c>
      <c r="H23" s="12">
        <v>1.1599999999999999</v>
      </c>
      <c r="I23" s="23"/>
    </row>
    <row r="24" spans="1:14" x14ac:dyDescent="0.3">
      <c r="B24" s="34" t="s">
        <v>76</v>
      </c>
      <c r="C24" s="35">
        <v>0.05</v>
      </c>
      <c r="E24" s="12" t="s">
        <v>75</v>
      </c>
      <c r="F24" s="12">
        <v>1.04</v>
      </c>
      <c r="G24" s="12">
        <v>1.02</v>
      </c>
      <c r="H24" s="12">
        <v>0.99</v>
      </c>
      <c r="I24" s="23"/>
    </row>
    <row r="25" spans="1:14" x14ac:dyDescent="0.3">
      <c r="B25" s="32" t="s">
        <v>74</v>
      </c>
      <c r="C25" s="35">
        <v>0</v>
      </c>
      <c r="E25" s="12" t="s">
        <v>73</v>
      </c>
      <c r="F25" s="12">
        <v>0.96</v>
      </c>
      <c r="G25" s="12">
        <v>1.1100000000000001</v>
      </c>
      <c r="H25" s="12">
        <v>1.07</v>
      </c>
      <c r="I25" s="23"/>
    </row>
    <row r="26" spans="1:14" x14ac:dyDescent="0.3">
      <c r="B26" s="10"/>
      <c r="F26" s="41"/>
      <c r="G26" s="41"/>
      <c r="H26" s="23"/>
      <c r="I26" s="23"/>
    </row>
    <row r="27" spans="1:14" x14ac:dyDescent="0.3">
      <c r="B27" t="s">
        <v>72</v>
      </c>
      <c r="E27" s="39"/>
      <c r="F27" s="39"/>
      <c r="G27" s="39"/>
    </row>
    <row r="28" spans="1:14" x14ac:dyDescent="0.3">
      <c r="B28" t="s">
        <v>71</v>
      </c>
      <c r="E28" s="39"/>
      <c r="F28" s="39"/>
      <c r="G28" s="39"/>
    </row>
    <row r="29" spans="1:14" x14ac:dyDescent="0.3">
      <c r="B29" t="s">
        <v>70</v>
      </c>
      <c r="E29" s="39"/>
      <c r="F29" s="39"/>
      <c r="G29" s="39"/>
    </row>
    <row r="30" spans="1:14" x14ac:dyDescent="0.3">
      <c r="E30" s="39"/>
      <c r="F30" s="39"/>
      <c r="G30" s="39"/>
    </row>
    <row r="31" spans="1:14" x14ac:dyDescent="0.3">
      <c r="A31" t="s">
        <v>2</v>
      </c>
      <c r="B31" t="s">
        <v>69</v>
      </c>
      <c r="E31" s="39"/>
      <c r="F31" s="39"/>
      <c r="G31" s="39"/>
    </row>
    <row r="32" spans="1:14" x14ac:dyDescent="0.3">
      <c r="E32" s="39"/>
      <c r="F32" s="39"/>
      <c r="G32" s="39"/>
    </row>
    <row r="33" spans="1:7" x14ac:dyDescent="0.3">
      <c r="B33" t="s">
        <v>68</v>
      </c>
      <c r="E33" s="39"/>
      <c r="F33" s="39"/>
      <c r="G33" s="39"/>
    </row>
    <row r="35" spans="1:7" x14ac:dyDescent="0.3">
      <c r="A35" t="s">
        <v>1</v>
      </c>
      <c r="B35" t="s">
        <v>67</v>
      </c>
    </row>
    <row r="37" spans="1:7" x14ac:dyDescent="0.3">
      <c r="B37" t="s">
        <v>66</v>
      </c>
    </row>
    <row r="39" spans="1:7" x14ac:dyDescent="0.3">
      <c r="A39" t="s">
        <v>0</v>
      </c>
      <c r="B39" t="s">
        <v>65</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FA5D7-9F34-441D-8828-681A452188D3}">
  <sheetPr>
    <tabColor theme="9" tint="0.59999389629810485"/>
  </sheetPr>
  <dimension ref="A1:N72"/>
  <sheetViews>
    <sheetView zoomScale="115" zoomScaleNormal="115" workbookViewId="0"/>
  </sheetViews>
  <sheetFormatPr defaultRowHeight="14.4" x14ac:dyDescent="0.3"/>
  <cols>
    <col min="2" max="5" width="11.33203125" customWidth="1"/>
    <col min="6" max="6" width="12.77734375" customWidth="1"/>
    <col min="7" max="7" width="13.6640625" customWidth="1"/>
    <col min="8" max="9" width="11.33203125" customWidth="1"/>
    <col min="10" max="10" width="16.5546875" customWidth="1"/>
    <col min="11" max="11" width="11.33203125" customWidth="1"/>
    <col min="16" max="17" width="11.33203125" customWidth="1"/>
  </cols>
  <sheetData>
    <row r="1" spans="1:14" x14ac:dyDescent="0.3">
      <c r="A1" s="131" t="s">
        <v>312</v>
      </c>
    </row>
    <row r="3" spans="1:14" x14ac:dyDescent="0.3">
      <c r="A3" s="9" t="s">
        <v>8</v>
      </c>
    </row>
    <row r="4" spans="1:14" x14ac:dyDescent="0.3">
      <c r="A4" t="s">
        <v>46</v>
      </c>
    </row>
    <row r="5" spans="1:14" x14ac:dyDescent="0.3">
      <c r="A5" s="9"/>
    </row>
    <row r="8" spans="1:14" x14ac:dyDescent="0.3">
      <c r="B8" s="8" t="s">
        <v>7</v>
      </c>
      <c r="C8" s="7"/>
      <c r="D8" s="7"/>
      <c r="E8" s="7"/>
      <c r="F8" s="7"/>
      <c r="G8" s="7"/>
      <c r="H8" s="6"/>
      <c r="J8" s="8" t="s">
        <v>6</v>
      </c>
      <c r="K8" s="7"/>
      <c r="L8" s="7"/>
      <c r="M8" s="7"/>
      <c r="N8" s="6"/>
    </row>
    <row r="9" spans="1:14" x14ac:dyDescent="0.3">
      <c r="B9" s="5" t="s">
        <v>93</v>
      </c>
      <c r="C9" s="4"/>
      <c r="D9" s="4"/>
      <c r="E9" s="4"/>
      <c r="F9" s="4"/>
      <c r="G9" s="4"/>
      <c r="H9" s="3"/>
      <c r="J9" s="5" t="s">
        <v>92</v>
      </c>
      <c r="K9" s="4"/>
      <c r="L9" s="4"/>
      <c r="M9" s="4"/>
      <c r="N9" s="3"/>
    </row>
    <row r="10" spans="1:14" x14ac:dyDescent="0.3">
      <c r="E10" s="40"/>
      <c r="F10" s="40"/>
      <c r="G10" s="40"/>
    </row>
    <row r="11" spans="1:14" x14ac:dyDescent="0.3">
      <c r="C11" s="14" t="s">
        <v>29</v>
      </c>
      <c r="D11" s="13"/>
      <c r="E11" s="14" t="s">
        <v>28</v>
      </c>
      <c r="F11" s="13"/>
      <c r="G11" s="14" t="s">
        <v>27</v>
      </c>
      <c r="H11" s="13"/>
      <c r="K11" s="12" t="s">
        <v>80</v>
      </c>
      <c r="L11" s="12"/>
      <c r="M11" s="12"/>
      <c r="N11" s="12"/>
    </row>
    <row r="12" spans="1:14" x14ac:dyDescent="0.3">
      <c r="B12" t="s">
        <v>82</v>
      </c>
      <c r="C12" s="66" t="s">
        <v>4</v>
      </c>
      <c r="D12" s="57" t="s">
        <v>13</v>
      </c>
      <c r="E12" s="66" t="s">
        <v>4</v>
      </c>
      <c r="F12" s="57" t="s">
        <v>13</v>
      </c>
      <c r="G12" s="66" t="s">
        <v>4</v>
      </c>
      <c r="H12" s="57" t="s">
        <v>13</v>
      </c>
      <c r="J12" t="s">
        <v>80</v>
      </c>
      <c r="K12" s="27" t="s">
        <v>91</v>
      </c>
      <c r="L12" s="47" t="s">
        <v>77</v>
      </c>
      <c r="M12" s="47" t="s">
        <v>75</v>
      </c>
      <c r="N12" s="47" t="s">
        <v>73</v>
      </c>
    </row>
    <row r="13" spans="1:14" ht="15" customHeight="1" x14ac:dyDescent="0.3">
      <c r="B13" t="s">
        <v>23</v>
      </c>
      <c r="C13" s="66" t="s">
        <v>3</v>
      </c>
      <c r="D13" s="57" t="s">
        <v>19</v>
      </c>
      <c r="E13" s="66" t="s">
        <v>3</v>
      </c>
      <c r="F13" s="57" t="s">
        <v>19</v>
      </c>
      <c r="G13" s="66" t="s">
        <v>3</v>
      </c>
      <c r="H13" s="57" t="s">
        <v>19</v>
      </c>
      <c r="J13" s="23" t="s">
        <v>90</v>
      </c>
      <c r="K13" s="27">
        <v>2</v>
      </c>
      <c r="L13" s="27">
        <v>4</v>
      </c>
      <c r="M13" s="27">
        <v>4.5</v>
      </c>
      <c r="N13" s="27">
        <v>5</v>
      </c>
    </row>
    <row r="14" spans="1:14" x14ac:dyDescent="0.3">
      <c r="B14" t="s">
        <v>77</v>
      </c>
      <c r="C14" s="66">
        <v>325</v>
      </c>
      <c r="D14" s="65">
        <v>730</v>
      </c>
      <c r="E14" s="66">
        <v>325</v>
      </c>
      <c r="F14" s="65">
        <v>700</v>
      </c>
      <c r="G14" s="66">
        <v>385</v>
      </c>
      <c r="H14" s="65">
        <v>750</v>
      </c>
      <c r="I14" s="23"/>
      <c r="J14" s="23" t="s">
        <v>89</v>
      </c>
      <c r="K14" s="27">
        <v>2</v>
      </c>
      <c r="L14" s="27">
        <v>2.5</v>
      </c>
      <c r="M14" s="27">
        <v>4.5</v>
      </c>
      <c r="N14" s="27">
        <v>2.5</v>
      </c>
    </row>
    <row r="15" spans="1:14" ht="28.8" x14ac:dyDescent="0.3">
      <c r="B15" t="s">
        <v>75</v>
      </c>
      <c r="C15" s="66">
        <v>370</v>
      </c>
      <c r="D15" s="65">
        <v>700</v>
      </c>
      <c r="E15" s="66">
        <v>370</v>
      </c>
      <c r="F15" s="65">
        <v>755</v>
      </c>
      <c r="G15" s="66">
        <v>345</v>
      </c>
      <c r="H15" s="65">
        <v>720</v>
      </c>
      <c r="I15" s="23"/>
      <c r="J15" s="23" t="s">
        <v>88</v>
      </c>
      <c r="K15" s="27">
        <v>3</v>
      </c>
      <c r="L15" s="27">
        <v>4</v>
      </c>
      <c r="M15" s="27">
        <v>4</v>
      </c>
      <c r="N15" s="27">
        <v>2</v>
      </c>
    </row>
    <row r="16" spans="1:14" ht="28.8" x14ac:dyDescent="0.3">
      <c r="B16" t="s">
        <v>73</v>
      </c>
      <c r="C16" s="66">
        <v>355</v>
      </c>
      <c r="D16" s="65">
        <v>695</v>
      </c>
      <c r="E16" s="66">
        <v>345</v>
      </c>
      <c r="F16" s="65">
        <v>755</v>
      </c>
      <c r="G16" s="66">
        <v>315</v>
      </c>
      <c r="H16" s="65">
        <v>735</v>
      </c>
      <c r="I16" s="23"/>
      <c r="J16" s="23" t="s">
        <v>87</v>
      </c>
      <c r="K16" s="27">
        <v>3</v>
      </c>
      <c r="L16" s="27">
        <v>3</v>
      </c>
      <c r="M16" s="27">
        <v>3.5</v>
      </c>
      <c r="N16" s="27">
        <v>5</v>
      </c>
    </row>
    <row r="17" spans="1:9" x14ac:dyDescent="0.3">
      <c r="B17" s="10"/>
      <c r="E17" s="41"/>
      <c r="F17" s="41"/>
      <c r="G17" s="41"/>
      <c r="H17" s="23"/>
      <c r="I17" s="23"/>
    </row>
    <row r="18" spans="1:9" x14ac:dyDescent="0.3">
      <c r="B18" s="8" t="s">
        <v>5</v>
      </c>
      <c r="C18" s="6"/>
      <c r="E18" s="8" t="s">
        <v>12</v>
      </c>
      <c r="F18" s="7"/>
      <c r="G18" s="7"/>
      <c r="H18" s="6"/>
      <c r="I18" s="23"/>
    </row>
    <row r="19" spans="1:9" x14ac:dyDescent="0.3">
      <c r="B19" s="5" t="s">
        <v>86</v>
      </c>
      <c r="C19" s="3"/>
      <c r="E19" s="5" t="s">
        <v>85</v>
      </c>
      <c r="F19" s="4"/>
      <c r="G19" s="4"/>
      <c r="H19" s="3"/>
      <c r="I19" s="23"/>
    </row>
    <row r="20" spans="1:9" x14ac:dyDescent="0.3">
      <c r="I20" s="23"/>
    </row>
    <row r="21" spans="1:9" x14ac:dyDescent="0.3">
      <c r="B21" s="12" t="s">
        <v>84</v>
      </c>
      <c r="C21" s="12" t="s">
        <v>83</v>
      </c>
      <c r="E21" s="12" t="s">
        <v>82</v>
      </c>
      <c r="F21" s="69"/>
      <c r="G21" s="67" t="s">
        <v>81</v>
      </c>
      <c r="H21" s="68"/>
      <c r="I21" s="23"/>
    </row>
    <row r="22" spans="1:9" x14ac:dyDescent="0.3">
      <c r="B22" s="47" t="s">
        <v>80</v>
      </c>
      <c r="C22" s="47" t="s">
        <v>79</v>
      </c>
      <c r="E22" s="12" t="s">
        <v>23</v>
      </c>
      <c r="F22" s="12" t="s">
        <v>29</v>
      </c>
      <c r="G22" s="12" t="s">
        <v>28</v>
      </c>
      <c r="H22" s="12" t="s">
        <v>27</v>
      </c>
      <c r="I22" s="23"/>
    </row>
    <row r="23" spans="1:9" x14ac:dyDescent="0.3">
      <c r="B23" s="32" t="s">
        <v>78</v>
      </c>
      <c r="C23" s="35">
        <v>7.4999999999999997E-2</v>
      </c>
      <c r="E23" s="12" t="s">
        <v>77</v>
      </c>
      <c r="F23" s="12">
        <v>1.1499999999999999</v>
      </c>
      <c r="G23" s="12">
        <v>1.19</v>
      </c>
      <c r="H23" s="12">
        <v>1.1599999999999999</v>
      </c>
      <c r="I23" s="23"/>
    </row>
    <row r="24" spans="1:9" x14ac:dyDescent="0.3">
      <c r="B24" s="34" t="s">
        <v>76</v>
      </c>
      <c r="C24" s="35">
        <v>0.05</v>
      </c>
      <c r="E24" s="12" t="s">
        <v>75</v>
      </c>
      <c r="F24" s="12">
        <v>1.04</v>
      </c>
      <c r="G24" s="12">
        <v>1.02</v>
      </c>
      <c r="H24" s="12">
        <v>0.99</v>
      </c>
      <c r="I24" s="23"/>
    </row>
    <row r="25" spans="1:9" x14ac:dyDescent="0.3">
      <c r="B25" s="32" t="s">
        <v>74</v>
      </c>
      <c r="C25" s="35">
        <v>0</v>
      </c>
      <c r="E25" s="12" t="s">
        <v>73</v>
      </c>
      <c r="F25" s="12">
        <v>0.96</v>
      </c>
      <c r="G25" s="12">
        <v>1.1100000000000001</v>
      </c>
      <c r="H25" s="12">
        <v>1.07</v>
      </c>
      <c r="I25" s="23"/>
    </row>
    <row r="26" spans="1:9" x14ac:dyDescent="0.3">
      <c r="B26" s="10"/>
      <c r="F26" s="41"/>
      <c r="G26" s="41"/>
      <c r="H26" s="23"/>
      <c r="I26" s="23"/>
    </row>
    <row r="27" spans="1:9" x14ac:dyDescent="0.3">
      <c r="B27" t="s">
        <v>72</v>
      </c>
      <c r="E27" s="39"/>
      <c r="F27" s="39"/>
      <c r="G27" s="39"/>
    </row>
    <row r="28" spans="1:9" x14ac:dyDescent="0.3">
      <c r="B28" t="s">
        <v>71</v>
      </c>
      <c r="E28" s="39"/>
      <c r="F28" s="39"/>
      <c r="G28" s="39"/>
    </row>
    <row r="29" spans="1:9" x14ac:dyDescent="0.3">
      <c r="B29" t="s">
        <v>70</v>
      </c>
      <c r="E29" s="39"/>
      <c r="F29" s="39"/>
      <c r="G29" s="39"/>
    </row>
    <row r="30" spans="1:9" x14ac:dyDescent="0.3">
      <c r="E30" s="39"/>
      <c r="F30" s="39"/>
      <c r="G30" s="39"/>
    </row>
    <row r="31" spans="1:9" x14ac:dyDescent="0.3">
      <c r="A31" t="s">
        <v>2</v>
      </c>
      <c r="B31" t="s">
        <v>69</v>
      </c>
      <c r="E31" s="39"/>
      <c r="F31" s="39"/>
      <c r="G31" s="39"/>
    </row>
    <row r="32" spans="1:9" x14ac:dyDescent="0.3">
      <c r="E32" s="39"/>
      <c r="F32" s="39"/>
      <c r="G32" s="39"/>
    </row>
    <row r="33" spans="1:10" x14ac:dyDescent="0.3">
      <c r="B33" t="s">
        <v>82</v>
      </c>
      <c r="C33" s="14" t="s">
        <v>123</v>
      </c>
      <c r="D33" s="13"/>
      <c r="E33" s="39"/>
      <c r="J33" s="15" t="s">
        <v>11</v>
      </c>
    </row>
    <row r="34" spans="1:10" x14ac:dyDescent="0.3">
      <c r="B34" t="s">
        <v>23</v>
      </c>
      <c r="C34" s="12" t="s">
        <v>29</v>
      </c>
      <c r="D34" s="12" t="s">
        <v>28</v>
      </c>
      <c r="E34" s="66" t="s">
        <v>103</v>
      </c>
      <c r="J34" t="s">
        <v>122</v>
      </c>
    </row>
    <row r="35" spans="1:10" x14ac:dyDescent="0.3">
      <c r="B35" t="s">
        <v>77</v>
      </c>
      <c r="C35" s="29">
        <f>C14*D14/12000</f>
        <v>19.770833333333332</v>
      </c>
      <c r="D35" s="29">
        <f>E14*F14/12000</f>
        <v>18.958333333333332</v>
      </c>
      <c r="E35" s="49">
        <f>AVERAGE(C35:D35)</f>
        <v>19.364583333333332</v>
      </c>
    </row>
    <row r="36" spans="1:10" x14ac:dyDescent="0.3">
      <c r="B36" t="s">
        <v>75</v>
      </c>
      <c r="C36" s="29">
        <f>C15*D15/12000</f>
        <v>21.583333333333332</v>
      </c>
      <c r="D36" s="29">
        <f>E15*F15/12000</f>
        <v>23.279166666666665</v>
      </c>
      <c r="E36" s="49">
        <f>AVERAGE(C36:D36)</f>
        <v>22.431249999999999</v>
      </c>
      <c r="J36" t="s">
        <v>121</v>
      </c>
    </row>
    <row r="37" spans="1:10" x14ac:dyDescent="0.3">
      <c r="B37" t="s">
        <v>73</v>
      </c>
      <c r="C37" s="29">
        <f>C16*D16/12000</f>
        <v>20.560416666666665</v>
      </c>
      <c r="D37" s="29">
        <f>E16*F16/12000</f>
        <v>21.706250000000001</v>
      </c>
      <c r="E37" s="49">
        <f>AVERAGE(C37:D37)</f>
        <v>21.133333333333333</v>
      </c>
    </row>
    <row r="38" spans="1:10" x14ac:dyDescent="0.3">
      <c r="B38" s="10"/>
      <c r="C38" s="22"/>
      <c r="D38" s="22"/>
      <c r="E38" s="64"/>
      <c r="F38" s="22"/>
      <c r="G38" s="22"/>
      <c r="H38" s="22"/>
    </row>
    <row r="39" spans="1:10" x14ac:dyDescent="0.3">
      <c r="B39" t="s">
        <v>82</v>
      </c>
      <c r="C39" s="66"/>
      <c r="D39" s="12" t="s">
        <v>103</v>
      </c>
      <c r="E39" s="12" t="s">
        <v>105</v>
      </c>
      <c r="F39" s="12" t="s">
        <v>27</v>
      </c>
      <c r="G39" s="22"/>
      <c r="H39" s="22"/>
      <c r="J39" t="s">
        <v>120</v>
      </c>
    </row>
    <row r="40" spans="1:10" ht="15" thickBot="1" x14ac:dyDescent="0.35">
      <c r="B40" t="s">
        <v>23</v>
      </c>
      <c r="C40" s="66" t="s">
        <v>27</v>
      </c>
      <c r="D40" s="32" t="s">
        <v>101</v>
      </c>
      <c r="E40" s="12" t="s">
        <v>100</v>
      </c>
      <c r="F40" s="12" t="s">
        <v>98</v>
      </c>
      <c r="G40" s="22"/>
      <c r="H40" s="22"/>
      <c r="J40" t="s">
        <v>119</v>
      </c>
    </row>
    <row r="41" spans="1:10" x14ac:dyDescent="0.3">
      <c r="B41" t="s">
        <v>77</v>
      </c>
      <c r="C41" s="29">
        <f>G14*H14/12000</f>
        <v>24.0625</v>
      </c>
      <c r="D41" s="29">
        <f>MAX(E35-C41,0)</f>
        <v>0</v>
      </c>
      <c r="E41" s="29">
        <f>D41*0.5</f>
        <v>0</v>
      </c>
      <c r="F41" s="70">
        <f>E35+E41</f>
        <v>19.364583333333332</v>
      </c>
      <c r="G41" s="22"/>
      <c r="H41" s="22"/>
      <c r="J41" t="s">
        <v>118</v>
      </c>
    </row>
    <row r="42" spans="1:10" x14ac:dyDescent="0.3">
      <c r="B42" t="s">
        <v>75</v>
      </c>
      <c r="C42" s="29">
        <f>G15*H15/12000</f>
        <v>20.7</v>
      </c>
      <c r="D42" s="29">
        <f>MAX(E36-C42,0)</f>
        <v>1.7312499999999993</v>
      </c>
      <c r="E42" s="29">
        <f>D42*0.5</f>
        <v>0.86562499999999964</v>
      </c>
      <c r="F42" s="71">
        <f>E36+E42</f>
        <v>23.296875</v>
      </c>
      <c r="G42" s="22"/>
      <c r="H42" s="22"/>
    </row>
    <row r="43" spans="1:10" ht="15" thickBot="1" x14ac:dyDescent="0.35">
      <c r="B43" t="s">
        <v>73</v>
      </c>
      <c r="C43" s="29">
        <f>G16*H16/12000</f>
        <v>19.293749999999999</v>
      </c>
      <c r="D43" s="29">
        <f>MAX(E37-C43,0)</f>
        <v>1.8395833333333336</v>
      </c>
      <c r="E43" s="29">
        <f>D43*0.5</f>
        <v>0.91979166666666679</v>
      </c>
      <c r="F43" s="72">
        <f>E37+E43</f>
        <v>22.053125000000001</v>
      </c>
      <c r="G43" s="22"/>
      <c r="H43" s="22"/>
    </row>
    <row r="45" spans="1:10" x14ac:dyDescent="0.3">
      <c r="B45" t="s">
        <v>68</v>
      </c>
    </row>
    <row r="47" spans="1:10" x14ac:dyDescent="0.3">
      <c r="A47" t="s">
        <v>1</v>
      </c>
      <c r="B47" t="s">
        <v>67</v>
      </c>
    </row>
    <row r="49" spans="1:13" x14ac:dyDescent="0.3">
      <c r="B49" s="12"/>
      <c r="C49" s="12"/>
      <c r="D49" s="12"/>
      <c r="E49" s="12"/>
      <c r="F49" s="12" t="s">
        <v>27</v>
      </c>
      <c r="G49" s="12" t="s">
        <v>27</v>
      </c>
    </row>
    <row r="50" spans="1:13" x14ac:dyDescent="0.3">
      <c r="B50" s="12" t="s">
        <v>82</v>
      </c>
      <c r="C50" s="66" t="s">
        <v>84</v>
      </c>
      <c r="D50" s="12" t="s">
        <v>83</v>
      </c>
      <c r="E50" s="12" t="s">
        <v>83</v>
      </c>
      <c r="F50" s="12" t="s">
        <v>98</v>
      </c>
      <c r="G50" s="12" t="s">
        <v>98</v>
      </c>
      <c r="J50" s="15" t="s">
        <v>11</v>
      </c>
    </row>
    <row r="51" spans="1:13" ht="15" thickBot="1" x14ac:dyDescent="0.35">
      <c r="B51" s="12" t="s">
        <v>23</v>
      </c>
      <c r="C51" s="66" t="s">
        <v>22</v>
      </c>
      <c r="D51" s="12" t="s">
        <v>99</v>
      </c>
      <c r="E51" s="12" t="s">
        <v>79</v>
      </c>
      <c r="F51" s="12" t="s">
        <v>117</v>
      </c>
      <c r="G51" s="12" t="s">
        <v>116</v>
      </c>
      <c r="J51" t="s">
        <v>115</v>
      </c>
    </row>
    <row r="52" spans="1:13" x14ac:dyDescent="0.3">
      <c r="B52" s="12" t="s">
        <v>77</v>
      </c>
      <c r="C52" s="27">
        <f>SUMPRODUCT(L13:L16,$K$13:$K$16)/SUM($K$13:$K$16)</f>
        <v>3.4</v>
      </c>
      <c r="D52" s="35">
        <f>C24</f>
        <v>0.05</v>
      </c>
      <c r="E52" s="29">
        <f>D52*E35</f>
        <v>0.9682291666666667</v>
      </c>
      <c r="F52" s="29">
        <f>F41</f>
        <v>19.364583333333332</v>
      </c>
      <c r="G52" s="70">
        <f>F52+E52</f>
        <v>20.332812499999999</v>
      </c>
      <c r="J52" t="s">
        <v>114</v>
      </c>
    </row>
    <row r="53" spans="1:13" x14ac:dyDescent="0.3">
      <c r="B53" s="12" t="s">
        <v>75</v>
      </c>
      <c r="C53" s="27">
        <f>SUMPRODUCT(M13:M16,$K$13:$K$16)/SUM($K$13:$K$16)</f>
        <v>4.05</v>
      </c>
      <c r="D53" s="35">
        <f>C23</f>
        <v>7.4999999999999997E-2</v>
      </c>
      <c r="E53" s="29">
        <f>D53*E36</f>
        <v>1.6823437499999998</v>
      </c>
      <c r="F53" s="29">
        <f>F42</f>
        <v>23.296875</v>
      </c>
      <c r="G53" s="71">
        <f>F53+E53</f>
        <v>24.979218750000001</v>
      </c>
      <c r="J53" t="s">
        <v>113</v>
      </c>
    </row>
    <row r="54" spans="1:13" ht="15" thickBot="1" x14ac:dyDescent="0.35">
      <c r="B54" s="12" t="s">
        <v>73</v>
      </c>
      <c r="C54" s="27">
        <f>SUMPRODUCT(N13:N16,$K$13:$K$16)/SUM($K$13:$K$16)</f>
        <v>3.6</v>
      </c>
      <c r="D54" s="35">
        <f>C24</f>
        <v>0.05</v>
      </c>
      <c r="E54" s="29">
        <f>D54*E37</f>
        <v>1.0566666666666666</v>
      </c>
      <c r="F54" s="29">
        <f>F43</f>
        <v>22.053125000000001</v>
      </c>
      <c r="G54" s="72">
        <f>F54+E54</f>
        <v>23.109791666666666</v>
      </c>
    </row>
    <row r="55" spans="1:13" x14ac:dyDescent="0.3">
      <c r="B55" s="12"/>
      <c r="C55" s="27"/>
      <c r="D55" s="35"/>
      <c r="E55" s="31"/>
      <c r="F55" s="27"/>
      <c r="G55" s="12"/>
    </row>
    <row r="57" spans="1:13" x14ac:dyDescent="0.3">
      <c r="B57" t="s">
        <v>66</v>
      </c>
    </row>
    <row r="59" spans="1:13" x14ac:dyDescent="0.3">
      <c r="A59" t="s">
        <v>0</v>
      </c>
      <c r="B59" t="s">
        <v>65</v>
      </c>
    </row>
    <row r="61" spans="1:13" ht="30" customHeight="1" x14ac:dyDescent="0.3">
      <c r="B61" t="s">
        <v>82</v>
      </c>
      <c r="C61" s="14" t="s">
        <v>112</v>
      </c>
      <c r="D61" s="13"/>
      <c r="E61" s="14" t="s">
        <v>111</v>
      </c>
      <c r="F61" s="13"/>
      <c r="G61" s="14" t="s">
        <v>110</v>
      </c>
      <c r="H61" s="61"/>
      <c r="I61" s="13"/>
      <c r="J61" s="63" t="s">
        <v>109</v>
      </c>
      <c r="K61" s="62"/>
      <c r="M61" s="15" t="s">
        <v>11</v>
      </c>
    </row>
    <row r="62" spans="1:13" x14ac:dyDescent="0.3">
      <c r="B62" t="s">
        <v>23</v>
      </c>
      <c r="C62" s="12" t="s">
        <v>29</v>
      </c>
      <c r="D62" s="12" t="s">
        <v>28</v>
      </c>
      <c r="E62" s="12" t="s">
        <v>29</v>
      </c>
      <c r="F62" s="12" t="s">
        <v>28</v>
      </c>
      <c r="G62" s="12" t="s">
        <v>29</v>
      </c>
      <c r="H62" s="12" t="s">
        <v>28</v>
      </c>
      <c r="I62" s="12" t="s">
        <v>27</v>
      </c>
      <c r="J62" s="12" t="s">
        <v>29</v>
      </c>
      <c r="K62" s="12" t="s">
        <v>28</v>
      </c>
      <c r="M62" t="s">
        <v>108</v>
      </c>
    </row>
    <row r="63" spans="1:13" x14ac:dyDescent="0.3">
      <c r="B63" t="s">
        <v>77</v>
      </c>
      <c r="C63" s="29">
        <f t="shared" ref="C63:D65" si="0">C35</f>
        <v>19.770833333333332</v>
      </c>
      <c r="D63" s="29">
        <f t="shared" si="0"/>
        <v>18.958333333333332</v>
      </c>
      <c r="E63" s="33">
        <f>1.04^2</f>
        <v>1.0816000000000001</v>
      </c>
      <c r="F63" s="12">
        <f>1.04</f>
        <v>1.04</v>
      </c>
      <c r="G63" s="12">
        <f t="shared" ref="G63:I65" si="1">F23</f>
        <v>1.1499999999999999</v>
      </c>
      <c r="H63" s="12">
        <f t="shared" si="1"/>
        <v>1.19</v>
      </c>
      <c r="I63" s="12">
        <f t="shared" si="1"/>
        <v>1.1599999999999999</v>
      </c>
      <c r="J63" s="29">
        <f>C63*E63/G63*I63</f>
        <v>21.57008231884058</v>
      </c>
      <c r="K63" s="29">
        <f>D63*F63/H63*I63</f>
        <v>19.219607843137251</v>
      </c>
      <c r="M63" t="s">
        <v>107</v>
      </c>
    </row>
    <row r="64" spans="1:13" x14ac:dyDescent="0.3">
      <c r="B64" t="s">
        <v>75</v>
      </c>
      <c r="C64" s="29">
        <f t="shared" si="0"/>
        <v>21.583333333333332</v>
      </c>
      <c r="D64" s="29">
        <f t="shared" si="0"/>
        <v>23.279166666666665</v>
      </c>
      <c r="E64" s="33">
        <f>1.04^2</f>
        <v>1.0816000000000001</v>
      </c>
      <c r="F64" s="12">
        <f>1.04</f>
        <v>1.04</v>
      </c>
      <c r="G64" s="12">
        <f t="shared" si="1"/>
        <v>1.04</v>
      </c>
      <c r="H64" s="12">
        <f t="shared" si="1"/>
        <v>1.02</v>
      </c>
      <c r="I64" s="12">
        <f t="shared" si="1"/>
        <v>0.99</v>
      </c>
      <c r="J64" s="29">
        <f>C64*E64/G64*I64</f>
        <v>22.222199999999997</v>
      </c>
      <c r="K64" s="29">
        <f>D64*F64/H64*I64</f>
        <v>23.498264705882349</v>
      </c>
    </row>
    <row r="65" spans="2:13" x14ac:dyDescent="0.3">
      <c r="B65" t="s">
        <v>73</v>
      </c>
      <c r="C65" s="29">
        <f t="shared" si="0"/>
        <v>20.560416666666665</v>
      </c>
      <c r="D65" s="29">
        <f t="shared" si="0"/>
        <v>21.706250000000001</v>
      </c>
      <c r="E65" s="33">
        <f>1.04^2</f>
        <v>1.0816000000000001</v>
      </c>
      <c r="F65" s="12">
        <f>1.04</f>
        <v>1.04</v>
      </c>
      <c r="G65" s="12">
        <f t="shared" si="1"/>
        <v>0.96</v>
      </c>
      <c r="H65" s="12">
        <f t="shared" si="1"/>
        <v>1.1100000000000001</v>
      </c>
      <c r="I65" s="12">
        <f t="shared" si="1"/>
        <v>1.07</v>
      </c>
      <c r="J65" s="29">
        <f>C65*E65/G65*I65</f>
        <v>24.786267638888894</v>
      </c>
      <c r="K65" s="29">
        <f>D65*F65/H65*I65</f>
        <v>21.761004504504506</v>
      </c>
      <c r="M65" t="s">
        <v>106</v>
      </c>
    </row>
    <row r="68" spans="2:13" x14ac:dyDescent="0.3">
      <c r="B68" t="s">
        <v>82</v>
      </c>
      <c r="C68" s="12" t="s">
        <v>27</v>
      </c>
      <c r="D68" s="12" t="s">
        <v>27</v>
      </c>
      <c r="E68" s="12" t="s">
        <v>103</v>
      </c>
      <c r="F68" s="12" t="s">
        <v>105</v>
      </c>
      <c r="G68" s="12" t="s">
        <v>83</v>
      </c>
      <c r="H68" s="12" t="s">
        <v>83</v>
      </c>
      <c r="I68" s="12" t="s">
        <v>104</v>
      </c>
    </row>
    <row r="69" spans="2:13" ht="15" thickBot="1" x14ac:dyDescent="0.35">
      <c r="B69" t="s">
        <v>23</v>
      </c>
      <c r="C69" s="12" t="s">
        <v>103</v>
      </c>
      <c r="D69" s="12" t="s">
        <v>102</v>
      </c>
      <c r="E69" s="32" t="s">
        <v>101</v>
      </c>
      <c r="F69" s="12" t="s">
        <v>100</v>
      </c>
      <c r="G69" s="12" t="s">
        <v>99</v>
      </c>
      <c r="H69" s="12" t="s">
        <v>79</v>
      </c>
      <c r="I69" s="12" t="s">
        <v>98</v>
      </c>
      <c r="M69" t="s">
        <v>97</v>
      </c>
    </row>
    <row r="70" spans="2:13" x14ac:dyDescent="0.3">
      <c r="B70" t="s">
        <v>77</v>
      </c>
      <c r="C70" s="29">
        <f>AVERAGE(J63:K63)</f>
        <v>20.394845080988915</v>
      </c>
      <c r="D70" s="29">
        <f>C41</f>
        <v>24.0625</v>
      </c>
      <c r="E70" s="29">
        <f>MAX(C70-D70,0)</f>
        <v>0</v>
      </c>
      <c r="F70" s="29">
        <f>E70*0.5</f>
        <v>0</v>
      </c>
      <c r="G70" s="35">
        <f>D52</f>
        <v>0.05</v>
      </c>
      <c r="H70" s="27">
        <f>C70*G70</f>
        <v>1.0197422540494459</v>
      </c>
      <c r="I70" s="70">
        <f>C70+F70+H70</f>
        <v>21.414587335038362</v>
      </c>
      <c r="M70" t="s">
        <v>96</v>
      </c>
    </row>
    <row r="71" spans="2:13" x14ac:dyDescent="0.3">
      <c r="B71" t="s">
        <v>75</v>
      </c>
      <c r="C71" s="29">
        <f>AVERAGE(J64:K64)</f>
        <v>22.860232352941175</v>
      </c>
      <c r="D71" s="29">
        <f>C42</f>
        <v>20.7</v>
      </c>
      <c r="E71" s="29">
        <f>MAX(C71-D71,0)</f>
        <v>2.1602323529411755</v>
      </c>
      <c r="F71" s="29">
        <f>E71*0.5</f>
        <v>1.0801161764705878</v>
      </c>
      <c r="G71" s="35">
        <f>D53</f>
        <v>7.4999999999999997E-2</v>
      </c>
      <c r="H71" s="27">
        <f>C71*G71</f>
        <v>1.714517426470588</v>
      </c>
      <c r="I71" s="71">
        <f>C71+F71+H71</f>
        <v>25.654865955882354</v>
      </c>
      <c r="M71" t="s">
        <v>95</v>
      </c>
    </row>
    <row r="72" spans="2:13" ht="15" thickBot="1" x14ac:dyDescent="0.35">
      <c r="B72" t="s">
        <v>73</v>
      </c>
      <c r="C72" s="29">
        <f>AVERAGE(J65:K65)</f>
        <v>23.2736360716967</v>
      </c>
      <c r="D72" s="29">
        <f>C43</f>
        <v>19.293749999999999</v>
      </c>
      <c r="E72" s="29">
        <f>MAX(C72-D72,0)</f>
        <v>3.9798860716967006</v>
      </c>
      <c r="F72" s="29">
        <f>E72*0.5</f>
        <v>1.9899430358483503</v>
      </c>
      <c r="G72" s="35">
        <f>D54</f>
        <v>0.05</v>
      </c>
      <c r="H72" s="27">
        <f>C72*G72</f>
        <v>1.1636818035848351</v>
      </c>
      <c r="I72" s="72">
        <f>C72+F72+H72</f>
        <v>26.427260911129885</v>
      </c>
      <c r="M72" t="s">
        <v>94</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25C4D-7DB9-46FB-B5C5-566DAA94D69D}">
  <sheetPr>
    <tabColor theme="5" tint="0.39997558519241921"/>
  </sheetPr>
  <dimension ref="A1:U29"/>
  <sheetViews>
    <sheetView zoomScale="115" zoomScaleNormal="115" workbookViewId="0"/>
  </sheetViews>
  <sheetFormatPr defaultRowHeight="14.4" x14ac:dyDescent="0.3"/>
  <cols>
    <col min="2" max="2" width="12.6640625" customWidth="1"/>
    <col min="3" max="14" width="11.33203125" customWidth="1"/>
  </cols>
  <sheetData>
    <row r="1" spans="1:21" x14ac:dyDescent="0.3">
      <c r="A1" s="131" t="s">
        <v>312</v>
      </c>
    </row>
    <row r="3" spans="1:21" x14ac:dyDescent="0.3">
      <c r="A3" s="9" t="s">
        <v>8</v>
      </c>
    </row>
    <row r="4" spans="1:21" x14ac:dyDescent="0.3">
      <c r="A4" t="s">
        <v>140</v>
      </c>
    </row>
    <row r="5" spans="1:21" x14ac:dyDescent="0.3">
      <c r="A5" s="9"/>
    </row>
    <row r="8" spans="1:21" x14ac:dyDescent="0.3">
      <c r="B8" s="8" t="s">
        <v>7</v>
      </c>
      <c r="C8" s="7"/>
      <c r="D8" s="7"/>
      <c r="E8" s="7"/>
      <c r="F8" s="7"/>
      <c r="G8" s="7"/>
      <c r="H8" s="7"/>
      <c r="I8" s="7"/>
      <c r="J8" s="7"/>
      <c r="K8" s="7"/>
      <c r="L8" s="7"/>
      <c r="M8" s="7"/>
      <c r="N8" s="6"/>
    </row>
    <row r="9" spans="1:21" x14ac:dyDescent="0.3">
      <c r="B9" s="5" t="s">
        <v>139</v>
      </c>
      <c r="C9" s="4"/>
      <c r="D9" s="4"/>
      <c r="E9" s="4"/>
      <c r="F9" s="4"/>
      <c r="G9" s="4"/>
      <c r="H9" s="4"/>
      <c r="I9" s="4"/>
      <c r="J9" s="4"/>
      <c r="K9" s="4"/>
      <c r="L9" s="4"/>
      <c r="M9" s="4"/>
      <c r="N9" s="3"/>
    </row>
    <row r="10" spans="1:21" x14ac:dyDescent="0.3">
      <c r="J10" s="40"/>
      <c r="K10" s="40"/>
      <c r="L10" s="40"/>
    </row>
    <row r="11" spans="1:21" x14ac:dyDescent="0.3">
      <c r="J11" s="40"/>
      <c r="K11" s="40"/>
      <c r="L11" s="40"/>
    </row>
    <row r="12" spans="1:21" x14ac:dyDescent="0.3">
      <c r="C12" s="14" t="s">
        <v>29</v>
      </c>
      <c r="D12" s="61"/>
      <c r="E12" s="13"/>
      <c r="F12" s="14" t="s">
        <v>28</v>
      </c>
      <c r="G12" s="61"/>
      <c r="H12" s="13"/>
      <c r="I12" s="14" t="s">
        <v>27</v>
      </c>
      <c r="J12" s="61"/>
      <c r="K12" s="13"/>
      <c r="L12" s="14" t="s">
        <v>26</v>
      </c>
      <c r="M12" s="61"/>
      <c r="N12" s="13"/>
    </row>
    <row r="13" spans="1:21" ht="28.8" x14ac:dyDescent="0.3">
      <c r="C13" s="12" t="s">
        <v>138</v>
      </c>
      <c r="D13" s="47" t="s">
        <v>10</v>
      </c>
      <c r="E13" s="47" t="s">
        <v>137</v>
      </c>
      <c r="F13" s="12" t="s">
        <v>138</v>
      </c>
      <c r="G13" s="47" t="s">
        <v>10</v>
      </c>
      <c r="H13" s="47" t="s">
        <v>137</v>
      </c>
      <c r="I13" s="12" t="s">
        <v>138</v>
      </c>
      <c r="J13" s="47" t="s">
        <v>10</v>
      </c>
      <c r="K13" s="47" t="s">
        <v>137</v>
      </c>
      <c r="L13" s="12" t="s">
        <v>138</v>
      </c>
      <c r="M13" s="47" t="s">
        <v>10</v>
      </c>
      <c r="N13" s="47" t="s">
        <v>137</v>
      </c>
    </row>
    <row r="14" spans="1:21" x14ac:dyDescent="0.3">
      <c r="B14" t="s">
        <v>136</v>
      </c>
      <c r="C14" s="17">
        <v>250</v>
      </c>
      <c r="D14" s="17">
        <v>440</v>
      </c>
      <c r="E14" s="30">
        <v>1600</v>
      </c>
      <c r="F14" s="17">
        <v>255</v>
      </c>
      <c r="G14" s="17">
        <v>450</v>
      </c>
      <c r="H14" s="30">
        <v>1650</v>
      </c>
      <c r="I14" s="17">
        <v>260</v>
      </c>
      <c r="J14" s="17">
        <v>460</v>
      </c>
      <c r="K14" s="30">
        <v>1700</v>
      </c>
      <c r="L14" s="17">
        <v>265</v>
      </c>
      <c r="M14" s="17">
        <v>455</v>
      </c>
      <c r="N14" s="30">
        <v>1710</v>
      </c>
      <c r="P14" s="18"/>
      <c r="Q14" s="18"/>
      <c r="R14" s="18"/>
      <c r="S14" s="18"/>
      <c r="T14" s="18"/>
      <c r="U14" s="18"/>
    </row>
    <row r="15" spans="1:21" x14ac:dyDescent="0.3">
      <c r="B15" t="s">
        <v>135</v>
      </c>
      <c r="C15" s="17">
        <v>1200</v>
      </c>
      <c r="D15" s="17">
        <v>260</v>
      </c>
      <c r="E15" s="30">
        <v>1200</v>
      </c>
      <c r="F15" s="17">
        <v>1250</v>
      </c>
      <c r="G15" s="17">
        <v>265</v>
      </c>
      <c r="H15" s="30">
        <v>1240</v>
      </c>
      <c r="I15" s="17">
        <v>1300</v>
      </c>
      <c r="J15" s="17">
        <v>268</v>
      </c>
      <c r="K15" s="30">
        <v>1275</v>
      </c>
      <c r="L15" s="17">
        <v>1325</v>
      </c>
      <c r="M15" s="17">
        <v>276</v>
      </c>
      <c r="N15" s="30">
        <v>1310</v>
      </c>
      <c r="P15" s="18"/>
      <c r="Q15" s="18"/>
      <c r="R15" s="18"/>
      <c r="S15" s="18"/>
      <c r="T15" s="18"/>
      <c r="U15" s="18"/>
    </row>
    <row r="16" spans="1:21" x14ac:dyDescent="0.3">
      <c r="J16" s="40"/>
      <c r="K16" s="40"/>
      <c r="L16" s="40"/>
    </row>
    <row r="17" spans="1:12" x14ac:dyDescent="0.3">
      <c r="J17" s="40"/>
      <c r="K17" s="40"/>
      <c r="L17" s="40"/>
    </row>
    <row r="18" spans="1:12" x14ac:dyDescent="0.3">
      <c r="B18" t="s">
        <v>134</v>
      </c>
      <c r="J18" s="40"/>
      <c r="K18" s="40"/>
      <c r="L18" s="40"/>
    </row>
    <row r="19" spans="1:12" x14ac:dyDescent="0.3">
      <c r="B19" t="s">
        <v>133</v>
      </c>
      <c r="J19" s="40"/>
      <c r="K19" s="40"/>
      <c r="L19" s="40"/>
    </row>
    <row r="20" spans="1:12" x14ac:dyDescent="0.3">
      <c r="B20" t="s">
        <v>132</v>
      </c>
      <c r="J20" s="40"/>
      <c r="K20" s="40"/>
      <c r="L20" s="40"/>
    </row>
    <row r="21" spans="1:12" x14ac:dyDescent="0.3">
      <c r="J21" s="40"/>
      <c r="K21" s="40"/>
      <c r="L21" s="40"/>
    </row>
    <row r="22" spans="1:12" x14ac:dyDescent="0.3">
      <c r="A22" t="s">
        <v>2</v>
      </c>
      <c r="B22" t="s">
        <v>131</v>
      </c>
      <c r="J22" s="40"/>
      <c r="K22" s="40"/>
      <c r="L22" s="40"/>
    </row>
    <row r="23" spans="1:12" x14ac:dyDescent="0.3">
      <c r="J23" s="40"/>
      <c r="K23" s="40"/>
      <c r="L23" s="40"/>
    </row>
    <row r="24" spans="1:12" x14ac:dyDescent="0.3">
      <c r="B24" t="s">
        <v>130</v>
      </c>
    </row>
    <row r="26" spans="1:12" x14ac:dyDescent="0.3">
      <c r="A26" t="s">
        <v>1</v>
      </c>
      <c r="B26" t="s">
        <v>129</v>
      </c>
    </row>
    <row r="28" spans="1:12" x14ac:dyDescent="0.3">
      <c r="A28" t="s">
        <v>128</v>
      </c>
      <c r="B28" t="s">
        <v>127</v>
      </c>
    </row>
    <row r="29" spans="1:12" x14ac:dyDescent="0.3">
      <c r="A29" t="s">
        <v>126</v>
      </c>
      <c r="B29" t="s">
        <v>125</v>
      </c>
      <c r="H29" t="s">
        <v>124</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0BF0A-04EC-4CD8-8023-AB729C45309D}">
  <sheetPr>
    <tabColor theme="9" tint="0.59999389629810485"/>
  </sheetPr>
  <dimension ref="A1:U72"/>
  <sheetViews>
    <sheetView zoomScale="115" zoomScaleNormal="115" workbookViewId="0"/>
  </sheetViews>
  <sheetFormatPr defaultRowHeight="14.4" x14ac:dyDescent="0.3"/>
  <cols>
    <col min="2" max="2" width="12.6640625" customWidth="1"/>
    <col min="3" max="4" width="13" bestFit="1" customWidth="1"/>
    <col min="5" max="14" width="11.33203125" customWidth="1"/>
  </cols>
  <sheetData>
    <row r="1" spans="1:21" x14ac:dyDescent="0.3">
      <c r="A1" s="131" t="s">
        <v>312</v>
      </c>
    </row>
    <row r="3" spans="1:21" x14ac:dyDescent="0.3">
      <c r="A3" s="9" t="s">
        <v>8</v>
      </c>
    </row>
    <row r="4" spans="1:21" x14ac:dyDescent="0.3">
      <c r="A4" t="s">
        <v>140</v>
      </c>
    </row>
    <row r="5" spans="1:21" x14ac:dyDescent="0.3">
      <c r="A5" s="9"/>
    </row>
    <row r="8" spans="1:21" x14ac:dyDescent="0.3">
      <c r="B8" s="8" t="s">
        <v>7</v>
      </c>
      <c r="C8" s="7"/>
      <c r="D8" s="7"/>
      <c r="E8" s="7"/>
      <c r="F8" s="7"/>
      <c r="G8" s="7"/>
      <c r="H8" s="7"/>
      <c r="I8" s="7"/>
      <c r="J8" s="7"/>
      <c r="K8" s="7"/>
      <c r="L8" s="7"/>
      <c r="M8" s="7"/>
      <c r="N8" s="6"/>
    </row>
    <row r="9" spans="1:21" x14ac:dyDescent="0.3">
      <c r="B9" s="5" t="s">
        <v>139</v>
      </c>
      <c r="C9" s="4"/>
      <c r="D9" s="4"/>
      <c r="E9" s="4"/>
      <c r="F9" s="4"/>
      <c r="G9" s="4"/>
      <c r="H9" s="4"/>
      <c r="I9" s="4"/>
      <c r="J9" s="4"/>
      <c r="K9" s="4"/>
      <c r="L9" s="4"/>
      <c r="M9" s="4"/>
      <c r="N9" s="3"/>
    </row>
    <row r="10" spans="1:21" x14ac:dyDescent="0.3">
      <c r="J10" s="40"/>
      <c r="K10" s="40"/>
      <c r="L10" s="40"/>
    </row>
    <row r="11" spans="1:21" x14ac:dyDescent="0.3">
      <c r="J11" s="40"/>
      <c r="K11" s="40"/>
      <c r="L11" s="40"/>
    </row>
    <row r="12" spans="1:21" x14ac:dyDescent="0.3">
      <c r="C12" s="14" t="s">
        <v>29</v>
      </c>
      <c r="D12" s="61"/>
      <c r="E12" s="13"/>
      <c r="F12" s="14" t="s">
        <v>28</v>
      </c>
      <c r="G12" s="61"/>
      <c r="H12" s="13"/>
      <c r="I12" s="14" t="s">
        <v>27</v>
      </c>
      <c r="J12" s="61"/>
      <c r="K12" s="13"/>
      <c r="L12" s="14" t="s">
        <v>26</v>
      </c>
      <c r="M12" s="61"/>
      <c r="N12" s="13"/>
    </row>
    <row r="13" spans="1:21" ht="28.8" x14ac:dyDescent="0.3">
      <c r="C13" s="12" t="s">
        <v>138</v>
      </c>
      <c r="D13" s="47" t="s">
        <v>10</v>
      </c>
      <c r="E13" s="47" t="s">
        <v>137</v>
      </c>
      <c r="F13" s="12" t="s">
        <v>138</v>
      </c>
      <c r="G13" s="47" t="s">
        <v>10</v>
      </c>
      <c r="H13" s="47" t="s">
        <v>137</v>
      </c>
      <c r="I13" s="12" t="s">
        <v>138</v>
      </c>
      <c r="J13" s="47" t="s">
        <v>10</v>
      </c>
      <c r="K13" s="47" t="s">
        <v>137</v>
      </c>
      <c r="L13" s="12" t="s">
        <v>138</v>
      </c>
      <c r="M13" s="47" t="s">
        <v>10</v>
      </c>
      <c r="N13" s="47" t="s">
        <v>137</v>
      </c>
    </row>
    <row r="14" spans="1:21" x14ac:dyDescent="0.3">
      <c r="B14" t="s">
        <v>136</v>
      </c>
      <c r="C14" s="17">
        <v>250</v>
      </c>
      <c r="D14" s="17">
        <v>440</v>
      </c>
      <c r="E14" s="30">
        <v>1600</v>
      </c>
      <c r="F14" s="17">
        <v>255</v>
      </c>
      <c r="G14" s="17">
        <v>450</v>
      </c>
      <c r="H14" s="30">
        <v>1650</v>
      </c>
      <c r="I14" s="17">
        <v>260</v>
      </c>
      <c r="J14" s="17">
        <v>460</v>
      </c>
      <c r="K14" s="30">
        <v>1700</v>
      </c>
      <c r="L14" s="17">
        <v>265</v>
      </c>
      <c r="M14" s="17">
        <v>455</v>
      </c>
      <c r="N14" s="30">
        <v>1710</v>
      </c>
      <c r="P14" s="18"/>
      <c r="Q14" s="18"/>
      <c r="R14" s="18"/>
      <c r="S14" s="18"/>
      <c r="T14" s="18"/>
      <c r="U14" s="18"/>
    </row>
    <row r="15" spans="1:21" x14ac:dyDescent="0.3">
      <c r="B15" t="s">
        <v>135</v>
      </c>
      <c r="C15" s="17">
        <v>1200</v>
      </c>
      <c r="D15" s="17">
        <v>260</v>
      </c>
      <c r="E15" s="30">
        <v>1200</v>
      </c>
      <c r="F15" s="17">
        <v>1250</v>
      </c>
      <c r="G15" s="17">
        <v>265</v>
      </c>
      <c r="H15" s="30">
        <v>1240</v>
      </c>
      <c r="I15" s="17">
        <v>1300</v>
      </c>
      <c r="J15" s="17">
        <v>268</v>
      </c>
      <c r="K15" s="30">
        <v>1275</v>
      </c>
      <c r="L15" s="17">
        <v>1325</v>
      </c>
      <c r="M15" s="17">
        <v>276</v>
      </c>
      <c r="N15" s="30">
        <v>1310</v>
      </c>
      <c r="P15" s="18"/>
      <c r="Q15" s="18"/>
      <c r="R15" s="18"/>
      <c r="S15" s="18"/>
      <c r="T15" s="18"/>
      <c r="U15" s="18"/>
    </row>
    <row r="16" spans="1:21" x14ac:dyDescent="0.3">
      <c r="J16" s="40"/>
      <c r="K16" s="40"/>
      <c r="L16" s="40"/>
    </row>
    <row r="17" spans="1:12" x14ac:dyDescent="0.3">
      <c r="J17" s="40"/>
      <c r="K17" s="40"/>
      <c r="L17" s="40"/>
    </row>
    <row r="18" spans="1:12" x14ac:dyDescent="0.3">
      <c r="B18" t="s">
        <v>134</v>
      </c>
      <c r="J18" s="40"/>
      <c r="K18" s="40"/>
      <c r="L18" s="40"/>
    </row>
    <row r="19" spans="1:12" x14ac:dyDescent="0.3">
      <c r="B19" t="s">
        <v>133</v>
      </c>
      <c r="J19" s="40"/>
      <c r="K19" s="40"/>
      <c r="L19" s="40"/>
    </row>
    <row r="20" spans="1:12" x14ac:dyDescent="0.3">
      <c r="B20" t="s">
        <v>132</v>
      </c>
      <c r="J20" s="40"/>
      <c r="K20" s="40"/>
      <c r="L20" s="40"/>
    </row>
    <row r="21" spans="1:12" x14ac:dyDescent="0.3">
      <c r="J21" s="40"/>
      <c r="K21" s="40"/>
      <c r="L21" s="40"/>
    </row>
    <row r="22" spans="1:12" x14ac:dyDescent="0.3">
      <c r="A22" t="s">
        <v>2</v>
      </c>
      <c r="B22" t="s">
        <v>131</v>
      </c>
      <c r="J22" s="40"/>
      <c r="K22" s="40"/>
      <c r="L22" s="40"/>
    </row>
    <row r="23" spans="1:12" x14ac:dyDescent="0.3">
      <c r="J23" s="40"/>
      <c r="K23" s="40"/>
      <c r="L23" s="40"/>
    </row>
    <row r="24" spans="1:12" x14ac:dyDescent="0.3">
      <c r="C24" s="14" t="s">
        <v>102</v>
      </c>
      <c r="D24" s="13"/>
      <c r="J24" s="40"/>
      <c r="K24" s="40"/>
      <c r="L24" s="40"/>
    </row>
    <row r="25" spans="1:12" x14ac:dyDescent="0.3">
      <c r="C25" s="12" t="s">
        <v>27</v>
      </c>
      <c r="D25" s="12" t="s">
        <v>26</v>
      </c>
      <c r="G25" s="15" t="s">
        <v>11</v>
      </c>
      <c r="J25" s="40"/>
      <c r="K25" s="40"/>
      <c r="L25" s="40"/>
    </row>
    <row r="26" spans="1:12" x14ac:dyDescent="0.3">
      <c r="B26" t="s">
        <v>136</v>
      </c>
      <c r="C26" s="29">
        <f>J14*K14/12000</f>
        <v>65.166666666666671</v>
      </c>
      <c r="D26" s="29">
        <f>M14*N14/12000</f>
        <v>64.837500000000006</v>
      </c>
      <c r="G26" t="s">
        <v>161</v>
      </c>
      <c r="J26" s="40"/>
      <c r="K26" s="40"/>
      <c r="L26" s="40"/>
    </row>
    <row r="27" spans="1:12" x14ac:dyDescent="0.3">
      <c r="C27" s="11"/>
      <c r="D27" s="11"/>
      <c r="J27" s="40"/>
      <c r="K27" s="40"/>
      <c r="L27" s="40"/>
    </row>
    <row r="28" spans="1:12" ht="28.8" x14ac:dyDescent="0.3">
      <c r="C28" s="79" t="s">
        <v>146</v>
      </c>
      <c r="D28" s="79" t="s">
        <v>145</v>
      </c>
      <c r="E28" s="47" t="s">
        <v>101</v>
      </c>
      <c r="G28" t="s">
        <v>160</v>
      </c>
      <c r="J28" s="40"/>
      <c r="K28" s="40"/>
      <c r="L28" s="40"/>
    </row>
    <row r="29" spans="1:12" x14ac:dyDescent="0.3">
      <c r="B29" t="s">
        <v>136</v>
      </c>
      <c r="C29" s="29">
        <f>C26*$L$14*12</f>
        <v>207230</v>
      </c>
      <c r="D29" s="29">
        <f>D26*$L$14*12</f>
        <v>206183.25</v>
      </c>
      <c r="E29" s="29">
        <f>C29-D29</f>
        <v>1046.75</v>
      </c>
      <c r="G29" t="s">
        <v>159</v>
      </c>
    </row>
    <row r="30" spans="1:12" x14ac:dyDescent="0.3">
      <c r="C30" s="29"/>
      <c r="D30" s="29"/>
      <c r="E30" s="29"/>
    </row>
    <row r="31" spans="1:12" x14ac:dyDescent="0.3">
      <c r="B31" t="s">
        <v>143</v>
      </c>
      <c r="C31" s="29"/>
      <c r="D31" s="29"/>
      <c r="E31" s="29">
        <f>2.5*$L$14*12</f>
        <v>7950</v>
      </c>
      <c r="G31" t="s">
        <v>158</v>
      </c>
    </row>
    <row r="32" spans="1:12" ht="15" thickBot="1" x14ac:dyDescent="0.35">
      <c r="C32" s="29"/>
      <c r="D32" s="29"/>
      <c r="E32" s="29"/>
    </row>
    <row r="33" spans="1:8" x14ac:dyDescent="0.3">
      <c r="B33" t="s">
        <v>142</v>
      </c>
      <c r="C33" s="29"/>
      <c r="D33" s="29"/>
      <c r="E33" s="70">
        <f>E29-E31</f>
        <v>-6903.25</v>
      </c>
      <c r="G33" t="s">
        <v>157</v>
      </c>
    </row>
    <row r="34" spans="1:8" ht="15" thickBot="1" x14ac:dyDescent="0.35">
      <c r="B34" t="s">
        <v>141</v>
      </c>
      <c r="C34" s="12"/>
      <c r="D34" s="12"/>
      <c r="E34" s="80">
        <f>E29/E31</f>
        <v>0.13166666666666665</v>
      </c>
      <c r="G34" t="s">
        <v>156</v>
      </c>
    </row>
    <row r="35" spans="1:8" x14ac:dyDescent="0.3">
      <c r="G35" t="s">
        <v>155</v>
      </c>
    </row>
    <row r="37" spans="1:8" x14ac:dyDescent="0.3">
      <c r="B37" t="s">
        <v>130</v>
      </c>
    </row>
    <row r="39" spans="1:8" x14ac:dyDescent="0.3">
      <c r="A39" t="s">
        <v>1</v>
      </c>
      <c r="B39" t="s">
        <v>129</v>
      </c>
    </row>
    <row r="41" spans="1:8" x14ac:dyDescent="0.3">
      <c r="A41" t="s">
        <v>128</v>
      </c>
      <c r="B41" t="s">
        <v>127</v>
      </c>
    </row>
    <row r="42" spans="1:8" x14ac:dyDescent="0.3">
      <c r="A42" t="s">
        <v>126</v>
      </c>
      <c r="B42" t="s">
        <v>125</v>
      </c>
      <c r="H42" t="s">
        <v>124</v>
      </c>
    </row>
    <row r="44" spans="1:8" x14ac:dyDescent="0.3">
      <c r="C44" s="12" t="s">
        <v>10</v>
      </c>
      <c r="D44" s="12" t="s">
        <v>137</v>
      </c>
      <c r="G44" s="15" t="s">
        <v>11</v>
      </c>
    </row>
    <row r="45" spans="1:8" ht="28.8" x14ac:dyDescent="0.3">
      <c r="B45" s="23" t="s">
        <v>154</v>
      </c>
      <c r="C45" s="21">
        <f>SQRT(J14/D14)-1</f>
        <v>2.2474716291090102E-2</v>
      </c>
      <c r="D45" s="21">
        <f>SQRT(K14/E14)-1</f>
        <v>3.0776406404415146E-2</v>
      </c>
      <c r="G45" t="s">
        <v>292</v>
      </c>
    </row>
    <row r="46" spans="1:8" x14ac:dyDescent="0.3">
      <c r="G46" t="s">
        <v>153</v>
      </c>
    </row>
    <row r="47" spans="1:8" x14ac:dyDescent="0.3">
      <c r="C47" s="14" t="s">
        <v>102</v>
      </c>
      <c r="D47" s="61"/>
      <c r="E47" s="13"/>
    </row>
    <row r="48" spans="1:8" x14ac:dyDescent="0.3">
      <c r="C48" s="47" t="str">
        <f>C25</f>
        <v>20X3</v>
      </c>
      <c r="D48" s="47" t="s">
        <v>152</v>
      </c>
      <c r="E48" s="47" t="str">
        <f>D25</f>
        <v>20X4</v>
      </c>
    </row>
    <row r="49" spans="2:7" x14ac:dyDescent="0.3">
      <c r="B49" t="s">
        <v>136</v>
      </c>
      <c r="C49" s="29">
        <f>C26</f>
        <v>65.166666666666671</v>
      </c>
      <c r="D49" s="29">
        <f>C49*(1+C45)*(1+D45)</f>
        <v>68.681940025980069</v>
      </c>
      <c r="E49" s="29">
        <f>D26</f>
        <v>64.837500000000006</v>
      </c>
      <c r="G49" t="s">
        <v>151</v>
      </c>
    </row>
    <row r="51" spans="2:7" ht="28.8" x14ac:dyDescent="0.3">
      <c r="C51" s="79" t="s">
        <v>146</v>
      </c>
      <c r="D51" s="79" t="s">
        <v>145</v>
      </c>
      <c r="E51" s="47" t="s">
        <v>101</v>
      </c>
    </row>
    <row r="52" spans="2:7" x14ac:dyDescent="0.3">
      <c r="B52" t="s">
        <v>136</v>
      </c>
      <c r="C52" s="29">
        <f>D49*$L$14*12</f>
        <v>218408.56928261663</v>
      </c>
      <c r="D52" s="29">
        <f>E49*$L$14*12</f>
        <v>206183.25</v>
      </c>
      <c r="E52" s="29">
        <f>C52-D52</f>
        <v>12225.319282616634</v>
      </c>
      <c r="G52" t="s">
        <v>144</v>
      </c>
    </row>
    <row r="53" spans="2:7" x14ac:dyDescent="0.3">
      <c r="C53" s="29"/>
      <c r="D53" s="29"/>
      <c r="E53" s="29"/>
    </row>
    <row r="54" spans="2:7" x14ac:dyDescent="0.3">
      <c r="B54" t="s">
        <v>143</v>
      </c>
      <c r="C54" s="29"/>
      <c r="D54" s="29"/>
      <c r="E54" s="29">
        <f>2.5*$L$14*12</f>
        <v>7950</v>
      </c>
    </row>
    <row r="55" spans="2:7" ht="15" thickBot="1" x14ac:dyDescent="0.35">
      <c r="C55" s="29"/>
      <c r="D55" s="29"/>
      <c r="E55" s="29"/>
    </row>
    <row r="56" spans="2:7" x14ac:dyDescent="0.3">
      <c r="B56" t="s">
        <v>142</v>
      </c>
      <c r="C56" s="29"/>
      <c r="D56" s="29"/>
      <c r="E56" s="70">
        <f>E52-E54</f>
        <v>4275.3192826166342</v>
      </c>
    </row>
    <row r="57" spans="2:7" ht="15" thickBot="1" x14ac:dyDescent="0.35">
      <c r="B57" t="s">
        <v>141</v>
      </c>
      <c r="C57" s="12"/>
      <c r="D57" s="12"/>
      <c r="E57" s="80">
        <f>E52/E54</f>
        <v>1.5377760103920295</v>
      </c>
    </row>
    <row r="59" spans="2:7" x14ac:dyDescent="0.3">
      <c r="C59" s="12" t="s">
        <v>10</v>
      </c>
      <c r="D59" s="12" t="s">
        <v>137</v>
      </c>
    </row>
    <row r="60" spans="2:7" ht="30" customHeight="1" x14ac:dyDescent="0.3">
      <c r="B60" s="23" t="s">
        <v>150</v>
      </c>
      <c r="C60" s="21">
        <f>M15/J15-1</f>
        <v>2.9850746268656803E-2</v>
      </c>
      <c r="D60" s="21">
        <f>N15/K15-1</f>
        <v>2.7450980392156765E-2</v>
      </c>
      <c r="G60" t="s">
        <v>149</v>
      </c>
    </row>
    <row r="61" spans="2:7" x14ac:dyDescent="0.3">
      <c r="C61" s="12"/>
      <c r="D61" s="12"/>
      <c r="G61" t="s">
        <v>148</v>
      </c>
    </row>
    <row r="62" spans="2:7" x14ac:dyDescent="0.3">
      <c r="C62" s="14" t="s">
        <v>102</v>
      </c>
      <c r="D62" s="61"/>
      <c r="E62" s="13"/>
    </row>
    <row r="63" spans="2:7" ht="28.8" x14ac:dyDescent="0.3">
      <c r="C63" s="81" t="str">
        <f>C48</f>
        <v>20X3</v>
      </c>
      <c r="D63" s="81" t="str">
        <f>D48</f>
        <v>Trended 20X3</v>
      </c>
      <c r="E63" s="81" t="str">
        <f>E48</f>
        <v>20X4</v>
      </c>
    </row>
    <row r="64" spans="2:7" x14ac:dyDescent="0.3">
      <c r="B64" t="s">
        <v>136</v>
      </c>
      <c r="C64" s="29">
        <f>C49</f>
        <v>65.166666666666671</v>
      </c>
      <c r="D64" s="29">
        <f>C64*(1+C60)*(1+D60)</f>
        <v>68.954228855721396</v>
      </c>
      <c r="E64" s="29">
        <f>E49</f>
        <v>64.837500000000006</v>
      </c>
      <c r="G64" t="s">
        <v>147</v>
      </c>
    </row>
    <row r="66" spans="2:7" ht="28.8" x14ac:dyDescent="0.3">
      <c r="C66" s="82" t="s">
        <v>146</v>
      </c>
      <c r="D66" s="82" t="s">
        <v>145</v>
      </c>
      <c r="E66" s="82" t="s">
        <v>101</v>
      </c>
    </row>
    <row r="67" spans="2:7" x14ac:dyDescent="0.3">
      <c r="B67" t="s">
        <v>136</v>
      </c>
      <c r="C67" s="26">
        <f>D64*$L$14*12</f>
        <v>219274.44776119402</v>
      </c>
      <c r="D67" s="26">
        <f>E64*$L$14*12</f>
        <v>206183.25</v>
      </c>
      <c r="E67" s="26">
        <f>C67-D67</f>
        <v>13091.197761194024</v>
      </c>
      <c r="G67" t="s">
        <v>144</v>
      </c>
    </row>
    <row r="68" spans="2:7" x14ac:dyDescent="0.3">
      <c r="C68" s="26"/>
      <c r="D68" s="26"/>
      <c r="E68" s="26"/>
    </row>
    <row r="69" spans="2:7" x14ac:dyDescent="0.3">
      <c r="B69" t="s">
        <v>143</v>
      </c>
      <c r="C69" s="26"/>
      <c r="D69" s="26"/>
      <c r="E69" s="26">
        <f>2.5*$L$14*12</f>
        <v>7950</v>
      </c>
    </row>
    <row r="70" spans="2:7" ht="15" thickBot="1" x14ac:dyDescent="0.35">
      <c r="C70" s="26"/>
      <c r="D70" s="26"/>
      <c r="E70" s="26"/>
    </row>
    <row r="71" spans="2:7" x14ac:dyDescent="0.3">
      <c r="B71" t="s">
        <v>142</v>
      </c>
      <c r="C71" s="26"/>
      <c r="D71" s="26"/>
      <c r="E71" s="83">
        <f>E67-E69</f>
        <v>5141.1977611940238</v>
      </c>
    </row>
    <row r="72" spans="2:7" ht="15" thickBot="1" x14ac:dyDescent="0.35">
      <c r="B72" t="s">
        <v>141</v>
      </c>
      <c r="E72" s="73">
        <f>E67/E69</f>
        <v>1.6466915422885564</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82ED39-6B6D-453D-9A38-9C08083CC23E}">
  <sheetPr>
    <tabColor theme="5" tint="0.39997558519241921"/>
  </sheetPr>
  <dimension ref="A1:N26"/>
  <sheetViews>
    <sheetView zoomScale="115" zoomScaleNormal="115" workbookViewId="0"/>
  </sheetViews>
  <sheetFormatPr defaultRowHeight="14.4" x14ac:dyDescent="0.3"/>
  <cols>
    <col min="2" max="2" width="16.44140625" bestFit="1" customWidth="1"/>
    <col min="3" max="7" width="11.33203125" customWidth="1"/>
    <col min="8" max="8" width="16.44140625" bestFit="1" customWidth="1"/>
    <col min="9" max="11" width="10.33203125" bestFit="1" customWidth="1"/>
    <col min="12" max="12" width="11.33203125" customWidth="1"/>
    <col min="13" max="14" width="16.44140625" bestFit="1" customWidth="1"/>
  </cols>
  <sheetData>
    <row r="1" spans="1:14" x14ac:dyDescent="0.3">
      <c r="A1" s="131" t="s">
        <v>312</v>
      </c>
    </row>
    <row r="3" spans="1:14" x14ac:dyDescent="0.3">
      <c r="A3" s="9" t="s">
        <v>8</v>
      </c>
    </row>
    <row r="4" spans="1:14" x14ac:dyDescent="0.3">
      <c r="A4" t="s">
        <v>140</v>
      </c>
    </row>
    <row r="5" spans="1:14" x14ac:dyDescent="0.3">
      <c r="A5" s="9"/>
    </row>
    <row r="8" spans="1:14" x14ac:dyDescent="0.3">
      <c r="B8" s="8" t="s">
        <v>7</v>
      </c>
      <c r="C8" s="7"/>
      <c r="D8" s="7"/>
      <c r="E8" s="7"/>
      <c r="F8" s="6"/>
      <c r="H8" s="8" t="s">
        <v>6</v>
      </c>
      <c r="I8" s="7"/>
      <c r="J8" s="7"/>
      <c r="K8" s="6"/>
      <c r="M8" s="8" t="s">
        <v>5</v>
      </c>
      <c r="N8" s="6"/>
    </row>
    <row r="9" spans="1:14" ht="30" customHeight="1" x14ac:dyDescent="0.3">
      <c r="B9" s="5" t="s">
        <v>173</v>
      </c>
      <c r="C9" s="4"/>
      <c r="D9" s="4"/>
      <c r="E9" s="4"/>
      <c r="F9" s="3"/>
      <c r="H9" s="75" t="s">
        <v>172</v>
      </c>
      <c r="I9" s="4"/>
      <c r="J9" s="4"/>
      <c r="K9" s="3"/>
      <c r="M9" s="75" t="s">
        <v>171</v>
      </c>
      <c r="N9" s="74"/>
    </row>
    <row r="10" spans="1:14" x14ac:dyDescent="0.3">
      <c r="B10" s="24"/>
      <c r="C10" s="24"/>
      <c r="D10" s="24"/>
      <c r="E10" s="24"/>
      <c r="F10" s="24"/>
      <c r="H10" s="24"/>
      <c r="I10" s="24"/>
      <c r="J10" s="24"/>
      <c r="K10" s="24"/>
      <c r="L10" s="24"/>
    </row>
    <row r="11" spans="1:14" ht="28.8" x14ac:dyDescent="0.3">
      <c r="B11" t="s">
        <v>170</v>
      </c>
      <c r="C11" s="84" t="s">
        <v>167</v>
      </c>
      <c r="D11" s="84" t="s">
        <v>20</v>
      </c>
      <c r="E11" s="47" t="s">
        <v>168</v>
      </c>
      <c r="F11" s="47" t="s">
        <v>21</v>
      </c>
      <c r="H11" t="s">
        <v>170</v>
      </c>
      <c r="I11" s="85" t="s">
        <v>29</v>
      </c>
      <c r="J11" s="85" t="s">
        <v>28</v>
      </c>
      <c r="K11" s="85" t="s">
        <v>27</v>
      </c>
      <c r="M11" t="s">
        <v>170</v>
      </c>
      <c r="N11" s="12" t="s">
        <v>169</v>
      </c>
    </row>
    <row r="12" spans="1:14" x14ac:dyDescent="0.3">
      <c r="B12" t="s">
        <v>21</v>
      </c>
      <c r="C12" s="25">
        <v>0.01</v>
      </c>
      <c r="D12" s="25">
        <v>0.05</v>
      </c>
      <c r="E12" s="25">
        <v>0.24</v>
      </c>
      <c r="F12" s="25">
        <v>0.7</v>
      </c>
      <c r="H12" t="s">
        <v>21</v>
      </c>
      <c r="I12" s="30">
        <v>2000</v>
      </c>
      <c r="J12" s="30">
        <v>2100</v>
      </c>
      <c r="K12" s="30">
        <v>2205</v>
      </c>
      <c r="M12" t="s">
        <v>21</v>
      </c>
      <c r="N12" s="25">
        <v>0.05</v>
      </c>
    </row>
    <row r="13" spans="1:14" x14ac:dyDescent="0.3">
      <c r="B13" t="s">
        <v>168</v>
      </c>
      <c r="C13" s="25">
        <v>0.02</v>
      </c>
      <c r="D13" s="25">
        <v>0.28000000000000003</v>
      </c>
      <c r="E13" s="25">
        <v>0.6</v>
      </c>
      <c r="F13" s="25">
        <v>0.1</v>
      </c>
      <c r="H13" t="s">
        <v>168</v>
      </c>
      <c r="I13" s="30">
        <v>560</v>
      </c>
      <c r="J13" s="30">
        <v>580</v>
      </c>
      <c r="K13" s="30">
        <v>600</v>
      </c>
      <c r="M13" t="s">
        <v>168</v>
      </c>
      <c r="N13" s="25">
        <v>0.15</v>
      </c>
    </row>
    <row r="14" spans="1:14" x14ac:dyDescent="0.3">
      <c r="B14" t="s">
        <v>20</v>
      </c>
      <c r="C14" s="25">
        <v>0.05</v>
      </c>
      <c r="D14" s="25">
        <v>0.85</v>
      </c>
      <c r="E14" s="25">
        <v>0.08</v>
      </c>
      <c r="F14" s="25">
        <v>0.02</v>
      </c>
      <c r="H14" t="s">
        <v>20</v>
      </c>
      <c r="I14" s="30">
        <v>280</v>
      </c>
      <c r="J14" s="30">
        <v>290</v>
      </c>
      <c r="K14" s="30">
        <v>300</v>
      </c>
      <c r="M14" t="s">
        <v>20</v>
      </c>
      <c r="N14" s="25">
        <v>0.6</v>
      </c>
    </row>
    <row r="15" spans="1:14" x14ac:dyDescent="0.3">
      <c r="B15" t="s">
        <v>167</v>
      </c>
      <c r="C15" s="25">
        <v>0.95</v>
      </c>
      <c r="D15" s="25">
        <v>0.05</v>
      </c>
      <c r="E15" s="25">
        <v>0</v>
      </c>
      <c r="F15" s="25">
        <v>0</v>
      </c>
      <c r="H15" t="s">
        <v>167</v>
      </c>
      <c r="I15" s="30">
        <v>140</v>
      </c>
      <c r="J15" s="30">
        <v>145</v>
      </c>
      <c r="K15" s="30">
        <v>150</v>
      </c>
      <c r="M15" t="s">
        <v>167</v>
      </c>
      <c r="N15" s="25">
        <v>0.2</v>
      </c>
    </row>
    <row r="16" spans="1:14" x14ac:dyDescent="0.3">
      <c r="E16" s="40"/>
      <c r="F16" s="40"/>
    </row>
    <row r="17" spans="1:6" x14ac:dyDescent="0.3">
      <c r="E17" s="40"/>
      <c r="F17" s="40"/>
    </row>
    <row r="18" spans="1:6" x14ac:dyDescent="0.3">
      <c r="B18" t="s">
        <v>166</v>
      </c>
    </row>
    <row r="19" spans="1:6" x14ac:dyDescent="0.3">
      <c r="B19" t="s">
        <v>293</v>
      </c>
    </row>
    <row r="20" spans="1:6" x14ac:dyDescent="0.3">
      <c r="B20" t="s">
        <v>165</v>
      </c>
    </row>
    <row r="22" spans="1:6" x14ac:dyDescent="0.3">
      <c r="A22" t="s">
        <v>2</v>
      </c>
      <c r="B22" t="s">
        <v>164</v>
      </c>
    </row>
    <row r="24" spans="1:6" x14ac:dyDescent="0.3">
      <c r="B24" t="s">
        <v>163</v>
      </c>
    </row>
    <row r="26" spans="1:6" x14ac:dyDescent="0.3">
      <c r="A26" t="s">
        <v>1</v>
      </c>
      <c r="B26" t="s">
        <v>162</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A61E8-43D5-46BE-B265-1CC0D340D63A}">
  <sheetPr>
    <tabColor theme="9" tint="0.59999389629810485"/>
  </sheetPr>
  <dimension ref="A1:N83"/>
  <sheetViews>
    <sheetView zoomScale="115" zoomScaleNormal="115" workbookViewId="0"/>
  </sheetViews>
  <sheetFormatPr defaultRowHeight="14.4" x14ac:dyDescent="0.3"/>
  <cols>
    <col min="2" max="2" width="16.44140625" bestFit="1" customWidth="1"/>
    <col min="3" max="7" width="11.33203125" customWidth="1"/>
    <col min="8" max="8" width="16.44140625" bestFit="1" customWidth="1"/>
    <col min="9" max="11" width="10.33203125" bestFit="1" customWidth="1"/>
    <col min="12" max="12" width="11.33203125" customWidth="1"/>
    <col min="13" max="14" width="16.44140625" bestFit="1" customWidth="1"/>
  </cols>
  <sheetData>
    <row r="1" spans="1:14" x14ac:dyDescent="0.3">
      <c r="A1" s="131" t="s">
        <v>312</v>
      </c>
    </row>
    <row r="3" spans="1:14" x14ac:dyDescent="0.3">
      <c r="A3" s="9" t="s">
        <v>8</v>
      </c>
    </row>
    <row r="4" spans="1:14" x14ac:dyDescent="0.3">
      <c r="A4" t="s">
        <v>140</v>
      </c>
    </row>
    <row r="5" spans="1:14" x14ac:dyDescent="0.3">
      <c r="A5" s="9"/>
    </row>
    <row r="8" spans="1:14" x14ac:dyDescent="0.3">
      <c r="B8" s="8" t="s">
        <v>7</v>
      </c>
      <c r="C8" s="7"/>
      <c r="D8" s="7"/>
      <c r="E8" s="7"/>
      <c r="F8" s="6"/>
      <c r="H8" s="8" t="s">
        <v>6</v>
      </c>
      <c r="I8" s="7"/>
      <c r="J8" s="7"/>
      <c r="K8" s="6"/>
      <c r="M8" s="8" t="s">
        <v>5</v>
      </c>
      <c r="N8" s="6"/>
    </row>
    <row r="9" spans="1:14" ht="30" customHeight="1" x14ac:dyDescent="0.3">
      <c r="B9" s="5" t="s">
        <v>173</v>
      </c>
      <c r="C9" s="4"/>
      <c r="D9" s="4"/>
      <c r="E9" s="4"/>
      <c r="F9" s="3"/>
      <c r="H9" s="75" t="s">
        <v>172</v>
      </c>
      <c r="I9" s="4"/>
      <c r="J9" s="4"/>
      <c r="K9" s="3"/>
      <c r="M9" s="75" t="s">
        <v>171</v>
      </c>
      <c r="N9" s="74"/>
    </row>
    <row r="10" spans="1:14" x14ac:dyDescent="0.3">
      <c r="B10" s="24"/>
      <c r="C10" s="24"/>
      <c r="D10" s="24"/>
      <c r="E10" s="24"/>
      <c r="F10" s="24"/>
      <c r="H10" s="24"/>
      <c r="I10" s="24"/>
      <c r="J10" s="24"/>
      <c r="K10" s="24"/>
      <c r="L10" s="24"/>
    </row>
    <row r="11" spans="1:14" ht="28.8" x14ac:dyDescent="0.3">
      <c r="B11" t="s">
        <v>170</v>
      </c>
      <c r="C11" s="84" t="s">
        <v>167</v>
      </c>
      <c r="D11" s="84" t="s">
        <v>20</v>
      </c>
      <c r="E11" s="47" t="s">
        <v>168</v>
      </c>
      <c r="F11" s="47" t="s">
        <v>21</v>
      </c>
      <c r="H11" t="s">
        <v>170</v>
      </c>
      <c r="I11" s="85" t="s">
        <v>29</v>
      </c>
      <c r="J11" s="85" t="s">
        <v>28</v>
      </c>
      <c r="K11" s="85" t="s">
        <v>27</v>
      </c>
      <c r="M11" t="s">
        <v>170</v>
      </c>
      <c r="N11" s="12" t="s">
        <v>169</v>
      </c>
    </row>
    <row r="12" spans="1:14" x14ac:dyDescent="0.3">
      <c r="B12" t="s">
        <v>21</v>
      </c>
      <c r="C12" s="25">
        <v>0.01</v>
      </c>
      <c r="D12" s="25">
        <v>0.05</v>
      </c>
      <c r="E12" s="25">
        <v>0.24</v>
      </c>
      <c r="F12" s="25">
        <v>0.7</v>
      </c>
      <c r="H12" t="s">
        <v>21</v>
      </c>
      <c r="I12" s="30">
        <v>2000</v>
      </c>
      <c r="J12" s="30">
        <v>2100</v>
      </c>
      <c r="K12" s="30">
        <v>2205</v>
      </c>
      <c r="M12" t="s">
        <v>21</v>
      </c>
      <c r="N12" s="25">
        <v>0.05</v>
      </c>
    </row>
    <row r="13" spans="1:14" x14ac:dyDescent="0.3">
      <c r="B13" t="s">
        <v>168</v>
      </c>
      <c r="C13" s="25">
        <v>0.02</v>
      </c>
      <c r="D13" s="25">
        <v>0.28000000000000003</v>
      </c>
      <c r="E13" s="25">
        <v>0.6</v>
      </c>
      <c r="F13" s="25">
        <v>0.1</v>
      </c>
      <c r="H13" t="s">
        <v>168</v>
      </c>
      <c r="I13" s="30">
        <v>560</v>
      </c>
      <c r="J13" s="30">
        <v>580</v>
      </c>
      <c r="K13" s="30">
        <v>600</v>
      </c>
      <c r="M13" t="s">
        <v>168</v>
      </c>
      <c r="N13" s="25">
        <v>0.15</v>
      </c>
    </row>
    <row r="14" spans="1:14" x14ac:dyDescent="0.3">
      <c r="B14" t="s">
        <v>20</v>
      </c>
      <c r="C14" s="25">
        <v>0.05</v>
      </c>
      <c r="D14" s="25">
        <v>0.85</v>
      </c>
      <c r="E14" s="25">
        <v>0.08</v>
      </c>
      <c r="F14" s="25">
        <v>0.02</v>
      </c>
      <c r="H14" t="s">
        <v>20</v>
      </c>
      <c r="I14" s="30">
        <v>280</v>
      </c>
      <c r="J14" s="30">
        <v>290</v>
      </c>
      <c r="K14" s="30">
        <v>300</v>
      </c>
      <c r="M14" t="s">
        <v>20</v>
      </c>
      <c r="N14" s="25">
        <v>0.6</v>
      </c>
    </row>
    <row r="15" spans="1:14" x14ac:dyDescent="0.3">
      <c r="B15" t="s">
        <v>167</v>
      </c>
      <c r="C15" s="25">
        <v>0.95</v>
      </c>
      <c r="D15" s="25">
        <v>0.05</v>
      </c>
      <c r="E15" s="25">
        <v>0</v>
      </c>
      <c r="F15" s="25">
        <v>0</v>
      </c>
      <c r="H15" t="s">
        <v>167</v>
      </c>
      <c r="I15" s="30">
        <v>140</v>
      </c>
      <c r="J15" s="30">
        <v>145</v>
      </c>
      <c r="K15" s="30">
        <v>150</v>
      </c>
      <c r="M15" t="s">
        <v>167</v>
      </c>
      <c r="N15" s="25">
        <v>0.2</v>
      </c>
    </row>
    <row r="16" spans="1:14" x14ac:dyDescent="0.3">
      <c r="E16" s="40"/>
      <c r="F16" s="40"/>
    </row>
    <row r="17" spans="1:12" x14ac:dyDescent="0.3">
      <c r="E17" s="40"/>
      <c r="F17" s="40"/>
    </row>
    <row r="18" spans="1:12" x14ac:dyDescent="0.3">
      <c r="B18" t="s">
        <v>166</v>
      </c>
    </row>
    <row r="19" spans="1:12" x14ac:dyDescent="0.3">
      <c r="B19" t="s">
        <v>293</v>
      </c>
    </row>
    <row r="20" spans="1:12" x14ac:dyDescent="0.3">
      <c r="B20" t="s">
        <v>165</v>
      </c>
    </row>
    <row r="22" spans="1:12" x14ac:dyDescent="0.3">
      <c r="A22" t="s">
        <v>2</v>
      </c>
      <c r="B22" t="s">
        <v>164</v>
      </c>
    </row>
    <row r="24" spans="1:12" x14ac:dyDescent="0.3">
      <c r="C24" s="14" t="s">
        <v>196</v>
      </c>
      <c r="D24" s="61"/>
      <c r="E24" s="61"/>
      <c r="F24" s="13"/>
      <c r="L24" s="15" t="s">
        <v>11</v>
      </c>
    </row>
    <row r="25" spans="1:12" ht="28.8" x14ac:dyDescent="0.3">
      <c r="C25" s="51" t="str">
        <f t="shared" ref="C25:F26" si="0">C11</f>
        <v>Formerly Diseased</v>
      </c>
      <c r="D25" s="51" t="str">
        <f t="shared" si="0"/>
        <v>Low</v>
      </c>
      <c r="E25" s="51" t="str">
        <f t="shared" si="0"/>
        <v>Medium</v>
      </c>
      <c r="F25" s="51" t="str">
        <f t="shared" si="0"/>
        <v>High</v>
      </c>
      <c r="L25" t="s">
        <v>195</v>
      </c>
    </row>
    <row r="26" spans="1:12" x14ac:dyDescent="0.3">
      <c r="B26" t="str">
        <f>B12</f>
        <v>High</v>
      </c>
      <c r="C26" s="35">
        <f t="shared" si="0"/>
        <v>0.01</v>
      </c>
      <c r="D26" s="35">
        <f t="shared" si="0"/>
        <v>0.05</v>
      </c>
      <c r="E26" s="35">
        <f t="shared" si="0"/>
        <v>0.24</v>
      </c>
      <c r="F26" s="35">
        <f t="shared" si="0"/>
        <v>0.7</v>
      </c>
      <c r="G26" s="60">
        <f>SUM(C26:F26)</f>
        <v>1</v>
      </c>
      <c r="L26" t="s">
        <v>194</v>
      </c>
    </row>
    <row r="27" spans="1:12" x14ac:dyDescent="0.3">
      <c r="B27" t="str">
        <f>B13</f>
        <v>Medium</v>
      </c>
      <c r="C27" s="35">
        <f>C13</f>
        <v>0.02</v>
      </c>
      <c r="D27" s="35">
        <f>D13+F13/4/2</f>
        <v>0.29250000000000004</v>
      </c>
      <c r="E27" s="35">
        <f>E13+F13/4/2</f>
        <v>0.61249999999999993</v>
      </c>
      <c r="F27" s="35">
        <f>F13*3/4</f>
        <v>7.5000000000000011E-2</v>
      </c>
      <c r="G27" s="60">
        <f>SUM(C27:F27)</f>
        <v>1</v>
      </c>
      <c r="L27" t="s">
        <v>193</v>
      </c>
    </row>
    <row r="28" spans="1:12" x14ac:dyDescent="0.3">
      <c r="B28" t="str">
        <f>B14</f>
        <v>Low</v>
      </c>
      <c r="C28" s="35">
        <f>C14+SUM(E14:F14)/4/2</f>
        <v>6.25E-2</v>
      </c>
      <c r="D28" s="35">
        <f>D14+SUM(E14:F14)/4/2</f>
        <v>0.86249999999999993</v>
      </c>
      <c r="E28" s="35">
        <f>E14*3/4</f>
        <v>0.06</v>
      </c>
      <c r="F28" s="35">
        <f>F14*3/4</f>
        <v>1.4999999999999999E-2</v>
      </c>
      <c r="G28" s="60">
        <f>SUM(C28:F28)</f>
        <v>0.99999999999999989</v>
      </c>
      <c r="L28" t="s">
        <v>192</v>
      </c>
    </row>
    <row r="29" spans="1:12" x14ac:dyDescent="0.3">
      <c r="B29" t="str">
        <f>B15</f>
        <v>Formerly Diseased</v>
      </c>
      <c r="C29" s="35">
        <f>C15+D15/4</f>
        <v>0.96249999999999991</v>
      </c>
      <c r="D29" s="35">
        <f>D15*3/4</f>
        <v>3.7500000000000006E-2</v>
      </c>
      <c r="E29" s="35">
        <f>E15</f>
        <v>0</v>
      </c>
      <c r="F29" s="35">
        <f>F15</f>
        <v>0</v>
      </c>
      <c r="G29" s="60">
        <f>SUM(C29:F29)</f>
        <v>0.99999999999999989</v>
      </c>
      <c r="L29" t="s">
        <v>191</v>
      </c>
    </row>
    <row r="31" spans="1:12" x14ac:dyDescent="0.3">
      <c r="E31" s="14" t="s">
        <v>181</v>
      </c>
      <c r="F31" s="61"/>
      <c r="G31" s="61"/>
      <c r="H31" s="13"/>
    </row>
    <row r="32" spans="1:12" ht="28.8" x14ac:dyDescent="0.3">
      <c r="C32" s="51" t="s">
        <v>169</v>
      </c>
      <c r="D32" s="51" t="s">
        <v>190</v>
      </c>
      <c r="E32" s="51" t="str">
        <f t="shared" ref="E32:H36" si="1">C11</f>
        <v>Formerly Diseased</v>
      </c>
      <c r="F32" s="51" t="str">
        <f t="shared" si="1"/>
        <v>Low</v>
      </c>
      <c r="G32" s="51" t="str">
        <f t="shared" si="1"/>
        <v>Medium</v>
      </c>
      <c r="H32" s="51" t="str">
        <f t="shared" si="1"/>
        <v>High</v>
      </c>
      <c r="I32" s="47" t="s">
        <v>26</v>
      </c>
      <c r="J32" s="47" t="s">
        <v>25</v>
      </c>
    </row>
    <row r="33" spans="2:12" x14ac:dyDescent="0.3">
      <c r="B33" t="s">
        <v>21</v>
      </c>
      <c r="C33" s="25">
        <f>N12</f>
        <v>0.05</v>
      </c>
      <c r="D33" s="30">
        <f>K12</f>
        <v>2205</v>
      </c>
      <c r="E33" s="35">
        <f t="shared" si="1"/>
        <v>0.01</v>
      </c>
      <c r="F33" s="35">
        <f t="shared" si="1"/>
        <v>0.05</v>
      </c>
      <c r="G33" s="35">
        <f t="shared" si="1"/>
        <v>0.24</v>
      </c>
      <c r="H33" s="35">
        <f t="shared" si="1"/>
        <v>0.7</v>
      </c>
      <c r="I33" s="35">
        <f>SUMPRODUCT($C$33:$C$36,$H$33:$H$36)</f>
        <v>6.2E-2</v>
      </c>
      <c r="J33" s="35">
        <f>SUMPRODUCT($I$33:$I$36,$H$33:$H$36)</f>
        <v>6.9689999999999988E-2</v>
      </c>
      <c r="L33" t="s">
        <v>189</v>
      </c>
    </row>
    <row r="34" spans="2:12" x14ac:dyDescent="0.3">
      <c r="B34" t="s">
        <v>168</v>
      </c>
      <c r="C34" s="25">
        <f>N13</f>
        <v>0.15</v>
      </c>
      <c r="D34" s="30">
        <f>K13</f>
        <v>600</v>
      </c>
      <c r="E34" s="35">
        <f t="shared" si="1"/>
        <v>0.02</v>
      </c>
      <c r="F34" s="35">
        <f t="shared" si="1"/>
        <v>0.28000000000000003</v>
      </c>
      <c r="G34" s="35">
        <f t="shared" si="1"/>
        <v>0.6</v>
      </c>
      <c r="H34" s="35">
        <f t="shared" si="1"/>
        <v>0.1</v>
      </c>
      <c r="I34" s="35">
        <f>SUMPRODUCT($C$33:$C$36,$G$33:$G$36)</f>
        <v>0.15</v>
      </c>
      <c r="J34" s="35">
        <f>SUMPRODUCT($I$33:$I$36,$G$33:$G$36)</f>
        <v>0.15004000000000001</v>
      </c>
      <c r="L34" t="s">
        <v>188</v>
      </c>
    </row>
    <row r="35" spans="2:12" x14ac:dyDescent="0.3">
      <c r="B35" t="s">
        <v>20</v>
      </c>
      <c r="C35" s="25">
        <f>N14</f>
        <v>0.6</v>
      </c>
      <c r="D35" s="30">
        <f>K14</f>
        <v>300</v>
      </c>
      <c r="E35" s="35">
        <f t="shared" si="1"/>
        <v>0.05</v>
      </c>
      <c r="F35" s="35">
        <f t="shared" si="1"/>
        <v>0.85</v>
      </c>
      <c r="G35" s="35">
        <f t="shared" si="1"/>
        <v>0.08</v>
      </c>
      <c r="H35" s="35">
        <f t="shared" si="1"/>
        <v>0.02</v>
      </c>
      <c r="I35" s="35">
        <f>SUMPRODUCT($C$33:$C$36,$F$33:$F$36)</f>
        <v>0.5645</v>
      </c>
      <c r="J35" s="35">
        <f>SUMPRODUCT($I$33:$I$36,$F$33:$F$36)</f>
        <v>0.53610000000000002</v>
      </c>
    </row>
    <row r="36" spans="2:12" x14ac:dyDescent="0.3">
      <c r="B36" t="s">
        <v>167</v>
      </c>
      <c r="C36" s="25">
        <f>N15</f>
        <v>0.2</v>
      </c>
      <c r="D36" s="30">
        <f>K15</f>
        <v>150</v>
      </c>
      <c r="E36" s="35">
        <f t="shared" si="1"/>
        <v>0.95</v>
      </c>
      <c r="F36" s="35">
        <f t="shared" si="1"/>
        <v>0.05</v>
      </c>
      <c r="G36" s="35">
        <f t="shared" si="1"/>
        <v>0</v>
      </c>
      <c r="H36" s="35">
        <f t="shared" si="1"/>
        <v>0</v>
      </c>
      <c r="I36" s="35">
        <f>SUMPRODUCT($C$33:$C$36,$E$33:$E$36)</f>
        <v>0.2235</v>
      </c>
      <c r="J36" s="35">
        <f>SUMPRODUCT($I$33:$I$36,$E$33:$E$36)</f>
        <v>0.24417</v>
      </c>
    </row>
    <row r="37" spans="2:12" x14ac:dyDescent="0.3">
      <c r="C37" s="1"/>
      <c r="D37" s="2"/>
      <c r="E37" s="60"/>
      <c r="F37" s="60"/>
      <c r="G37" s="60"/>
      <c r="H37" s="60"/>
      <c r="I37" s="35"/>
      <c r="J37" s="35"/>
      <c r="L37" t="s">
        <v>187</v>
      </c>
    </row>
    <row r="38" spans="2:12" x14ac:dyDescent="0.3">
      <c r="C38" s="1"/>
      <c r="D38" s="2"/>
      <c r="E38" s="60"/>
      <c r="F38" s="60"/>
      <c r="G38" s="60"/>
      <c r="H38" t="s">
        <v>176</v>
      </c>
      <c r="I38" s="31">
        <f>SUMPRODUCT(I33:I36,$D$33:$D$36)</f>
        <v>429.58499999999998</v>
      </c>
      <c r="J38" s="31">
        <f>SUMPRODUCT(J33:J36,$D$33:$D$36)</f>
        <v>441.14594999999997</v>
      </c>
      <c r="L38" t="s">
        <v>186</v>
      </c>
    </row>
    <row r="39" spans="2:12" x14ac:dyDescent="0.3">
      <c r="C39" s="1"/>
      <c r="D39" s="2"/>
      <c r="E39" s="2"/>
      <c r="F39" s="2"/>
      <c r="G39" s="2"/>
      <c r="H39" s="2"/>
    </row>
    <row r="40" spans="2:12" x14ac:dyDescent="0.3">
      <c r="E40" s="14" t="s">
        <v>178</v>
      </c>
      <c r="F40" s="61"/>
      <c r="G40" s="61"/>
      <c r="H40" s="13"/>
    </row>
    <row r="41" spans="2:12" ht="28.8" x14ac:dyDescent="0.3">
      <c r="C41" s="51" t="str">
        <f t="shared" ref="C41:D45" si="2">C32</f>
        <v>Prevalence</v>
      </c>
      <c r="D41" s="51" t="str">
        <f t="shared" si="2"/>
        <v>20X3 PMPM Cost</v>
      </c>
      <c r="E41" s="51" t="str">
        <f t="shared" ref="E41:H45" si="3">C25</f>
        <v>Formerly Diseased</v>
      </c>
      <c r="F41" s="51" t="str">
        <f t="shared" si="3"/>
        <v>Low</v>
      </c>
      <c r="G41" s="51" t="str">
        <f t="shared" si="3"/>
        <v>Medium</v>
      </c>
      <c r="H41" s="51" t="str">
        <f t="shared" si="3"/>
        <v>High</v>
      </c>
      <c r="I41" s="47" t="s">
        <v>26</v>
      </c>
      <c r="J41" s="47" t="s">
        <v>25</v>
      </c>
      <c r="L41" t="s">
        <v>185</v>
      </c>
    </row>
    <row r="42" spans="2:12" x14ac:dyDescent="0.3">
      <c r="B42" s="1" t="str">
        <f>B33</f>
        <v>High</v>
      </c>
      <c r="C42" s="25">
        <f t="shared" si="2"/>
        <v>0.05</v>
      </c>
      <c r="D42" s="30">
        <f t="shared" si="2"/>
        <v>2205</v>
      </c>
      <c r="E42" s="35">
        <f t="shared" si="3"/>
        <v>0.01</v>
      </c>
      <c r="F42" s="35">
        <f t="shared" si="3"/>
        <v>0.05</v>
      </c>
      <c r="G42" s="35">
        <f t="shared" si="3"/>
        <v>0.24</v>
      </c>
      <c r="H42" s="35">
        <f t="shared" si="3"/>
        <v>0.7</v>
      </c>
      <c r="I42" s="35">
        <f>SUMPRODUCT($C$42:$C$45,$H$42:$H$45)</f>
        <v>5.525E-2</v>
      </c>
      <c r="J42" s="35">
        <f>SUMPRODUCT($I$42:$I$45,$H$42:$H$45)</f>
        <v>5.7736250000000003E-2</v>
      </c>
    </row>
    <row r="43" spans="2:12" x14ac:dyDescent="0.3">
      <c r="B43" s="1" t="str">
        <f>B34</f>
        <v>Medium</v>
      </c>
      <c r="C43" s="25">
        <f t="shared" si="2"/>
        <v>0.15</v>
      </c>
      <c r="D43" s="30">
        <f t="shared" si="2"/>
        <v>600</v>
      </c>
      <c r="E43" s="35">
        <f t="shared" si="3"/>
        <v>0.02</v>
      </c>
      <c r="F43" s="35">
        <f t="shared" si="3"/>
        <v>0.29250000000000004</v>
      </c>
      <c r="G43" s="35">
        <f t="shared" si="3"/>
        <v>0.61249999999999993</v>
      </c>
      <c r="H43" s="35">
        <f t="shared" si="3"/>
        <v>7.5000000000000011E-2</v>
      </c>
      <c r="I43" s="35">
        <f>SUMPRODUCT($C$42:$C$45,$G$42:$G$45)</f>
        <v>0.13987499999999997</v>
      </c>
      <c r="J43" s="35">
        <f>SUMPRODUCT($I$42:$I$45,$G$42:$G$45)</f>
        <v>0.13321593749999996</v>
      </c>
    </row>
    <row r="44" spans="2:12" x14ac:dyDescent="0.3">
      <c r="B44" s="1" t="str">
        <f>B35</f>
        <v>Low</v>
      </c>
      <c r="C44" s="25">
        <f t="shared" si="2"/>
        <v>0.6</v>
      </c>
      <c r="D44" s="30">
        <f t="shared" si="2"/>
        <v>300</v>
      </c>
      <c r="E44" s="35">
        <f t="shared" si="3"/>
        <v>6.25E-2</v>
      </c>
      <c r="F44" s="35">
        <f t="shared" si="3"/>
        <v>0.86249999999999993</v>
      </c>
      <c r="G44" s="35">
        <f t="shared" si="3"/>
        <v>0.06</v>
      </c>
      <c r="H44" s="35">
        <f t="shared" si="3"/>
        <v>1.4999999999999999E-2</v>
      </c>
      <c r="I44" s="35">
        <f>SUMPRODUCT($C$42:$C$45,$F$42:$F$45)</f>
        <v>0.57137499999999997</v>
      </c>
      <c r="J44" s="35">
        <f>SUMPRODUCT($I$42:$I$45,$F$42:$F$45)</f>
        <v>0.54524312499999994</v>
      </c>
    </row>
    <row r="45" spans="2:12" x14ac:dyDescent="0.3">
      <c r="B45" s="1" t="str">
        <f>B36</f>
        <v>Formerly Diseased</v>
      </c>
      <c r="C45" s="25">
        <f t="shared" si="2"/>
        <v>0.2</v>
      </c>
      <c r="D45" s="30">
        <f t="shared" si="2"/>
        <v>150</v>
      </c>
      <c r="E45" s="35">
        <f t="shared" si="3"/>
        <v>0.96249999999999991</v>
      </c>
      <c r="F45" s="35">
        <f t="shared" si="3"/>
        <v>3.7500000000000006E-2</v>
      </c>
      <c r="G45" s="35">
        <f t="shared" si="3"/>
        <v>0</v>
      </c>
      <c r="H45" s="35">
        <f t="shared" si="3"/>
        <v>0</v>
      </c>
      <c r="I45" s="35">
        <f>SUMPRODUCT($C$42:$C$45,$E$42:$E$45)</f>
        <v>0.23350000000000001</v>
      </c>
      <c r="J45" s="35">
        <f>SUMPRODUCT($I$42:$I$45,$E$42:$E$45)</f>
        <v>0.26380468749999997</v>
      </c>
    </row>
    <row r="46" spans="2:12" x14ac:dyDescent="0.3">
      <c r="C46" s="12"/>
      <c r="D46" s="12"/>
      <c r="E46" s="12"/>
      <c r="F46" s="12"/>
      <c r="G46" s="12"/>
      <c r="H46" s="12"/>
      <c r="I46" s="12"/>
      <c r="J46" s="12"/>
    </row>
    <row r="47" spans="2:12" x14ac:dyDescent="0.3">
      <c r="C47" s="12"/>
      <c r="D47" s="12"/>
      <c r="E47" s="12"/>
      <c r="F47" s="12"/>
      <c r="G47" s="12"/>
      <c r="H47" s="12" t="s">
        <v>176</v>
      </c>
      <c r="I47" s="29">
        <f>SUMPRODUCT(I42:I45,$D$33:$D$36)</f>
        <v>412.18874999999991</v>
      </c>
      <c r="J47" s="29">
        <f>SUMPRODUCT(J42:J45,$D$33:$D$36)</f>
        <v>410.38163437499998</v>
      </c>
    </row>
    <row r="48" spans="2:12" ht="15" thickBot="1" x14ac:dyDescent="0.35">
      <c r="C48" s="12"/>
      <c r="D48" s="12"/>
      <c r="E48" s="12"/>
      <c r="F48" s="12"/>
      <c r="G48" s="12"/>
      <c r="H48" s="12"/>
      <c r="I48" s="29"/>
      <c r="J48" s="29"/>
    </row>
    <row r="49" spans="1:12" ht="15" thickBot="1" x14ac:dyDescent="0.35">
      <c r="C49" s="12"/>
      <c r="D49" s="12"/>
      <c r="E49" s="12"/>
      <c r="F49" s="12"/>
      <c r="G49" s="12"/>
      <c r="H49" s="12" t="s">
        <v>175</v>
      </c>
      <c r="I49" s="58">
        <f>I38-I47</f>
        <v>17.396250000000066</v>
      </c>
      <c r="J49" s="59">
        <f>J38-J47</f>
        <v>30.764315624999995</v>
      </c>
      <c r="L49" t="s">
        <v>184</v>
      </c>
    </row>
    <row r="51" spans="1:12" x14ac:dyDescent="0.3">
      <c r="B51" t="s">
        <v>163</v>
      </c>
    </row>
    <row r="53" spans="1:12" x14ac:dyDescent="0.3">
      <c r="A53" t="s">
        <v>1</v>
      </c>
      <c r="B53" t="s">
        <v>162</v>
      </c>
    </row>
    <row r="55" spans="1:12" x14ac:dyDescent="0.3">
      <c r="C55" t="s">
        <v>183</v>
      </c>
      <c r="H55" s="15" t="s">
        <v>11</v>
      </c>
    </row>
    <row r="56" spans="1:12" x14ac:dyDescent="0.3">
      <c r="C56" s="12" t="s">
        <v>14</v>
      </c>
      <c r="H56" t="s">
        <v>182</v>
      </c>
    </row>
    <row r="57" spans="1:12" x14ac:dyDescent="0.3">
      <c r="C57" s="12" t="s">
        <v>18</v>
      </c>
    </row>
    <row r="58" spans="1:12" x14ac:dyDescent="0.3">
      <c r="B58" t="str">
        <f>H12</f>
        <v>High</v>
      </c>
      <c r="C58" s="21">
        <f>SQRT(K12/I12)-1</f>
        <v>5.0000000000000044E-2</v>
      </c>
    </row>
    <row r="59" spans="1:12" x14ac:dyDescent="0.3">
      <c r="B59" t="str">
        <f>H13</f>
        <v>Medium</v>
      </c>
      <c r="C59" s="21">
        <f>SQRT(K13/I13)-1</f>
        <v>3.5098339013531321E-2</v>
      </c>
    </row>
    <row r="60" spans="1:12" x14ac:dyDescent="0.3">
      <c r="B60" t="str">
        <f>H14</f>
        <v>Low</v>
      </c>
      <c r="C60" s="21">
        <f>SQRT(K14/I14)-1</f>
        <v>3.5098339013531321E-2</v>
      </c>
    </row>
    <row r="61" spans="1:12" x14ac:dyDescent="0.3">
      <c r="B61" t="str">
        <f>H15</f>
        <v>Formerly Diseased</v>
      </c>
      <c r="C61" s="21">
        <f>SQRT(K15/I15)-1</f>
        <v>3.5098339013531321E-2</v>
      </c>
    </row>
    <row r="63" spans="1:12" x14ac:dyDescent="0.3">
      <c r="C63" s="14" t="s">
        <v>181</v>
      </c>
      <c r="D63" s="61"/>
      <c r="E63" s="61"/>
      <c r="F63" s="13"/>
    </row>
    <row r="64" spans="1:12" x14ac:dyDescent="0.3">
      <c r="C64" s="12" t="s">
        <v>26</v>
      </c>
      <c r="E64" s="12" t="s">
        <v>25</v>
      </c>
    </row>
    <row r="65" spans="2:8" x14ac:dyDescent="0.3">
      <c r="C65" s="12" t="s">
        <v>169</v>
      </c>
      <c r="D65" s="12" t="s">
        <v>102</v>
      </c>
      <c r="E65" s="12" t="s">
        <v>169</v>
      </c>
      <c r="F65" s="12" t="s">
        <v>102</v>
      </c>
      <c r="H65" t="s">
        <v>180</v>
      </c>
    </row>
    <row r="66" spans="2:8" x14ac:dyDescent="0.3">
      <c r="B66" t="s">
        <v>21</v>
      </c>
      <c r="C66" s="35">
        <f>I33</f>
        <v>6.2E-2</v>
      </c>
      <c r="D66" s="29">
        <f>K12*(1+C58)</f>
        <v>2315.25</v>
      </c>
      <c r="E66" s="35">
        <f>J33</f>
        <v>6.9689999999999988E-2</v>
      </c>
      <c r="F66" s="29">
        <f>D66*(1+C58)</f>
        <v>2431.0125000000003</v>
      </c>
    </row>
    <row r="67" spans="2:8" x14ac:dyDescent="0.3">
      <c r="B67" t="s">
        <v>168</v>
      </c>
      <c r="C67" s="35">
        <f>I34</f>
        <v>0.15</v>
      </c>
      <c r="D67" s="29">
        <f>K13*(1+C59)</f>
        <v>621.05900340811877</v>
      </c>
      <c r="E67" s="35">
        <f>J34</f>
        <v>0.15004000000000001</v>
      </c>
      <c r="F67" s="29">
        <f>D67*(1+C59)</f>
        <v>642.85714285714278</v>
      </c>
    </row>
    <row r="68" spans="2:8" x14ac:dyDescent="0.3">
      <c r="B68" t="s">
        <v>20</v>
      </c>
      <c r="C68" s="35">
        <f>I35</f>
        <v>0.5645</v>
      </c>
      <c r="D68" s="29">
        <f>K14*(1+C60)</f>
        <v>310.52950170405938</v>
      </c>
      <c r="E68" s="35">
        <f>J35</f>
        <v>0.53610000000000002</v>
      </c>
      <c r="F68" s="29">
        <f>D68*(1+C60)</f>
        <v>321.42857142857139</v>
      </c>
    </row>
    <row r="69" spans="2:8" x14ac:dyDescent="0.3">
      <c r="B69" t="s">
        <v>167</v>
      </c>
      <c r="C69" s="35">
        <f>I36</f>
        <v>0.2235</v>
      </c>
      <c r="D69" s="29">
        <f>K15*(1+C61)</f>
        <v>155.26475085202969</v>
      </c>
      <c r="E69" s="35">
        <f>J36</f>
        <v>0.24417</v>
      </c>
      <c r="F69" s="29">
        <f>D69*(1+C61)</f>
        <v>160.71428571428569</v>
      </c>
    </row>
    <row r="70" spans="2:8" x14ac:dyDescent="0.3">
      <c r="C70" s="12"/>
      <c r="D70" s="29"/>
      <c r="E70" s="12"/>
      <c r="F70" s="29"/>
      <c r="H70" t="s">
        <v>179</v>
      </c>
    </row>
    <row r="71" spans="2:8" x14ac:dyDescent="0.3">
      <c r="B71" t="s">
        <v>176</v>
      </c>
      <c r="C71" s="12"/>
      <c r="D71" s="29">
        <f>SUMPRODUCT(D66:D69,C66:C69)</f>
        <v>446.69992603858793</v>
      </c>
      <c r="E71" s="12"/>
      <c r="F71" s="29">
        <f>SUMPRODUCT(F66:F69,E66:E69)</f>
        <v>477.43101112499994</v>
      </c>
    </row>
    <row r="73" spans="2:8" x14ac:dyDescent="0.3">
      <c r="C73" s="14" t="s">
        <v>178</v>
      </c>
      <c r="D73" s="61"/>
      <c r="E73" s="61"/>
      <c r="F73" s="13"/>
    </row>
    <row r="74" spans="2:8" x14ac:dyDescent="0.3">
      <c r="C74" s="12" t="s">
        <v>26</v>
      </c>
      <c r="D74" s="12"/>
      <c r="E74" s="12" t="s">
        <v>25</v>
      </c>
    </row>
    <row r="75" spans="2:8" x14ac:dyDescent="0.3">
      <c r="C75" s="12" t="s">
        <v>169</v>
      </c>
      <c r="D75" s="12" t="s">
        <v>102</v>
      </c>
      <c r="E75" s="12" t="s">
        <v>169</v>
      </c>
      <c r="F75" s="12" t="s">
        <v>102</v>
      </c>
      <c r="H75" t="s">
        <v>177</v>
      </c>
    </row>
    <row r="76" spans="2:8" x14ac:dyDescent="0.3">
      <c r="B76" t="str">
        <f>B66</f>
        <v>High</v>
      </c>
      <c r="C76" s="35">
        <f>I42</f>
        <v>5.525E-2</v>
      </c>
      <c r="D76" s="29">
        <f>D66</f>
        <v>2315.25</v>
      </c>
      <c r="E76" s="35">
        <f>J42</f>
        <v>5.7736250000000003E-2</v>
      </c>
      <c r="F76" s="29">
        <f>F66</f>
        <v>2431.0125000000003</v>
      </c>
    </row>
    <row r="77" spans="2:8" x14ac:dyDescent="0.3">
      <c r="B77" t="str">
        <f>B67</f>
        <v>Medium</v>
      </c>
      <c r="C77" s="35">
        <f>I43</f>
        <v>0.13987499999999997</v>
      </c>
      <c r="D77" s="29">
        <f>D67</f>
        <v>621.05900340811877</v>
      </c>
      <c r="E77" s="35">
        <f>J43</f>
        <v>0.13321593749999996</v>
      </c>
      <c r="F77" s="29">
        <f>F67</f>
        <v>642.85714285714278</v>
      </c>
    </row>
    <row r="78" spans="2:8" x14ac:dyDescent="0.3">
      <c r="B78" t="str">
        <f>B68</f>
        <v>Low</v>
      </c>
      <c r="C78" s="35">
        <f>I44</f>
        <v>0.57137499999999997</v>
      </c>
      <c r="D78" s="29">
        <f>D68</f>
        <v>310.52950170405938</v>
      </c>
      <c r="E78" s="35">
        <f>J44</f>
        <v>0.54524312499999994</v>
      </c>
      <c r="F78" s="29">
        <f>F68</f>
        <v>321.42857142857139</v>
      </c>
    </row>
    <row r="79" spans="2:8" x14ac:dyDescent="0.3">
      <c r="B79" t="str">
        <f>B69</f>
        <v>Formerly Diseased</v>
      </c>
      <c r="C79" s="35">
        <f>I45</f>
        <v>0.23350000000000001</v>
      </c>
      <c r="D79" s="29">
        <f>D69</f>
        <v>155.26475085202969</v>
      </c>
      <c r="E79" s="35">
        <f>J45</f>
        <v>0.26380468749999997</v>
      </c>
      <c r="F79" s="29">
        <f>F69</f>
        <v>160.71428571428569</v>
      </c>
    </row>
    <row r="80" spans="2:8" x14ac:dyDescent="0.3">
      <c r="C80" s="12"/>
      <c r="D80" s="29"/>
      <c r="E80" s="12"/>
      <c r="F80" s="29"/>
    </row>
    <row r="81" spans="2:8" x14ac:dyDescent="0.3">
      <c r="B81" t="s">
        <v>176</v>
      </c>
      <c r="C81" s="12"/>
      <c r="D81" s="29">
        <f>SUMPRODUCT(D76:D79,C76:C79)</f>
        <v>428.47130396181649</v>
      </c>
      <c r="E81" s="12"/>
      <c r="F81" s="29">
        <f>SUMPRODUCT(F76:F79,E76:E79)</f>
        <v>443.65026308705347</v>
      </c>
    </row>
    <row r="82" spans="2:8" ht="15" thickBot="1" x14ac:dyDescent="0.35">
      <c r="C82" s="12"/>
      <c r="D82" s="29"/>
      <c r="E82" s="12"/>
      <c r="F82" s="29"/>
    </row>
    <row r="83" spans="2:8" ht="15" thickBot="1" x14ac:dyDescent="0.35">
      <c r="B83" t="s">
        <v>175</v>
      </c>
      <c r="C83" s="12"/>
      <c r="D83" s="36">
        <f>D71-D81</f>
        <v>18.228622076771444</v>
      </c>
      <c r="E83" s="12"/>
      <c r="F83" s="36">
        <f>F71-F81</f>
        <v>33.780748037946466</v>
      </c>
      <c r="H83" t="s">
        <v>174</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BBAB77-042C-4ABB-9645-725652C7DB50}"/>
</file>

<file path=customXml/itemProps2.xml><?xml version="1.0" encoding="utf-8"?>
<ds:datastoreItem xmlns:ds="http://schemas.openxmlformats.org/officeDocument/2006/customXml" ds:itemID="{41F6D838-F3D1-4549-A395-E9A2802B4BF5}"/>
</file>

<file path=customXml/itemProps3.xml><?xml version="1.0" encoding="utf-8"?>
<ds:datastoreItem xmlns:ds="http://schemas.openxmlformats.org/officeDocument/2006/customXml" ds:itemID="{DF32EA5A-9247-412D-9AD8-24B0F3B815F5}"/>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Cover </vt:lpstr>
      <vt:lpstr>Q1 LO 1a Skwire Ch 45</vt:lpstr>
      <vt:lpstr>A1</vt:lpstr>
      <vt:lpstr>Q2 LO 1a Skwire Ch 45</vt:lpstr>
      <vt:lpstr>A2</vt:lpstr>
      <vt:lpstr>Q3 LO 2d Duncan Ch 13</vt:lpstr>
      <vt:lpstr>A3</vt:lpstr>
      <vt:lpstr>Q4 LO 2d Duncan Ch 13</vt:lpstr>
      <vt:lpstr>A4</vt:lpstr>
      <vt:lpstr>Q5 LO 2d Duncan Ch 13</vt:lpstr>
      <vt:lpstr>A5</vt:lpstr>
      <vt:lpstr>Q6 LO 2b Duncan Ch 16</vt:lpstr>
      <vt:lpstr>A6</vt:lpstr>
      <vt:lpstr>Q9 LO 1b 1c 1d Prov Pmt</vt:lpstr>
      <vt:lpstr>A9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2025-06-26T14:48:14Z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1ecdf243-b9b0-4f63-8694-76742e4201b7_Enabled">
    <vt:lpwstr>true</vt:lpwstr>
  </property>
  <property fmtid="{D5CDD505-2E9C-101B-9397-08002B2CF9AE}" pid="5" name="MSIP_Label_1ecdf243-b9b0-4f63-8694-76742e4201b7_SetDate">
    <vt:lpwstr>2025-05-26T16:57:14Z</vt:lpwstr>
  </property>
  <property fmtid="{D5CDD505-2E9C-101B-9397-08002B2CF9AE}" pid="6" name="MSIP_Label_1ecdf243-b9b0-4f63-8694-76742e4201b7_Method">
    <vt:lpwstr>Standard</vt:lpwstr>
  </property>
  <property fmtid="{D5CDD505-2E9C-101B-9397-08002B2CF9AE}" pid="7" name="MSIP_Label_1ecdf243-b9b0-4f63-8694-76742e4201b7_Name">
    <vt:lpwstr>Proprietary general</vt:lpwstr>
  </property>
  <property fmtid="{D5CDD505-2E9C-101B-9397-08002B2CF9AE}" pid="8" name="MSIP_Label_1ecdf243-b9b0-4f63-8694-76742e4201b7_SiteId">
    <vt:lpwstr>fabb61b8-3afe-4e75-b934-a47f782b8cd7</vt:lpwstr>
  </property>
  <property fmtid="{D5CDD505-2E9C-101B-9397-08002B2CF9AE}" pid="9" name="MSIP_Label_1ecdf243-b9b0-4f63-8694-76742e4201b7_ActionId">
    <vt:lpwstr>1e883aa8-f8b7-4a23-ab2c-d28b6cf71415</vt:lpwstr>
  </property>
  <property fmtid="{D5CDD505-2E9C-101B-9397-08002B2CF9AE}" pid="10" name="MSIP_Label_1ecdf243-b9b0-4f63-8694-76742e4201b7_ContentBits">
    <vt:lpwstr>0</vt:lpwstr>
  </property>
  <property fmtid="{D5CDD505-2E9C-101B-9397-08002B2CF9AE}" pid="11" name="MSIP_Label_e2b6c078-73cb-4371-8a5b-e9fc18accbf8_Enabled">
    <vt:lpwstr>true</vt:lpwstr>
  </property>
  <property fmtid="{D5CDD505-2E9C-101B-9397-08002B2CF9AE}" pid="12" name="MSIP_Label_e2b6c078-73cb-4371-8a5b-e9fc18accbf8_SetDate">
    <vt:lpwstr>2025-06-13T20:02:41Z</vt:lpwstr>
  </property>
  <property fmtid="{D5CDD505-2E9C-101B-9397-08002B2CF9AE}" pid="13" name="MSIP_Label_e2b6c078-73cb-4371-8a5b-e9fc18accbf8_Method">
    <vt:lpwstr>Standard</vt:lpwstr>
  </property>
  <property fmtid="{D5CDD505-2E9C-101B-9397-08002B2CF9AE}" pid="14" name="MSIP_Label_e2b6c078-73cb-4371-8a5b-e9fc18accbf8_Name">
    <vt:lpwstr>INTERNAL</vt:lpwstr>
  </property>
  <property fmtid="{D5CDD505-2E9C-101B-9397-08002B2CF9AE}" pid="15" name="MSIP_Label_e2b6c078-73cb-4371-8a5b-e9fc18accbf8_SiteId">
    <vt:lpwstr>56c62bbe-8598-4b85-9e51-1ca753fa50f2</vt:lpwstr>
  </property>
  <property fmtid="{D5CDD505-2E9C-101B-9397-08002B2CF9AE}" pid="16" name="MSIP_Label_e2b6c078-73cb-4371-8a5b-e9fc18accbf8_ActionId">
    <vt:lpwstr>b6924ccf-dcb5-46ce-ace2-7aa023fc84c5</vt:lpwstr>
  </property>
  <property fmtid="{D5CDD505-2E9C-101B-9397-08002B2CF9AE}" pid="17" name="MSIP_Label_e2b6c078-73cb-4371-8a5b-e9fc18accbf8_ContentBits">
    <vt:lpwstr>0</vt:lpwstr>
  </property>
  <property fmtid="{D5CDD505-2E9C-101B-9397-08002B2CF9AE}" pid="18" name="MSIP_Label_e2b6c078-73cb-4371-8a5b-e9fc18accbf8_Tag">
    <vt:lpwstr>10, 3, 0, 1</vt:lpwstr>
  </property>
  <property fmtid="{D5CDD505-2E9C-101B-9397-08002B2CF9AE}" pid="19" name="ContentTypeId">
    <vt:lpwstr>0x010100F6AE639BB4E74542A43DE6E767DBCE18</vt:lpwstr>
  </property>
</Properties>
</file>