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GUIDED EXAMPLES/Fully Assembled/"/>
    </mc:Choice>
  </mc:AlternateContent>
  <xr:revisionPtr revIDLastSave="113" documentId="13_ncr:1_{C814B21F-1FFA-4EAC-9441-23541A85E69B}" xr6:coauthVersionLast="47" xr6:coauthVersionMax="47" xr10:uidLastSave="{9E5713BA-463B-45E5-9A56-2547D84CBC36}"/>
  <bookViews>
    <workbookView xWindow="28680" yWindow="-120" windowWidth="38640" windowHeight="21120" xr2:uid="{00000000-000D-0000-FFFF-FFFF00000000}"/>
  </bookViews>
  <sheets>
    <sheet name="Cover " sheetId="48" r:id="rId1"/>
    <sheet name="Q1 LO 1a-1e 1g Skwire Ch 39" sheetId="28" r:id="rId2"/>
    <sheet name="A1" sheetId="29" r:id="rId3"/>
    <sheet name="Q2 LO 1a-1e 1g Skwire Ch 39" sheetId="30" r:id="rId4"/>
    <sheet name="A2" sheetId="31" r:id="rId5"/>
    <sheet name="Q3 LO 1a-1e 1g Skwire Ch 39" sheetId="32" r:id="rId6"/>
    <sheet name="A3" sheetId="33" r:id="rId7"/>
    <sheet name="Q4 LO 2a 2b 2c Skwire Ch 43" sheetId="34" r:id="rId8"/>
    <sheet name="A4" sheetId="35" r:id="rId9"/>
    <sheet name="Q5 LO 2b 2c 2d CIA SEC" sheetId="36" r:id="rId10"/>
    <sheet name="A5" sheetId="37" r:id="rId11"/>
    <sheet name="Q6 LO 3c Swales Ch 4" sheetId="38" r:id="rId12"/>
    <sheet name="A6 " sheetId="39" r:id="rId13"/>
    <sheet name="Q8 LO 1a-1f GH201-100-25" sheetId="47" r:id="rId14"/>
    <sheet name="A8" sheetId="42" r:id="rId15"/>
    <sheet name="Q9 LO 1a-1f GH201-100-25" sheetId="43" r:id="rId16"/>
    <sheet name="A9" sheetId="44" r:id="rId17"/>
    <sheet name="Q10 LO 1a-1f GH201-100-25" sheetId="45" r:id="rId18"/>
    <sheet name="A10" sheetId="46" r:id="rId19"/>
  </sheets>
  <externalReferences>
    <externalReference r:id="rId20"/>
  </externalReferences>
  <definedNames>
    <definedName name="Non_Fac">'[1]User Input'!$C$74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42" l="1"/>
  <c r="C71" i="44"/>
  <c r="E71" i="44" s="1"/>
  <c r="I71" i="44" s="1"/>
  <c r="D55" i="44"/>
  <c r="D56" i="44" s="1"/>
  <c r="D57" i="44" s="1"/>
  <c r="N51" i="44"/>
  <c r="C51" i="44"/>
  <c r="F36" i="44" s="1"/>
  <c r="E36" i="44" a="1"/>
  <c r="E36" i="44" s="1"/>
  <c r="E55" i="44" s="1"/>
  <c r="C36" i="44"/>
  <c r="C60" i="46"/>
  <c r="C59" i="46"/>
  <c r="D55" i="46"/>
  <c r="D57" i="46" s="1"/>
  <c r="C55" i="46"/>
  <c r="C57" i="46" s="1"/>
  <c r="C50" i="46"/>
  <c r="C49" i="46"/>
  <c r="C48" i="46"/>
  <c r="C52" i="46" s="1"/>
  <c r="T21" i="44"/>
  <c r="T22" i="44" s="1"/>
  <c r="B36" i="44"/>
  <c r="D36" i="44"/>
  <c r="B37" i="44"/>
  <c r="B56" i="44" s="1"/>
  <c r="C37" i="44"/>
  <c r="D37" i="44"/>
  <c r="E37" i="44" a="1"/>
  <c r="E37" i="44" s="1"/>
  <c r="B38" i="44"/>
  <c r="B57" i="44" s="1"/>
  <c r="C38" i="44"/>
  <c r="D38" i="44"/>
  <c r="E38" i="44" a="1"/>
  <c r="E38" i="44" s="1"/>
  <c r="B39" i="44"/>
  <c r="C39" i="44"/>
  <c r="D39" i="44"/>
  <c r="E39" i="44" a="1"/>
  <c r="E39" i="44" s="1"/>
  <c r="B40" i="44"/>
  <c r="C40" i="44"/>
  <c r="D40" i="44"/>
  <c r="E40" i="44" a="1"/>
  <c r="E40" i="44" s="1"/>
  <c r="B41" i="44"/>
  <c r="B60" i="44" s="1"/>
  <c r="C41" i="44"/>
  <c r="D41" i="44"/>
  <c r="E41" i="44" a="1"/>
  <c r="E41" i="44" s="1"/>
  <c r="B42" i="44"/>
  <c r="C42" i="44"/>
  <c r="D42" i="44"/>
  <c r="E42" i="44" a="1"/>
  <c r="E42" i="44" s="1"/>
  <c r="B43" i="44"/>
  <c r="B62" i="44" s="1"/>
  <c r="C43" i="44"/>
  <c r="D43" i="44"/>
  <c r="E43" i="44" a="1"/>
  <c r="E43" i="44" s="1"/>
  <c r="B44" i="44"/>
  <c r="B63" i="44" s="1"/>
  <c r="C44" i="44"/>
  <c r="D44" i="44"/>
  <c r="E44" i="44" a="1"/>
  <c r="E44" i="44" s="1"/>
  <c r="B45" i="44"/>
  <c r="C45" i="44"/>
  <c r="D45" i="44"/>
  <c r="E45" i="44" a="1"/>
  <c r="E45" i="44" s="1"/>
  <c r="B46" i="44"/>
  <c r="C46" i="44"/>
  <c r="D46" i="44"/>
  <c r="E46" i="44" a="1"/>
  <c r="E46" i="44" s="1"/>
  <c r="B47" i="44"/>
  <c r="C47" i="44"/>
  <c r="D47" i="44"/>
  <c r="E47" i="44" a="1"/>
  <c r="E47" i="44" s="1"/>
  <c r="C49" i="44"/>
  <c r="D49" i="44"/>
  <c r="E49" i="44"/>
  <c r="F49" i="44"/>
  <c r="G49" i="44"/>
  <c r="H49" i="44"/>
  <c r="I49" i="44"/>
  <c r="J49" i="44"/>
  <c r="K49" i="44"/>
  <c r="L49" i="44"/>
  <c r="M49" i="44"/>
  <c r="N49" i="44"/>
  <c r="D51" i="44"/>
  <c r="E51" i="44"/>
  <c r="F51" i="44"/>
  <c r="G51" i="44"/>
  <c r="H51" i="44"/>
  <c r="I51" i="44"/>
  <c r="J51" i="44"/>
  <c r="K51" i="44"/>
  <c r="L51" i="44"/>
  <c r="M51" i="44"/>
  <c r="B55" i="44"/>
  <c r="C55" i="44"/>
  <c r="C56" i="44" s="1"/>
  <c r="B58" i="44"/>
  <c r="B59" i="44"/>
  <c r="B61" i="44"/>
  <c r="B64" i="44"/>
  <c r="B65" i="44"/>
  <c r="B66" i="44"/>
  <c r="D70" i="44"/>
  <c r="F90" i="44" s="1"/>
  <c r="C105" i="44" s="1"/>
  <c r="E70" i="44"/>
  <c r="I70" i="44" s="1"/>
  <c r="K90" i="44" s="1"/>
  <c r="F70" i="44"/>
  <c r="G70" i="44"/>
  <c r="I90" i="44" s="1"/>
  <c r="F105" i="44" s="1"/>
  <c r="J70" i="44"/>
  <c r="L90" i="44" s="1"/>
  <c r="K70" i="44"/>
  <c r="M90" i="44" s="1"/>
  <c r="B71" i="44"/>
  <c r="B91" i="44" s="1"/>
  <c r="B106" i="44" s="1"/>
  <c r="B72" i="44"/>
  <c r="B92" i="44" s="1"/>
  <c r="B107" i="44" s="1"/>
  <c r="C72" i="44"/>
  <c r="B73" i="44"/>
  <c r="B93" i="44" s="1"/>
  <c r="B108" i="44" s="1"/>
  <c r="C73" i="44"/>
  <c r="B74" i="44"/>
  <c r="B94" i="44" s="1"/>
  <c r="B109" i="44" s="1"/>
  <c r="C74" i="44"/>
  <c r="C94" i="44" s="1"/>
  <c r="E94" i="44" s="1"/>
  <c r="B75" i="44"/>
  <c r="C75" i="44"/>
  <c r="B76" i="44"/>
  <c r="C76" i="44"/>
  <c r="B77" i="44"/>
  <c r="B97" i="44" s="1"/>
  <c r="B112" i="44" s="1"/>
  <c r="C77" i="44"/>
  <c r="B78" i="44"/>
  <c r="B98" i="44" s="1"/>
  <c r="B113" i="44" s="1"/>
  <c r="C78" i="44"/>
  <c r="B79" i="44"/>
  <c r="C79" i="44"/>
  <c r="B80" i="44"/>
  <c r="B100" i="44" s="1"/>
  <c r="B115" i="44" s="1"/>
  <c r="C80" i="44"/>
  <c r="C100" i="44" s="1"/>
  <c r="E100" i="44" s="1"/>
  <c r="B81" i="44"/>
  <c r="B101" i="44" s="1"/>
  <c r="B116" i="44" s="1"/>
  <c r="C81" i="44"/>
  <c r="B82" i="44"/>
  <c r="C82" i="44"/>
  <c r="C90" i="44"/>
  <c r="H90" i="44"/>
  <c r="E105" i="44" s="1"/>
  <c r="D91" i="44"/>
  <c r="D92" i="44"/>
  <c r="D93" i="44"/>
  <c r="D94" i="44"/>
  <c r="B95" i="44"/>
  <c r="C95" i="44"/>
  <c r="D95" i="44"/>
  <c r="B96" i="44"/>
  <c r="C96" i="44"/>
  <c r="D96" i="44"/>
  <c r="D97" i="44"/>
  <c r="D98" i="44"/>
  <c r="B99" i="44"/>
  <c r="B114" i="44" s="1"/>
  <c r="D99" i="44"/>
  <c r="D100" i="44"/>
  <c r="C101" i="44"/>
  <c r="B102" i="44"/>
  <c r="B117" i="44" s="1"/>
  <c r="C102" i="44"/>
  <c r="B110" i="44"/>
  <c r="B111" i="44"/>
  <c r="T21" i="43"/>
  <c r="T22" i="43" s="1"/>
  <c r="T23" i="43" s="1"/>
  <c r="C27" i="42"/>
  <c r="D27" i="42"/>
  <c r="E27" i="42"/>
  <c r="F27" i="42"/>
  <c r="C29" i="42"/>
  <c r="C32" i="42" s="1"/>
  <c r="D29" i="42"/>
  <c r="D32" i="42" s="1"/>
  <c r="E29" i="42"/>
  <c r="F29" i="42"/>
  <c r="C30" i="42"/>
  <c r="C31" i="42"/>
  <c r="E31" i="42"/>
  <c r="F31" i="42"/>
  <c r="E32" i="42"/>
  <c r="F32" i="42"/>
  <c r="C20" i="39"/>
  <c r="C22" i="39"/>
  <c r="C24" i="39"/>
  <c r="C26" i="39" l="1"/>
  <c r="C30" i="39" s="1"/>
  <c r="C32" i="39" s="1"/>
  <c r="C33" i="42"/>
  <c r="C34" i="42" s="1"/>
  <c r="E95" i="44"/>
  <c r="D71" i="44"/>
  <c r="E96" i="44"/>
  <c r="G90" i="44"/>
  <c r="D105" i="44" s="1"/>
  <c r="H70" i="44"/>
  <c r="J90" i="44" s="1"/>
  <c r="F44" i="44"/>
  <c r="C62" i="46"/>
  <c r="C64" i="46" s="1"/>
  <c r="F38" i="44"/>
  <c r="F43" i="44"/>
  <c r="F37" i="44"/>
  <c r="H71" i="44"/>
  <c r="C57" i="44"/>
  <c r="C58" i="44" s="1"/>
  <c r="C59" i="44" s="1"/>
  <c r="T23" i="44"/>
  <c r="D102" i="44" s="1"/>
  <c r="D101" i="44"/>
  <c r="F95" i="44"/>
  <c r="J95" i="44" s="1"/>
  <c r="C110" i="44" s="1"/>
  <c r="C60" i="44"/>
  <c r="C61" i="44" s="1"/>
  <c r="C62" i="44" s="1"/>
  <c r="C63" i="44" s="1"/>
  <c r="C64" i="44" s="1"/>
  <c r="C65" i="44" s="1"/>
  <c r="D75" i="44"/>
  <c r="H75" i="44" s="1"/>
  <c r="D28" i="42"/>
  <c r="E102" i="44"/>
  <c r="D76" i="44"/>
  <c r="H76" i="44" s="1"/>
  <c r="E101" i="44"/>
  <c r="F100" i="44"/>
  <c r="J100" i="44" s="1"/>
  <c r="C115" i="44" s="1"/>
  <c r="E73" i="44"/>
  <c r="I73" i="44" s="1"/>
  <c r="D58" i="44"/>
  <c r="D59" i="44" s="1"/>
  <c r="E56" i="44"/>
  <c r="E57" i="44" s="1"/>
  <c r="E58" i="44" s="1"/>
  <c r="E59" i="44" s="1"/>
  <c r="H95" i="44" s="1"/>
  <c r="L95" i="44" s="1"/>
  <c r="E110" i="44" s="1"/>
  <c r="C65" i="46"/>
  <c r="D73" i="44"/>
  <c r="H73" i="44" s="1"/>
  <c r="F46" i="44"/>
  <c r="F42" i="44"/>
  <c r="F40" i="44"/>
  <c r="F55" i="44"/>
  <c r="D80" i="44"/>
  <c r="H80" i="44" s="1"/>
  <c r="D74" i="44"/>
  <c r="H74" i="44" s="1"/>
  <c r="C99" i="44"/>
  <c r="E99" i="44" s="1"/>
  <c r="C98" i="44"/>
  <c r="E98" i="44" s="1"/>
  <c r="C97" i="44"/>
  <c r="E97" i="44" s="1"/>
  <c r="C93" i="44"/>
  <c r="E93" i="44" s="1"/>
  <c r="F93" i="44" s="1"/>
  <c r="C92" i="44"/>
  <c r="E92" i="44" s="1"/>
  <c r="F92" i="44" s="1"/>
  <c r="J92" i="44" s="1"/>
  <c r="C107" i="44" s="1"/>
  <c r="C91" i="44"/>
  <c r="E91" i="44" s="1"/>
  <c r="F91" i="44" s="1"/>
  <c r="F71" i="44"/>
  <c r="J71" i="44" s="1"/>
  <c r="F47" i="44"/>
  <c r="F45" i="44"/>
  <c r="F41" i="44"/>
  <c r="F39" i="44"/>
  <c r="E72" i="44"/>
  <c r="I72" i="44" s="1"/>
  <c r="C45" i="37"/>
  <c r="C76" i="37" s="1"/>
  <c r="D45" i="37"/>
  <c r="E45" i="37" s="1"/>
  <c r="C48" i="37"/>
  <c r="D48" i="37"/>
  <c r="E48" i="37"/>
  <c r="C52" i="37"/>
  <c r="D52" i="37"/>
  <c r="E52" i="37" s="1"/>
  <c r="C57" i="37"/>
  <c r="D57" i="37"/>
  <c r="E57" i="37"/>
  <c r="C61" i="37"/>
  <c r="D61" i="37"/>
  <c r="E61" i="37"/>
  <c r="C66" i="37"/>
  <c r="D66" i="37"/>
  <c r="E66" i="37"/>
  <c r="C71" i="37"/>
  <c r="D71" i="37"/>
  <c r="E71" i="37" s="1"/>
  <c r="C16" i="35"/>
  <c r="C59" i="35" s="1"/>
  <c r="C108" i="35" s="1"/>
  <c r="D16" i="35"/>
  <c r="D59" i="35" s="1"/>
  <c r="G20" i="35"/>
  <c r="H20" i="35"/>
  <c r="H26" i="35" s="1"/>
  <c r="C22" i="35"/>
  <c r="D22" i="35"/>
  <c r="G26" i="35"/>
  <c r="C67" i="35" s="1"/>
  <c r="C116" i="35" s="1"/>
  <c r="C28" i="35"/>
  <c r="D28" i="35"/>
  <c r="G33" i="35"/>
  <c r="H33" i="35"/>
  <c r="G38" i="35"/>
  <c r="H38" i="35"/>
  <c r="G43" i="35"/>
  <c r="C75" i="35" s="1"/>
  <c r="C124" i="35" s="1"/>
  <c r="H43" i="35"/>
  <c r="C63" i="35"/>
  <c r="C112" i="35" s="1"/>
  <c r="C80" i="35"/>
  <c r="D80" i="35"/>
  <c r="B128" i="35"/>
  <c r="B129" i="35"/>
  <c r="B130" i="35"/>
  <c r="B131" i="35"/>
  <c r="B132" i="35"/>
  <c r="C16" i="34"/>
  <c r="D16" i="34"/>
  <c r="G20" i="34"/>
  <c r="H20" i="34"/>
  <c r="H26" i="34" s="1"/>
  <c r="C22" i="34"/>
  <c r="D22" i="34"/>
  <c r="D24" i="34"/>
  <c r="D30" i="34" s="1"/>
  <c r="G26" i="34"/>
  <c r="C28" i="34"/>
  <c r="D28" i="34"/>
  <c r="G33" i="34"/>
  <c r="H33" i="34"/>
  <c r="G38" i="34"/>
  <c r="H38" i="34"/>
  <c r="G43" i="34"/>
  <c r="H43" i="34"/>
  <c r="G45" i="34"/>
  <c r="H45" i="34" l="1"/>
  <c r="C24" i="34"/>
  <c r="C30" i="34" s="1"/>
  <c r="D67" i="35"/>
  <c r="D63" i="35"/>
  <c r="H45" i="35"/>
  <c r="C62" i="35"/>
  <c r="C70" i="35"/>
  <c r="C64" i="35"/>
  <c r="C82" i="35" s="1"/>
  <c r="C111" i="35"/>
  <c r="G45" i="35"/>
  <c r="C24" i="35"/>
  <c r="C30" i="35" s="1"/>
  <c r="C32" i="35" s="1"/>
  <c r="C34" i="35" s="1"/>
  <c r="D71" i="35"/>
  <c r="C71" i="35"/>
  <c r="C120" i="35" s="1"/>
  <c r="D70" i="35"/>
  <c r="D76" i="37"/>
  <c r="E76" i="37"/>
  <c r="F56" i="44"/>
  <c r="F57" i="44" s="1"/>
  <c r="G73" i="44" s="1"/>
  <c r="K73" i="44" s="1"/>
  <c r="F94" i="44"/>
  <c r="D30" i="42"/>
  <c r="D33" i="42" s="1"/>
  <c r="D34" i="42" s="1"/>
  <c r="G71" i="44"/>
  <c r="K71" i="44" s="1"/>
  <c r="D77" i="44"/>
  <c r="H77" i="44" s="1"/>
  <c r="D79" i="44"/>
  <c r="H79" i="44" s="1"/>
  <c r="J94" i="44"/>
  <c r="C109" i="44" s="1"/>
  <c r="D72" i="44"/>
  <c r="H72" i="44" s="1"/>
  <c r="F99" i="44"/>
  <c r="J99" i="44" s="1"/>
  <c r="C114" i="44" s="1"/>
  <c r="F73" i="44"/>
  <c r="J73" i="44" s="1"/>
  <c r="F72" i="44"/>
  <c r="J72" i="44" s="1"/>
  <c r="F58" i="44"/>
  <c r="D60" i="44"/>
  <c r="E75" i="44"/>
  <c r="I75" i="44" s="1"/>
  <c r="I91" i="44"/>
  <c r="M91" i="44" s="1"/>
  <c r="F106" i="44" s="1"/>
  <c r="H91" i="44"/>
  <c r="L91" i="44" s="1"/>
  <c r="E106" i="44" s="1"/>
  <c r="J91" i="44"/>
  <c r="C106" i="44" s="1"/>
  <c r="G91" i="44"/>
  <c r="K91" i="44" s="1"/>
  <c r="D106" i="44" s="1"/>
  <c r="E74" i="44"/>
  <c r="I74" i="44" s="1"/>
  <c r="E60" i="44"/>
  <c r="F75" i="44"/>
  <c r="J75" i="44" s="1"/>
  <c r="I92" i="44"/>
  <c r="M92" i="44" s="1"/>
  <c r="F107" i="44" s="1"/>
  <c r="G92" i="44"/>
  <c r="K92" i="44" s="1"/>
  <c r="D107" i="44" s="1"/>
  <c r="H92" i="44"/>
  <c r="L92" i="44" s="1"/>
  <c r="E107" i="44" s="1"/>
  <c r="G94" i="44"/>
  <c r="K94" i="44" s="1"/>
  <c r="D109" i="44" s="1"/>
  <c r="F96" i="44"/>
  <c r="J96" i="44" s="1"/>
  <c r="C111" i="44" s="1"/>
  <c r="F101" i="44"/>
  <c r="J101" i="44" s="1"/>
  <c r="C116" i="44" s="1"/>
  <c r="I93" i="44"/>
  <c r="M93" i="44" s="1"/>
  <c r="F108" i="44" s="1"/>
  <c r="J93" i="44"/>
  <c r="C108" i="44" s="1"/>
  <c r="H93" i="44"/>
  <c r="L93" i="44" s="1"/>
  <c r="E108" i="44" s="1"/>
  <c r="G93" i="44"/>
  <c r="K93" i="44" s="1"/>
  <c r="D108" i="44" s="1"/>
  <c r="G72" i="44"/>
  <c r="K72" i="44" s="1"/>
  <c r="F97" i="44"/>
  <c r="J97" i="44" s="1"/>
  <c r="C112" i="44" s="1"/>
  <c r="F74" i="44"/>
  <c r="J74" i="44" s="1"/>
  <c r="H94" i="44"/>
  <c r="L94" i="44" s="1"/>
  <c r="E109" i="44" s="1"/>
  <c r="C66" i="44"/>
  <c r="D82" i="44" s="1"/>
  <c r="H82" i="44" s="1"/>
  <c r="D81" i="44"/>
  <c r="H81" i="44" s="1"/>
  <c r="F98" i="44"/>
  <c r="J98" i="44" s="1"/>
  <c r="C113" i="44" s="1"/>
  <c r="G95" i="44"/>
  <c r="K95" i="44" s="1"/>
  <c r="D110" i="44" s="1"/>
  <c r="D78" i="44"/>
  <c r="H78" i="44" s="1"/>
  <c r="D108" i="35"/>
  <c r="E108" i="35"/>
  <c r="D62" i="35"/>
  <c r="D64" i="35" s="1"/>
  <c r="D82" i="35" s="1"/>
  <c r="D24" i="35"/>
  <c r="D30" i="35" s="1"/>
  <c r="C119" i="35"/>
  <c r="C113" i="35"/>
  <c r="D75" i="35"/>
  <c r="D32" i="34"/>
  <c r="D34" i="34"/>
  <c r="C32" i="34"/>
  <c r="C34" i="34"/>
  <c r="D72" i="35" l="1"/>
  <c r="D87" i="35" s="1"/>
  <c r="C72" i="35"/>
  <c r="C87" i="35" s="1"/>
  <c r="H84" i="44"/>
  <c r="C123" i="44" s="1"/>
  <c r="H85" i="44"/>
  <c r="E28" i="42"/>
  <c r="F59" i="44"/>
  <c r="G74" i="44"/>
  <c r="K74" i="44" s="1"/>
  <c r="I94" i="44"/>
  <c r="M94" i="44" s="1"/>
  <c r="F109" i="44" s="1"/>
  <c r="F102" i="44"/>
  <c r="J102" i="44" s="1"/>
  <c r="C117" i="44" s="1"/>
  <c r="C118" i="44"/>
  <c r="E61" i="44"/>
  <c r="F76" i="44"/>
  <c r="J76" i="44" s="1"/>
  <c r="H96" i="44"/>
  <c r="L96" i="44" s="1"/>
  <c r="E111" i="44" s="1"/>
  <c r="D61" i="44"/>
  <c r="G96" i="44"/>
  <c r="K96" i="44" s="1"/>
  <c r="D111" i="44" s="1"/>
  <c r="E76" i="44"/>
  <c r="I76" i="44" s="1"/>
  <c r="C58" i="35"/>
  <c r="C66" i="35"/>
  <c r="C74" i="35"/>
  <c r="D32" i="35"/>
  <c r="D34" i="35"/>
  <c r="D111" i="35"/>
  <c r="C121" i="35"/>
  <c r="C131" i="35" s="1"/>
  <c r="C129" i="35"/>
  <c r="D113" i="35"/>
  <c r="D129" i="35" s="1"/>
  <c r="C122" i="44" l="1"/>
  <c r="C124" i="44" s="1"/>
  <c r="E30" i="42"/>
  <c r="E33" i="42" s="1"/>
  <c r="F60" i="44"/>
  <c r="G75" i="44"/>
  <c r="K75" i="44" s="1"/>
  <c r="I95" i="44"/>
  <c r="M95" i="44" s="1"/>
  <c r="F110" i="44" s="1"/>
  <c r="D62" i="44"/>
  <c r="E77" i="44"/>
  <c r="I77" i="44" s="1"/>
  <c r="G97" i="44"/>
  <c r="K97" i="44" s="1"/>
  <c r="D112" i="44" s="1"/>
  <c r="E62" i="44"/>
  <c r="F77" i="44"/>
  <c r="J77" i="44" s="1"/>
  <c r="H97" i="44"/>
  <c r="L97" i="44" s="1"/>
  <c r="E112" i="44" s="1"/>
  <c r="D112" i="35"/>
  <c r="E111" i="35"/>
  <c r="C68" i="35"/>
  <c r="C115" i="35"/>
  <c r="D66" i="35"/>
  <c r="D68" i="35" s="1"/>
  <c r="D74" i="35"/>
  <c r="D76" i="35" s="1"/>
  <c r="D58" i="35"/>
  <c r="D60" i="35" s="1"/>
  <c r="D81" i="35" s="1"/>
  <c r="D83" i="35" s="1"/>
  <c r="D86" i="35" s="1"/>
  <c r="C123" i="35"/>
  <c r="C76" i="35"/>
  <c r="C107" i="35"/>
  <c r="C60" i="35"/>
  <c r="C81" i="35" s="1"/>
  <c r="C83" i="35" s="1"/>
  <c r="C86" i="35" s="1"/>
  <c r="E34" i="42" l="1"/>
  <c r="F28" i="42" s="1"/>
  <c r="F61" i="44"/>
  <c r="G76" i="44"/>
  <c r="K76" i="44" s="1"/>
  <c r="I96" i="44"/>
  <c r="M96" i="44" s="1"/>
  <c r="F111" i="44" s="1"/>
  <c r="D63" i="44"/>
  <c r="E78" i="44"/>
  <c r="I78" i="44" s="1"/>
  <c r="G98" i="44"/>
  <c r="E63" i="44"/>
  <c r="F78" i="44"/>
  <c r="J78" i="44" s="1"/>
  <c r="H98" i="44"/>
  <c r="L98" i="44" s="1"/>
  <c r="E113" i="44" s="1"/>
  <c r="C109" i="35"/>
  <c r="C88" i="35"/>
  <c r="C89" i="35" s="1"/>
  <c r="D88" i="35"/>
  <c r="D89" i="35" s="1"/>
  <c r="D84" i="35"/>
  <c r="C125" i="35"/>
  <c r="C84" i="35"/>
  <c r="C117" i="35"/>
  <c r="C130" i="35" s="1"/>
  <c r="D116" i="35"/>
  <c r="E116" i="35" s="1"/>
  <c r="D119" i="35"/>
  <c r="E112" i="35"/>
  <c r="E113" i="35" s="1"/>
  <c r="E129" i="35" s="1"/>
  <c r="K98" i="44" l="1"/>
  <c r="D113" i="44" s="1"/>
  <c r="E64" i="44"/>
  <c r="F79" i="44"/>
  <c r="J79" i="44" s="1"/>
  <c r="H99" i="44"/>
  <c r="L99" i="44" s="1"/>
  <c r="E114" i="44" s="1"/>
  <c r="D64" i="44"/>
  <c r="E79" i="44"/>
  <c r="I79" i="44" s="1"/>
  <c r="G99" i="44"/>
  <c r="K99" i="44" s="1"/>
  <c r="D114" i="44" s="1"/>
  <c r="F62" i="44"/>
  <c r="G77" i="44"/>
  <c r="K77" i="44" s="1"/>
  <c r="I97" i="44"/>
  <c r="M97" i="44" s="1"/>
  <c r="F112" i="44" s="1"/>
  <c r="F30" i="42"/>
  <c r="F33" i="42" s="1"/>
  <c r="F34" i="42" s="1"/>
  <c r="C132" i="35"/>
  <c r="D125" i="35"/>
  <c r="D132" i="35" s="1"/>
  <c r="E119" i="35"/>
  <c r="C128" i="35"/>
  <c r="D109" i="35"/>
  <c r="F63" i="44" l="1"/>
  <c r="G78" i="44"/>
  <c r="K78" i="44" s="1"/>
  <c r="I98" i="44"/>
  <c r="M98" i="44" s="1"/>
  <c r="F113" i="44" s="1"/>
  <c r="D65" i="44"/>
  <c r="D66" i="44" s="1"/>
  <c r="E80" i="44"/>
  <c r="I80" i="44" s="1"/>
  <c r="G100" i="44"/>
  <c r="K100" i="44" s="1"/>
  <c r="D115" i="44" s="1"/>
  <c r="E65" i="44"/>
  <c r="F80" i="44"/>
  <c r="J80" i="44" s="1"/>
  <c r="H100" i="44"/>
  <c r="L100" i="44" s="1"/>
  <c r="E115" i="44" s="1"/>
  <c r="D128" i="35"/>
  <c r="D107" i="35"/>
  <c r="E66" i="44" l="1"/>
  <c r="F81" i="44"/>
  <c r="J81" i="44" s="1"/>
  <c r="H101" i="44"/>
  <c r="L101" i="44" s="1"/>
  <c r="E116" i="44" s="1"/>
  <c r="E81" i="44"/>
  <c r="I81" i="44" s="1"/>
  <c r="G101" i="44"/>
  <c r="K101" i="44" s="1"/>
  <c r="D116" i="44" s="1"/>
  <c r="F64" i="44"/>
  <c r="G79" i="44"/>
  <c r="K79" i="44" s="1"/>
  <c r="I99" i="44"/>
  <c r="M99" i="44" s="1"/>
  <c r="F114" i="44" s="1"/>
  <c r="D115" i="35"/>
  <c r="E107" i="35"/>
  <c r="E109" i="35" s="1"/>
  <c r="E128" i="35" s="1"/>
  <c r="G80" i="44" l="1"/>
  <c r="K80" i="44" s="1"/>
  <c r="F65" i="44"/>
  <c r="I100" i="44"/>
  <c r="M100" i="44" s="1"/>
  <c r="F115" i="44" s="1"/>
  <c r="E82" i="44"/>
  <c r="I82" i="44" s="1"/>
  <c r="I84" i="44" s="1"/>
  <c r="D123" i="44" s="1"/>
  <c r="G102" i="44"/>
  <c r="K102" i="44" s="1"/>
  <c r="D117" i="44" s="1"/>
  <c r="D118" i="44" s="1"/>
  <c r="D122" i="44" s="1"/>
  <c r="F82" i="44"/>
  <c r="J82" i="44" s="1"/>
  <c r="J84" i="44" s="1"/>
  <c r="H102" i="44"/>
  <c r="L102" i="44" s="1"/>
  <c r="E117" i="44" s="1"/>
  <c r="E118" i="44" s="1"/>
  <c r="E122" i="44" s="1"/>
  <c r="D117" i="35"/>
  <c r="D130" i="35" s="1"/>
  <c r="D123" i="35"/>
  <c r="E115" i="35"/>
  <c r="E117" i="35" s="1"/>
  <c r="E130" i="35" s="1"/>
  <c r="J85" i="44" l="1"/>
  <c r="E123" i="44"/>
  <c r="E124" i="44" s="1"/>
  <c r="I85" i="44"/>
  <c r="D124" i="44"/>
  <c r="F66" i="44"/>
  <c r="G81" i="44"/>
  <c r="K81" i="44" s="1"/>
  <c r="I101" i="44"/>
  <c r="M101" i="44" s="1"/>
  <c r="F116" i="44" s="1"/>
  <c r="D124" i="35"/>
  <c r="E123" i="35"/>
  <c r="F34" i="33"/>
  <c r="C36" i="33"/>
  <c r="E36" i="33" s="1"/>
  <c r="F36" i="33" s="1"/>
  <c r="D36" i="33"/>
  <c r="D64" i="33" s="1"/>
  <c r="C37" i="33"/>
  <c r="C65" i="33" s="1"/>
  <c r="D37" i="33"/>
  <c r="D65" i="33" s="1"/>
  <c r="C38" i="33"/>
  <c r="E38" i="33" s="1"/>
  <c r="D38" i="33"/>
  <c r="D66" i="33" s="1"/>
  <c r="C39" i="33"/>
  <c r="C67" i="33" s="1"/>
  <c r="D39" i="33"/>
  <c r="D67" i="33" s="1"/>
  <c r="C44" i="33"/>
  <c r="F50" i="33" s="1"/>
  <c r="D44" i="33"/>
  <c r="E44" i="33"/>
  <c r="F44" i="33"/>
  <c r="G44" i="33"/>
  <c r="H44" i="33"/>
  <c r="I44" i="33"/>
  <c r="J44" i="33"/>
  <c r="K44" i="33"/>
  <c r="L44" i="33"/>
  <c r="M44" i="33"/>
  <c r="N44" i="33"/>
  <c r="C45" i="33"/>
  <c r="G50" i="33" s="1"/>
  <c r="D45" i="33"/>
  <c r="E45" i="33"/>
  <c r="F45" i="33"/>
  <c r="G45" i="33"/>
  <c r="H45" i="33"/>
  <c r="I45" i="33"/>
  <c r="J45" i="33"/>
  <c r="K45" i="33"/>
  <c r="L45" i="33"/>
  <c r="M45" i="33"/>
  <c r="N45" i="33"/>
  <c r="C46" i="33"/>
  <c r="H50" i="33" s="1"/>
  <c r="D46" i="33"/>
  <c r="E46" i="33"/>
  <c r="F46" i="33"/>
  <c r="G46" i="33"/>
  <c r="H46" i="33"/>
  <c r="I46" i="33"/>
  <c r="J46" i="33"/>
  <c r="K46" i="33"/>
  <c r="L46" i="33"/>
  <c r="M46" i="33"/>
  <c r="N46" i="33"/>
  <c r="C50" i="33"/>
  <c r="D50" i="33"/>
  <c r="J50" i="33" s="1"/>
  <c r="M50" i="33" s="1"/>
  <c r="E50" i="33"/>
  <c r="C51" i="33"/>
  <c r="D51" i="33"/>
  <c r="E51" i="33"/>
  <c r="C52" i="33"/>
  <c r="D52" i="33"/>
  <c r="E52" i="33"/>
  <c r="C53" i="33"/>
  <c r="D53" i="33"/>
  <c r="E53" i="33"/>
  <c r="C60" i="33" a="1"/>
  <c r="N59" i="33" s="1"/>
  <c r="C63" i="33"/>
  <c r="D63" i="33"/>
  <c r="F74" i="33"/>
  <c r="F75" i="33"/>
  <c r="F76" i="33"/>
  <c r="F77" i="33"/>
  <c r="B37" i="31"/>
  <c r="C37" i="31"/>
  <c r="D37" i="31"/>
  <c r="E37" i="31"/>
  <c r="E52" i="31" s="1"/>
  <c r="I52" i="31" s="1"/>
  <c r="F37" i="31"/>
  <c r="F52" i="31" s="1"/>
  <c r="J52" i="31" s="1"/>
  <c r="G37" i="31"/>
  <c r="H37" i="31"/>
  <c r="I37" i="31"/>
  <c r="J37" i="31"/>
  <c r="B38" i="31"/>
  <c r="C38" i="31"/>
  <c r="D38" i="31"/>
  <c r="E38" i="31"/>
  <c r="F38" i="31"/>
  <c r="B39" i="31"/>
  <c r="B54" i="31" s="1"/>
  <c r="C39" i="31"/>
  <c r="D39" i="31"/>
  <c r="E39" i="31"/>
  <c r="F39" i="31"/>
  <c r="B40" i="31"/>
  <c r="B55" i="31" s="1"/>
  <c r="C40" i="31"/>
  <c r="D40" i="31"/>
  <c r="E40" i="31"/>
  <c r="F40" i="31"/>
  <c r="B41" i="31"/>
  <c r="B56" i="31" s="1"/>
  <c r="C41" i="31"/>
  <c r="D41" i="31"/>
  <c r="E41" i="31"/>
  <c r="F41" i="31"/>
  <c r="B42" i="31"/>
  <c r="B57" i="31" s="1"/>
  <c r="C42" i="31"/>
  <c r="D42" i="31"/>
  <c r="E42" i="31"/>
  <c r="F42" i="31"/>
  <c r="B43" i="31"/>
  <c r="B58" i="31" s="1"/>
  <c r="C43" i="31"/>
  <c r="D43" i="31"/>
  <c r="E43" i="31"/>
  <c r="F43" i="31"/>
  <c r="B44" i="31"/>
  <c r="B59" i="31" s="1"/>
  <c r="C44" i="31"/>
  <c r="D44" i="31"/>
  <c r="E44" i="31"/>
  <c r="F44" i="31"/>
  <c r="B45" i="31"/>
  <c r="B60" i="31" s="1"/>
  <c r="C45" i="31"/>
  <c r="D45" i="31"/>
  <c r="E45" i="31"/>
  <c r="F45" i="31"/>
  <c r="B46" i="31"/>
  <c r="B61" i="31" s="1"/>
  <c r="C46" i="31"/>
  <c r="D46" i="31"/>
  <c r="E46" i="31"/>
  <c r="F46" i="31"/>
  <c r="B47" i="31"/>
  <c r="B62" i="31" s="1"/>
  <c r="C47" i="31"/>
  <c r="D47" i="31"/>
  <c r="E47" i="31"/>
  <c r="F47" i="31"/>
  <c r="B48" i="31"/>
  <c r="B63" i="31" s="1"/>
  <c r="C48" i="31"/>
  <c r="D48" i="31"/>
  <c r="E48" i="31"/>
  <c r="F48" i="31"/>
  <c r="B49" i="31"/>
  <c r="C49" i="31"/>
  <c r="D49" i="31"/>
  <c r="E49" i="31"/>
  <c r="F49" i="31"/>
  <c r="B52" i="31"/>
  <c r="C52" i="31"/>
  <c r="G52" i="31" s="1"/>
  <c r="D52" i="31"/>
  <c r="H52" i="31" s="1"/>
  <c r="B64" i="31"/>
  <c r="B73" i="31"/>
  <c r="B94" i="31" s="1"/>
  <c r="B110" i="31" s="1"/>
  <c r="C73" i="31"/>
  <c r="H73" i="31" s="1"/>
  <c r="D73" i="31"/>
  <c r="D94" i="31" s="1"/>
  <c r="E73" i="31"/>
  <c r="J73" i="31" s="1"/>
  <c r="F73" i="31"/>
  <c r="K73" i="31" s="1"/>
  <c r="B74" i="31"/>
  <c r="C74" i="31"/>
  <c r="D74" i="31"/>
  <c r="E74" i="31"/>
  <c r="F74" i="31"/>
  <c r="G74" i="31"/>
  <c r="B75" i="31"/>
  <c r="C75" i="31"/>
  <c r="D75" i="31"/>
  <c r="E75" i="31"/>
  <c r="F75" i="31"/>
  <c r="G75" i="31"/>
  <c r="B76" i="31"/>
  <c r="C76" i="31"/>
  <c r="D76" i="31"/>
  <c r="E76" i="31"/>
  <c r="F76" i="31"/>
  <c r="G76" i="31"/>
  <c r="B77" i="31"/>
  <c r="C77" i="31"/>
  <c r="D77" i="31"/>
  <c r="E77" i="31"/>
  <c r="F77" i="31"/>
  <c r="G77" i="31"/>
  <c r="B78" i="31"/>
  <c r="C78" i="31"/>
  <c r="D78" i="31"/>
  <c r="E78" i="31"/>
  <c r="F78" i="31"/>
  <c r="G78" i="31"/>
  <c r="B79" i="31"/>
  <c r="C79" i="31"/>
  <c r="D79" i="31"/>
  <c r="E79" i="31"/>
  <c r="F79" i="31"/>
  <c r="G79" i="31"/>
  <c r="B80" i="31"/>
  <c r="C80" i="31"/>
  <c r="D80" i="31"/>
  <c r="E80" i="31"/>
  <c r="F80" i="31"/>
  <c r="G80" i="31"/>
  <c r="B81" i="31"/>
  <c r="C81" i="31"/>
  <c r="D81" i="31"/>
  <c r="E81" i="31"/>
  <c r="F81" i="31"/>
  <c r="G81" i="31"/>
  <c r="B82" i="31"/>
  <c r="C82" i="31"/>
  <c r="D82" i="31"/>
  <c r="E82" i="31"/>
  <c r="F82" i="31"/>
  <c r="G82" i="31"/>
  <c r="B83" i="31"/>
  <c r="C83" i="31"/>
  <c r="D83" i="31"/>
  <c r="E83" i="31"/>
  <c r="F83" i="31"/>
  <c r="G83" i="31"/>
  <c r="B84" i="31"/>
  <c r="C84" i="31"/>
  <c r="D84" i="31"/>
  <c r="E84" i="31"/>
  <c r="F84" i="31"/>
  <c r="G84" i="31"/>
  <c r="B85" i="31"/>
  <c r="C85" i="31"/>
  <c r="D85" i="31"/>
  <c r="E85" i="31"/>
  <c r="F85" i="31"/>
  <c r="G85" i="31"/>
  <c r="B86" i="31"/>
  <c r="B95" i="31" s="1"/>
  <c r="B111" i="31" s="1"/>
  <c r="C86" i="31"/>
  <c r="D86" i="31"/>
  <c r="E86" i="31"/>
  <c r="F86" i="31"/>
  <c r="G86" i="31"/>
  <c r="B87" i="31"/>
  <c r="B96" i="31" s="1"/>
  <c r="B112" i="31" s="1"/>
  <c r="C87" i="31"/>
  <c r="D87" i="31"/>
  <c r="E87" i="31"/>
  <c r="F87" i="31"/>
  <c r="G87" i="31"/>
  <c r="B88" i="31"/>
  <c r="B97" i="31" s="1"/>
  <c r="B113" i="31" s="1"/>
  <c r="C88" i="31"/>
  <c r="D88" i="31"/>
  <c r="E88" i="31"/>
  <c r="F88" i="31"/>
  <c r="G88" i="31"/>
  <c r="B89" i="31"/>
  <c r="B98" i="31" s="1"/>
  <c r="B114" i="31" s="1"/>
  <c r="C89" i="31"/>
  <c r="D89" i="31"/>
  <c r="E89" i="31"/>
  <c r="F89" i="31"/>
  <c r="G89" i="31"/>
  <c r="B90" i="31"/>
  <c r="B99" i="31" s="1"/>
  <c r="B115" i="31" s="1"/>
  <c r="C90" i="31"/>
  <c r="D90" i="31"/>
  <c r="E90" i="31"/>
  <c r="F90" i="31"/>
  <c r="G90" i="31"/>
  <c r="B91" i="31"/>
  <c r="B100" i="31" s="1"/>
  <c r="B116" i="31" s="1"/>
  <c r="C91" i="31"/>
  <c r="D91" i="31"/>
  <c r="E91" i="31"/>
  <c r="F91" i="31"/>
  <c r="G91" i="31"/>
  <c r="M111" i="31"/>
  <c r="M112" i="31"/>
  <c r="M113" i="31"/>
  <c r="M114" i="31"/>
  <c r="M115" i="31"/>
  <c r="M116" i="31"/>
  <c r="P12" i="29"/>
  <c r="B35" i="29"/>
  <c r="C35" i="29"/>
  <c r="D35" i="29"/>
  <c r="E35" i="29"/>
  <c r="F35" i="29"/>
  <c r="F49" i="29" s="1"/>
  <c r="F121" i="29" s="1"/>
  <c r="G35" i="29"/>
  <c r="G49" i="29" s="1"/>
  <c r="G121" i="29" s="1"/>
  <c r="G136" i="29" s="1"/>
  <c r="H35" i="29"/>
  <c r="H49" i="29" s="1"/>
  <c r="I35" i="29"/>
  <c r="J35" i="29"/>
  <c r="J49" i="29" s="1"/>
  <c r="J64" i="29" s="1"/>
  <c r="K35" i="29"/>
  <c r="K49" i="29" s="1"/>
  <c r="L35" i="29"/>
  <c r="M35" i="29"/>
  <c r="N35" i="29"/>
  <c r="B36" i="29"/>
  <c r="C36" i="29"/>
  <c r="D36" i="29"/>
  <c r="E36" i="29"/>
  <c r="E50" i="29" s="1"/>
  <c r="E122" i="29" s="1"/>
  <c r="F36" i="29"/>
  <c r="F50" i="29" s="1"/>
  <c r="F122" i="29" s="1"/>
  <c r="G36" i="29"/>
  <c r="H36" i="29"/>
  <c r="I36" i="29"/>
  <c r="I50" i="29" s="1"/>
  <c r="H65" i="29" s="1"/>
  <c r="J36" i="29"/>
  <c r="J50" i="29" s="1"/>
  <c r="K36" i="29"/>
  <c r="L36" i="29"/>
  <c r="M36" i="29"/>
  <c r="N36" i="29"/>
  <c r="B37" i="29"/>
  <c r="C37" i="29"/>
  <c r="D37" i="29"/>
  <c r="E37" i="29"/>
  <c r="F37" i="29"/>
  <c r="G37" i="29"/>
  <c r="H37" i="29"/>
  <c r="H51" i="29" s="1"/>
  <c r="H123" i="29" s="1"/>
  <c r="I37" i="29"/>
  <c r="I51" i="29" s="1"/>
  <c r="J37" i="29"/>
  <c r="K37" i="29"/>
  <c r="L37" i="29"/>
  <c r="M51" i="29" s="1"/>
  <c r="M37" i="29"/>
  <c r="N37" i="29"/>
  <c r="B38" i="29"/>
  <c r="C38" i="29"/>
  <c r="D38" i="29"/>
  <c r="E38" i="29"/>
  <c r="F38" i="29"/>
  <c r="G38" i="29"/>
  <c r="H38" i="29"/>
  <c r="I38" i="29"/>
  <c r="J38" i="29"/>
  <c r="K38" i="29"/>
  <c r="L38" i="29"/>
  <c r="M38" i="29"/>
  <c r="N38" i="29"/>
  <c r="B39" i="29"/>
  <c r="B53" i="29" s="1"/>
  <c r="B68" i="29" s="1"/>
  <c r="C39" i="29"/>
  <c r="D39" i="29"/>
  <c r="E39" i="29"/>
  <c r="F39" i="29"/>
  <c r="G39" i="29"/>
  <c r="H39" i="29"/>
  <c r="I39" i="29"/>
  <c r="J39" i="29"/>
  <c r="K39" i="29"/>
  <c r="L39" i="29"/>
  <c r="M39" i="29"/>
  <c r="M53" i="29" s="1"/>
  <c r="M125" i="29" s="1"/>
  <c r="N39" i="29"/>
  <c r="N53" i="29" s="1"/>
  <c r="N125" i="29" s="1"/>
  <c r="B40" i="29"/>
  <c r="B54" i="29" s="1"/>
  <c r="B69" i="29" s="1"/>
  <c r="C40" i="29"/>
  <c r="D40" i="29"/>
  <c r="E40" i="29"/>
  <c r="F40" i="29"/>
  <c r="G40" i="29"/>
  <c r="H40" i="29"/>
  <c r="I40" i="29"/>
  <c r="J40" i="29"/>
  <c r="K40" i="29"/>
  <c r="L40" i="29"/>
  <c r="M40" i="29"/>
  <c r="M54" i="29" s="1"/>
  <c r="M126" i="29" s="1"/>
  <c r="N40" i="29"/>
  <c r="N54" i="29" s="1"/>
  <c r="N126" i="29" s="1"/>
  <c r="B41" i="29"/>
  <c r="B55" i="29" s="1"/>
  <c r="B70" i="29" s="1"/>
  <c r="C41" i="29"/>
  <c r="D41" i="29"/>
  <c r="E41" i="29"/>
  <c r="F41" i="29"/>
  <c r="G41" i="29"/>
  <c r="H41" i="29"/>
  <c r="I41" i="29"/>
  <c r="J41" i="29"/>
  <c r="K41" i="29"/>
  <c r="L41" i="29"/>
  <c r="M41" i="29"/>
  <c r="M55" i="29" s="1"/>
  <c r="M127" i="29" s="1"/>
  <c r="N41" i="29"/>
  <c r="N55" i="29" s="1"/>
  <c r="N127" i="29" s="1"/>
  <c r="B42" i="29"/>
  <c r="B56" i="29" s="1"/>
  <c r="B71" i="29" s="1"/>
  <c r="C42" i="29"/>
  <c r="D42" i="29"/>
  <c r="E42" i="29"/>
  <c r="F42" i="29"/>
  <c r="G42" i="29"/>
  <c r="H42" i="29"/>
  <c r="I42" i="29"/>
  <c r="J42" i="29"/>
  <c r="K42" i="29"/>
  <c r="L42" i="29"/>
  <c r="L56" i="29" s="1"/>
  <c r="L128" i="29" s="1"/>
  <c r="M42" i="29"/>
  <c r="N42" i="29"/>
  <c r="B43" i="29"/>
  <c r="B57" i="29" s="1"/>
  <c r="B72" i="29" s="1"/>
  <c r="C43" i="29"/>
  <c r="D43" i="29"/>
  <c r="E43" i="29"/>
  <c r="F43" i="29"/>
  <c r="G43" i="29"/>
  <c r="H43" i="29"/>
  <c r="I43" i="29"/>
  <c r="J43" i="29"/>
  <c r="K43" i="29"/>
  <c r="L43" i="29"/>
  <c r="L57" i="29" s="1"/>
  <c r="L129" i="29" s="1"/>
  <c r="M43" i="29"/>
  <c r="N43" i="29"/>
  <c r="N57" i="29" s="1"/>
  <c r="N129" i="29" s="1"/>
  <c r="B44" i="29"/>
  <c r="B58" i="29" s="1"/>
  <c r="B73" i="29" s="1"/>
  <c r="C44" i="29"/>
  <c r="D44" i="29"/>
  <c r="E44" i="29"/>
  <c r="F44" i="29"/>
  <c r="G44" i="29"/>
  <c r="H44" i="29"/>
  <c r="I44" i="29"/>
  <c r="J44" i="29"/>
  <c r="K44" i="29"/>
  <c r="L44" i="29"/>
  <c r="M44" i="29"/>
  <c r="M58" i="29" s="1"/>
  <c r="M130" i="29" s="1"/>
  <c r="N44" i="29"/>
  <c r="N58" i="29" s="1"/>
  <c r="N130" i="29" s="1"/>
  <c r="B45" i="29"/>
  <c r="B59" i="29" s="1"/>
  <c r="B74" i="29" s="1"/>
  <c r="C45" i="29"/>
  <c r="D45" i="29"/>
  <c r="E45" i="29"/>
  <c r="F45" i="29"/>
  <c r="G45" i="29"/>
  <c r="H45" i="29"/>
  <c r="I45" i="29"/>
  <c r="J45" i="29"/>
  <c r="K45" i="29"/>
  <c r="L45" i="29"/>
  <c r="M45" i="29"/>
  <c r="N45" i="29"/>
  <c r="B46" i="29"/>
  <c r="B60" i="29" s="1"/>
  <c r="B75" i="29" s="1"/>
  <c r="C46" i="29"/>
  <c r="D46" i="29"/>
  <c r="E46" i="29"/>
  <c r="F46" i="29"/>
  <c r="G46" i="29"/>
  <c r="H46" i="29"/>
  <c r="I46" i="29"/>
  <c r="J46" i="29"/>
  <c r="K46" i="29"/>
  <c r="L46" i="29"/>
  <c r="M46" i="29"/>
  <c r="N46" i="29"/>
  <c r="B49" i="29"/>
  <c r="B64" i="29" s="1"/>
  <c r="D49" i="29"/>
  <c r="E49" i="29"/>
  <c r="B50" i="29"/>
  <c r="B65" i="29" s="1"/>
  <c r="L50" i="29"/>
  <c r="L122" i="29" s="1"/>
  <c r="K137" i="29" s="1"/>
  <c r="B51" i="29"/>
  <c r="B66" i="29" s="1"/>
  <c r="N51" i="29"/>
  <c r="N123" i="29" s="1"/>
  <c r="B52" i="29"/>
  <c r="B67" i="29" s="1"/>
  <c r="M52" i="29"/>
  <c r="M124" i="29" s="1"/>
  <c r="N52" i="29"/>
  <c r="N124" i="29" s="1"/>
  <c r="K53" i="29"/>
  <c r="L53" i="29"/>
  <c r="K54" i="29"/>
  <c r="K126" i="29" s="1"/>
  <c r="L54" i="29"/>
  <c r="L126" i="29" s="1"/>
  <c r="J55" i="29"/>
  <c r="K55" i="29"/>
  <c r="K127" i="29" s="1"/>
  <c r="L55" i="29"/>
  <c r="L127" i="29" s="1"/>
  <c r="K56" i="29"/>
  <c r="K128" i="29" s="1"/>
  <c r="D64" i="29"/>
  <c r="E64" i="29"/>
  <c r="A65" i="29"/>
  <c r="B87" i="29"/>
  <c r="B101" i="29" a="1"/>
  <c r="B101" i="29" s="1"/>
  <c r="B170" i="29" s="1"/>
  <c r="C101" i="29"/>
  <c r="G101" i="29" s="1"/>
  <c r="H101" i="29" s="1"/>
  <c r="I101" i="29" s="1"/>
  <c r="D101" i="29"/>
  <c r="E101" i="29"/>
  <c r="C102" i="29"/>
  <c r="G102" i="29" s="1"/>
  <c r="C103" i="29"/>
  <c r="C172" i="29" s="1"/>
  <c r="C104" i="29"/>
  <c r="G104" i="29" s="1"/>
  <c r="C105" i="29"/>
  <c r="G105" i="29" s="1"/>
  <c r="C106" i="29"/>
  <c r="G106" i="29" s="1"/>
  <c r="C107" i="29"/>
  <c r="C176" i="29" s="1"/>
  <c r="G107" i="29"/>
  <c r="C108" i="29"/>
  <c r="G108" i="29" s="1"/>
  <c r="C109" i="29"/>
  <c r="C178" i="29" s="1"/>
  <c r="C110" i="29"/>
  <c r="G110" i="29" s="1"/>
  <c r="C111" i="29"/>
  <c r="G111" i="29" s="1"/>
  <c r="C112" i="29"/>
  <c r="C181" i="29" s="1"/>
  <c r="G112" i="29"/>
  <c r="C120" i="29"/>
  <c r="D120" i="29"/>
  <c r="E120" i="29"/>
  <c r="F120" i="29"/>
  <c r="G120" i="29"/>
  <c r="H120" i="29"/>
  <c r="I120" i="29"/>
  <c r="J120" i="29"/>
  <c r="K120" i="29"/>
  <c r="L120" i="29"/>
  <c r="M120" i="29"/>
  <c r="N120" i="29"/>
  <c r="B121" i="29"/>
  <c r="B136" i="29" s="1"/>
  <c r="D121" i="29"/>
  <c r="D136" i="29" s="1"/>
  <c r="E121" i="29"/>
  <c r="E136" i="29" s="1"/>
  <c r="B122" i="29"/>
  <c r="B137" i="29" s="1"/>
  <c r="B123" i="29"/>
  <c r="B138" i="29" s="1"/>
  <c r="M123" i="29"/>
  <c r="B124" i="29"/>
  <c r="B139" i="29" s="1"/>
  <c r="B125" i="29"/>
  <c r="B140" i="29" s="1"/>
  <c r="K125" i="29"/>
  <c r="L125" i="29"/>
  <c r="B126" i="29"/>
  <c r="B141" i="29" s="1"/>
  <c r="B127" i="29"/>
  <c r="B142" i="29" s="1"/>
  <c r="B128" i="29"/>
  <c r="B129" i="29"/>
  <c r="B144" i="29" s="1"/>
  <c r="B130" i="29"/>
  <c r="B145" i="29" s="1"/>
  <c r="B131" i="29"/>
  <c r="B146" i="29" s="1"/>
  <c r="B132" i="29"/>
  <c r="B147" i="29" s="1"/>
  <c r="F136" i="29"/>
  <c r="A137" i="29"/>
  <c r="B143" i="29"/>
  <c r="B156" i="29"/>
  <c r="B157" i="29" s="1"/>
  <c r="B158" i="29" s="1"/>
  <c r="B173" i="29"/>
  <c r="C174" i="29"/>
  <c r="C175" i="29"/>
  <c r="C179" i="29"/>
  <c r="P12" i="28"/>
  <c r="C173" i="29" l="1"/>
  <c r="E65" i="29"/>
  <c r="C171" i="29"/>
  <c r="G64" i="29"/>
  <c r="F64" i="29"/>
  <c r="B181" i="29"/>
  <c r="E137" i="29"/>
  <c r="B178" i="29"/>
  <c r="B177" i="29"/>
  <c r="C170" i="29"/>
  <c r="D170" i="29" s="1"/>
  <c r="E170" i="29" s="1"/>
  <c r="A138" i="29"/>
  <c r="A139" i="29" s="1"/>
  <c r="B179" i="29"/>
  <c r="B171" i="29"/>
  <c r="C177" i="29"/>
  <c r="B176" i="29"/>
  <c r="D137" i="29"/>
  <c r="N56" i="29"/>
  <c r="N128" i="29" s="1"/>
  <c r="B175" i="29"/>
  <c r="J53" i="29"/>
  <c r="M50" i="29"/>
  <c r="M122" i="29" s="1"/>
  <c r="L137" i="29" s="1"/>
  <c r="N49" i="29"/>
  <c r="H52" i="29"/>
  <c r="H124" i="29" s="1"/>
  <c r="G51" i="29"/>
  <c r="G123" i="29" s="1"/>
  <c r="A66" i="29"/>
  <c r="G66" i="29" s="1"/>
  <c r="G52" i="29"/>
  <c r="G124" i="29" s="1"/>
  <c r="B174" i="29"/>
  <c r="D65" i="29"/>
  <c r="N59" i="29"/>
  <c r="N131" i="29" s="1"/>
  <c r="H53" i="29"/>
  <c r="H125" i="29" s="1"/>
  <c r="I52" i="29"/>
  <c r="J51" i="29"/>
  <c r="K50" i="29"/>
  <c r="K122" i="29" s="1"/>
  <c r="J137" i="29" s="1"/>
  <c r="L49" i="29"/>
  <c r="L64" i="29" s="1"/>
  <c r="J49" i="31" a="1"/>
  <c r="J49" i="31" s="1"/>
  <c r="F64" i="31" s="1"/>
  <c r="K83" i="31"/>
  <c r="F98" i="31" s="1"/>
  <c r="I80" i="31"/>
  <c r="D95" i="31" s="1"/>
  <c r="I82" i="31"/>
  <c r="D97" i="31"/>
  <c r="H97" i="31" s="1"/>
  <c r="J80" i="31"/>
  <c r="E95" i="31" s="1"/>
  <c r="H84" i="31"/>
  <c r="H82" i="31"/>
  <c r="H80" i="31"/>
  <c r="C95" i="31" s="1"/>
  <c r="J41" i="31" a="1"/>
  <c r="J41" i="31" s="1"/>
  <c r="F56" i="31" s="1"/>
  <c r="J56" i="31" s="1"/>
  <c r="J39" i="31" a="1"/>
  <c r="J39" i="31" s="1"/>
  <c r="F54" i="31" s="1"/>
  <c r="J54" i="31" s="1"/>
  <c r="E94" i="31"/>
  <c r="H45" i="31" a="1"/>
  <c r="H45" i="31" s="1"/>
  <c r="D60" i="31" s="1"/>
  <c r="D112" i="31" s="1"/>
  <c r="K85" i="31"/>
  <c r="F100" i="31" s="1"/>
  <c r="J100" i="31" s="1"/>
  <c r="K80" i="31"/>
  <c r="F95" i="31" s="1"/>
  <c r="G47" i="31" a="1"/>
  <c r="G47" i="31" s="1"/>
  <c r="J85" i="31"/>
  <c r="E100" i="31" s="1"/>
  <c r="I100" i="31" s="1"/>
  <c r="J83" i="31"/>
  <c r="E98" i="31" s="1"/>
  <c r="J81" i="31"/>
  <c r="E96" i="31" s="1"/>
  <c r="I96" i="31" s="1"/>
  <c r="I85" i="31"/>
  <c r="I83" i="31"/>
  <c r="D98" i="31" s="1"/>
  <c r="H98" i="31" s="1"/>
  <c r="K81" i="31"/>
  <c r="F96" i="31" s="1"/>
  <c r="H85" i="31"/>
  <c r="C100" i="31" s="1"/>
  <c r="I116" i="31" s="1"/>
  <c r="H83" i="31"/>
  <c r="C98" i="31" s="1"/>
  <c r="I114" i="31" s="1"/>
  <c r="H81" i="31"/>
  <c r="C96" i="31" s="1"/>
  <c r="I112" i="31" s="1"/>
  <c r="I81" i="31"/>
  <c r="D96" i="31" s="1"/>
  <c r="J42" i="31" a="1"/>
  <c r="J42" i="31" s="1"/>
  <c r="F57" i="31" s="1"/>
  <c r="J57" i="31" s="1"/>
  <c r="I43" i="31" a="1"/>
  <c r="I43" i="31" s="1"/>
  <c r="E58" i="31" s="1"/>
  <c r="I58" i="31" s="1"/>
  <c r="H41" i="31" a="1"/>
  <c r="H41" i="31" s="1"/>
  <c r="D56" i="31" s="1"/>
  <c r="H56" i="31" s="1"/>
  <c r="I39" i="31" a="1"/>
  <c r="I39" i="31" s="1"/>
  <c r="E54" i="31" s="1"/>
  <c r="I54" i="31" s="1"/>
  <c r="C94" i="31"/>
  <c r="K84" i="31"/>
  <c r="B53" i="31"/>
  <c r="G36" i="33"/>
  <c r="C74" i="33" s="1"/>
  <c r="H74" i="33" s="1"/>
  <c r="E39" i="33"/>
  <c r="F39" i="33" s="1"/>
  <c r="G39" i="33" s="1"/>
  <c r="C77" i="33" s="1"/>
  <c r="H77" i="33" s="1"/>
  <c r="F38" i="33"/>
  <c r="G38" i="33" s="1"/>
  <c r="C76" i="33" s="1"/>
  <c r="H76" i="33" s="1"/>
  <c r="C66" i="33"/>
  <c r="E37" i="33"/>
  <c r="F37" i="33" s="1"/>
  <c r="G37" i="33" s="1"/>
  <c r="C75" i="33" s="1"/>
  <c r="H75" i="33" s="1"/>
  <c r="F99" i="31"/>
  <c r="L115" i="31" s="1"/>
  <c r="G82" i="44"/>
  <c r="K82" i="44" s="1"/>
  <c r="K84" i="44" s="1"/>
  <c r="I102" i="44"/>
  <c r="M102" i="44" s="1"/>
  <c r="F117" i="44" s="1"/>
  <c r="F118" i="44" s="1"/>
  <c r="F122" i="44" s="1"/>
  <c r="D120" i="35"/>
  <c r="E124" i="35"/>
  <c r="E125" i="35" s="1"/>
  <c r="E132" i="35" s="1"/>
  <c r="I50" i="33"/>
  <c r="L50" i="33" s="1"/>
  <c r="K50" i="33"/>
  <c r="N50" i="33" s="1"/>
  <c r="M59" i="33"/>
  <c r="L59" i="33"/>
  <c r="J59" i="33"/>
  <c r="K59" i="33"/>
  <c r="I59" i="33"/>
  <c r="H59" i="33"/>
  <c r="C64" i="33"/>
  <c r="G59" i="33"/>
  <c r="H53" i="33"/>
  <c r="K53" i="33" s="1"/>
  <c r="N53" i="33" s="1"/>
  <c r="F59" i="33"/>
  <c r="G53" i="33"/>
  <c r="J53" i="33" s="1"/>
  <c r="M53" i="33" s="1"/>
  <c r="H52" i="33"/>
  <c r="K52" i="33" s="1"/>
  <c r="N52" i="33" s="1"/>
  <c r="E59" i="33"/>
  <c r="F53" i="33"/>
  <c r="I53" i="33" s="1"/>
  <c r="L53" i="33" s="1"/>
  <c r="G52" i="33"/>
  <c r="J52" i="33" s="1"/>
  <c r="M52" i="33" s="1"/>
  <c r="H51" i="33"/>
  <c r="K51" i="33" s="1"/>
  <c r="N51" i="33" s="1"/>
  <c r="C60" i="33"/>
  <c r="C59" i="33" s="1"/>
  <c r="D59" i="33"/>
  <c r="F52" i="33"/>
  <c r="I52" i="33" s="1"/>
  <c r="L52" i="33" s="1"/>
  <c r="G51" i="33"/>
  <c r="J51" i="33" s="1"/>
  <c r="M51" i="33" s="1"/>
  <c r="F51" i="33"/>
  <c r="I51" i="33" s="1"/>
  <c r="L51" i="33" s="1"/>
  <c r="H113" i="31"/>
  <c r="B122" i="31"/>
  <c r="H122" i="31" s="1"/>
  <c r="C97" i="31"/>
  <c r="H94" i="31"/>
  <c r="D110" i="31"/>
  <c r="B123" i="31"/>
  <c r="H123" i="31" s="1"/>
  <c r="H114" i="31"/>
  <c r="B121" i="31"/>
  <c r="H121" i="31" s="1"/>
  <c r="H112" i="31"/>
  <c r="B120" i="31"/>
  <c r="H120" i="31" s="1"/>
  <c r="H111" i="31"/>
  <c r="D100" i="31"/>
  <c r="J98" i="31"/>
  <c r="L114" i="31"/>
  <c r="K114" i="31"/>
  <c r="I98" i="31"/>
  <c r="K112" i="31"/>
  <c r="F116" i="31"/>
  <c r="F125" i="31" s="1"/>
  <c r="L125" i="31" s="1"/>
  <c r="J64" i="31"/>
  <c r="B119" i="31"/>
  <c r="H119" i="31" s="1"/>
  <c r="H110" i="31"/>
  <c r="H115" i="31"/>
  <c r="B124" i="31"/>
  <c r="H124" i="31" s="1"/>
  <c r="J114" i="31"/>
  <c r="L112" i="31"/>
  <c r="J96" i="31"/>
  <c r="G98" i="31"/>
  <c r="C62" i="31"/>
  <c r="H116" i="31"/>
  <c r="B125" i="31"/>
  <c r="H125" i="31" s="1"/>
  <c r="E97" i="31"/>
  <c r="G46" i="31" a="1"/>
  <c r="G46" i="31" s="1"/>
  <c r="C61" i="31" s="1"/>
  <c r="H44" i="31" a="1"/>
  <c r="H44" i="31" s="1"/>
  <c r="D59" i="31" s="1"/>
  <c r="I42" i="31" a="1"/>
  <c r="I42" i="31" s="1"/>
  <c r="E57" i="31" s="1"/>
  <c r="I57" i="31" s="1"/>
  <c r="J40" i="31" a="1"/>
  <c r="J40" i="31" s="1"/>
  <c r="F55" i="31" s="1"/>
  <c r="J55" i="31" s="1"/>
  <c r="K82" i="31"/>
  <c r="F97" i="31" s="1"/>
  <c r="G45" i="31" a="1"/>
  <c r="G45" i="31" s="1"/>
  <c r="C60" i="31" s="1"/>
  <c r="H43" i="31" a="1"/>
  <c r="H43" i="31" s="1"/>
  <c r="D58" i="31" s="1"/>
  <c r="H58" i="31" s="1"/>
  <c r="I41" i="31" a="1"/>
  <c r="I41" i="31" s="1"/>
  <c r="E56" i="31" s="1"/>
  <c r="I56" i="31" s="1"/>
  <c r="F94" i="31"/>
  <c r="J82" i="31"/>
  <c r="G44" i="31" a="1"/>
  <c r="G44" i="31" s="1"/>
  <c r="C59" i="31" s="1"/>
  <c r="H42" i="31" a="1"/>
  <c r="H42" i="31" s="1"/>
  <c r="D57" i="31" s="1"/>
  <c r="H57" i="31" s="1"/>
  <c r="I40" i="31" a="1"/>
  <c r="I40" i="31" s="1"/>
  <c r="E55" i="31" s="1"/>
  <c r="I55" i="31" s="1"/>
  <c r="J38" i="31" a="1"/>
  <c r="J38" i="31" s="1"/>
  <c r="F53" i="31" s="1"/>
  <c r="J53" i="31" s="1"/>
  <c r="G42" i="31" a="1"/>
  <c r="G42" i="31" s="1"/>
  <c r="C57" i="31" s="1"/>
  <c r="G57" i="31" s="1"/>
  <c r="G43" i="31" a="1"/>
  <c r="G43" i="31" s="1"/>
  <c r="C58" i="31" s="1"/>
  <c r="G58" i="31" s="1"/>
  <c r="J84" i="31"/>
  <c r="E99" i="31" s="1"/>
  <c r="I48" i="31" a="1"/>
  <c r="I48" i="31" s="1"/>
  <c r="E63" i="31" s="1"/>
  <c r="J46" i="31" a="1"/>
  <c r="J46" i="31" s="1"/>
  <c r="F61" i="31" s="1"/>
  <c r="G40" i="31" a="1"/>
  <c r="G40" i="31" s="1"/>
  <c r="C55" i="31" s="1"/>
  <c r="G55" i="31" s="1"/>
  <c r="H38" i="31" a="1"/>
  <c r="H38" i="31" s="1"/>
  <c r="D53" i="31" s="1"/>
  <c r="H53" i="31" s="1"/>
  <c r="I84" i="31"/>
  <c r="D99" i="31" s="1"/>
  <c r="H49" i="31" a="1"/>
  <c r="H49" i="31" s="1"/>
  <c r="D64" i="31" s="1"/>
  <c r="I47" i="31" a="1"/>
  <c r="I47" i="31" s="1"/>
  <c r="E62" i="31" s="1"/>
  <c r="J45" i="31" a="1"/>
  <c r="J45" i="31" s="1"/>
  <c r="F60" i="31" s="1"/>
  <c r="G39" i="31" a="1"/>
  <c r="G39" i="31" s="1"/>
  <c r="C54" i="31" s="1"/>
  <c r="G54" i="31" s="1"/>
  <c r="J48" i="31" a="1"/>
  <c r="J48" i="31" s="1"/>
  <c r="F63" i="31" s="1"/>
  <c r="C99" i="31"/>
  <c r="H48" i="31" a="1"/>
  <c r="H48" i="31" s="1"/>
  <c r="D63" i="31" s="1"/>
  <c r="I46" i="31" a="1"/>
  <c r="I46" i="31" s="1"/>
  <c r="E61" i="31" s="1"/>
  <c r="J44" i="31" a="1"/>
  <c r="J44" i="31" s="1"/>
  <c r="F59" i="31" s="1"/>
  <c r="G38" i="31" a="1"/>
  <c r="G38" i="31" s="1"/>
  <c r="C53" i="31" s="1"/>
  <c r="G53" i="31" s="1"/>
  <c r="H40" i="31" a="1"/>
  <c r="H40" i="31" s="1"/>
  <c r="D55" i="31" s="1"/>
  <c r="H55" i="31" s="1"/>
  <c r="H39" i="31" a="1"/>
  <c r="H39" i="31" s="1"/>
  <c r="D54" i="31" s="1"/>
  <c r="H54" i="31" s="1"/>
  <c r="I73" i="31"/>
  <c r="G49" i="31" a="1"/>
  <c r="G49" i="31" s="1"/>
  <c r="C64" i="31" s="1"/>
  <c r="H47" i="31" a="1"/>
  <c r="H47" i="31" s="1"/>
  <c r="D62" i="31" s="1"/>
  <c r="I45" i="31" a="1"/>
  <c r="I45" i="31" s="1"/>
  <c r="E60" i="31" s="1"/>
  <c r="J43" i="31" a="1"/>
  <c r="J43" i="31" s="1"/>
  <c r="F58" i="31" s="1"/>
  <c r="J58" i="31" s="1"/>
  <c r="I38" i="31" a="1"/>
  <c r="I38" i="31" s="1"/>
  <c r="E53" i="31" s="1"/>
  <c r="I53" i="31" s="1"/>
  <c r="I49" i="31" a="1"/>
  <c r="I49" i="31" s="1"/>
  <c r="E64" i="31" s="1"/>
  <c r="J47" i="31" a="1"/>
  <c r="J47" i="31" s="1"/>
  <c r="F62" i="31" s="1"/>
  <c r="G41" i="31" a="1"/>
  <c r="G41" i="31" s="1"/>
  <c r="C56" i="31" s="1"/>
  <c r="G56" i="31" s="1"/>
  <c r="G48" i="31" a="1"/>
  <c r="G48" i="31" s="1"/>
  <c r="C63" i="31" s="1"/>
  <c r="H46" i="31" a="1"/>
  <c r="H46" i="31" s="1"/>
  <c r="D61" i="31" s="1"/>
  <c r="I44" i="31" a="1"/>
  <c r="I44" i="31" s="1"/>
  <c r="E59" i="31" s="1"/>
  <c r="H64" i="29"/>
  <c r="H121" i="29"/>
  <c r="H136" i="29" s="1"/>
  <c r="B88" i="29"/>
  <c r="K64" i="29"/>
  <c r="K121" i="29"/>
  <c r="K136" i="29" s="1"/>
  <c r="I49" i="29"/>
  <c r="I64" i="29" s="1"/>
  <c r="L121" i="29"/>
  <c r="L136" i="29" s="1"/>
  <c r="G50" i="29"/>
  <c r="H50" i="29"/>
  <c r="H122" i="29" s="1"/>
  <c r="G137" i="29" s="1"/>
  <c r="G109" i="29"/>
  <c r="G103" i="29"/>
  <c r="L51" i="29"/>
  <c r="L123" i="29" s="1"/>
  <c r="J138" i="29" s="1"/>
  <c r="J139" i="29"/>
  <c r="K139" i="29"/>
  <c r="A140" i="29"/>
  <c r="K51" i="29"/>
  <c r="K123" i="29" s="1"/>
  <c r="I138" i="29" s="1"/>
  <c r="M49" i="29"/>
  <c r="C180" i="29"/>
  <c r="L138" i="29"/>
  <c r="B180" i="29"/>
  <c r="B172" i="29"/>
  <c r="M57" i="29"/>
  <c r="M129" i="29" s="1"/>
  <c r="F51" i="29"/>
  <c r="I54" i="29"/>
  <c r="J54" i="29"/>
  <c r="K52" i="29"/>
  <c r="K124" i="29" s="1"/>
  <c r="H139" i="29" s="1"/>
  <c r="L52" i="29"/>
  <c r="L124" i="29" s="1"/>
  <c r="I139" i="29" s="1"/>
  <c r="B159" i="29"/>
  <c r="I65" i="29"/>
  <c r="J65" i="29"/>
  <c r="K65" i="29"/>
  <c r="L65" i="29"/>
  <c r="M56" i="29"/>
  <c r="M128" i="29" s="1"/>
  <c r="I53" i="29"/>
  <c r="N50" i="29"/>
  <c r="J52" i="29"/>
  <c r="L66" i="29" l="1"/>
  <c r="L79" i="29" s="1"/>
  <c r="G88" i="29" s="1"/>
  <c r="F138" i="29"/>
  <c r="K66" i="29"/>
  <c r="E138" i="29"/>
  <c r="J66" i="29"/>
  <c r="E66" i="29"/>
  <c r="F66" i="29"/>
  <c r="A67" i="29"/>
  <c r="I67" i="29" s="1"/>
  <c r="G67" i="29"/>
  <c r="D139" i="29"/>
  <c r="E139" i="29"/>
  <c r="N121" i="29"/>
  <c r="N136" i="29" s="1"/>
  <c r="N149" i="29" s="1"/>
  <c r="C155" i="29" s="1"/>
  <c r="D156" i="29" s="1"/>
  <c r="D171" i="29" s="1"/>
  <c r="E171" i="29" s="1"/>
  <c r="N64" i="29"/>
  <c r="H66" i="29"/>
  <c r="K138" i="29"/>
  <c r="K149" i="29" s="1"/>
  <c r="C158" i="29" s="1"/>
  <c r="J113" i="31"/>
  <c r="G100" i="31"/>
  <c r="L111" i="31"/>
  <c r="J95" i="31"/>
  <c r="H96" i="31"/>
  <c r="J112" i="31"/>
  <c r="D121" i="31" s="1"/>
  <c r="J121" i="31" s="1"/>
  <c r="L116" i="31"/>
  <c r="E110" i="31"/>
  <c r="I94" i="31"/>
  <c r="K116" i="31"/>
  <c r="G94" i="31"/>
  <c r="C110" i="31"/>
  <c r="G96" i="31"/>
  <c r="H60" i="31"/>
  <c r="O52" i="33"/>
  <c r="D76" i="33" s="1"/>
  <c r="I76" i="33" s="1"/>
  <c r="J99" i="31"/>
  <c r="K85" i="44"/>
  <c r="F123" i="44"/>
  <c r="F124" i="44" s="1"/>
  <c r="E120" i="35"/>
  <c r="E121" i="35" s="1"/>
  <c r="E131" i="35" s="1"/>
  <c r="D121" i="35"/>
  <c r="D131" i="35" s="1"/>
  <c r="E65" i="33"/>
  <c r="F65" i="33" s="1"/>
  <c r="G65" i="33" s="1"/>
  <c r="E75" i="33" s="1"/>
  <c r="J75" i="33" s="1"/>
  <c r="E66" i="33"/>
  <c r="F66" i="33" s="1"/>
  <c r="G66" i="33" s="1"/>
  <c r="E76" i="33" s="1"/>
  <c r="J76" i="33" s="1"/>
  <c r="E64" i="33"/>
  <c r="F64" i="33" s="1"/>
  <c r="G64" i="33" s="1"/>
  <c r="E74" i="33" s="1"/>
  <c r="J74" i="33" s="1"/>
  <c r="E67" i="33"/>
  <c r="F67" i="33" s="1"/>
  <c r="G67" i="33" s="1"/>
  <c r="E77" i="33" s="1"/>
  <c r="J77" i="33" s="1"/>
  <c r="O53" i="33"/>
  <c r="D77" i="33" s="1"/>
  <c r="I77" i="33" s="1"/>
  <c r="O51" i="33"/>
  <c r="D75" i="33" s="1"/>
  <c r="I75" i="33" s="1"/>
  <c r="O50" i="33"/>
  <c r="D74" i="33" s="1"/>
  <c r="I74" i="33" s="1"/>
  <c r="I59" i="31"/>
  <c r="E111" i="31"/>
  <c r="E114" i="31"/>
  <c r="E123" i="31" s="1"/>
  <c r="K123" i="31" s="1"/>
  <c r="I62" i="31"/>
  <c r="G63" i="31"/>
  <c r="C115" i="31"/>
  <c r="H99" i="31"/>
  <c r="J115" i="31"/>
  <c r="H59" i="31"/>
  <c r="D111" i="31"/>
  <c r="J59" i="31"/>
  <c r="F111" i="31"/>
  <c r="F120" i="31" s="1"/>
  <c r="L120" i="31" s="1"/>
  <c r="H63" i="31"/>
  <c r="D115" i="31"/>
  <c r="J61" i="31"/>
  <c r="F113" i="31"/>
  <c r="F122" i="31" s="1"/>
  <c r="L122" i="31" s="1"/>
  <c r="J60" i="31"/>
  <c r="F112" i="31"/>
  <c r="F121" i="31" s="1"/>
  <c r="L121" i="31" s="1"/>
  <c r="I60" i="31"/>
  <c r="E112" i="31"/>
  <c r="E121" i="31" s="1"/>
  <c r="K121" i="31" s="1"/>
  <c r="I64" i="31"/>
  <c r="E116" i="31"/>
  <c r="F115" i="31"/>
  <c r="F124" i="31" s="1"/>
  <c r="L124" i="31" s="1"/>
  <c r="J63" i="31"/>
  <c r="I99" i="31"/>
  <c r="K115" i="31"/>
  <c r="C112" i="31"/>
  <c r="C121" i="31" s="1"/>
  <c r="I121" i="31" s="1"/>
  <c r="G60" i="31"/>
  <c r="C114" i="31"/>
  <c r="C123" i="31" s="1"/>
  <c r="I123" i="31" s="1"/>
  <c r="G62" i="31"/>
  <c r="D119" i="31"/>
  <c r="J110" i="31"/>
  <c r="L113" i="31"/>
  <c r="J97" i="31"/>
  <c r="H64" i="31"/>
  <c r="D116" i="31"/>
  <c r="G97" i="31"/>
  <c r="I113" i="31"/>
  <c r="E113" i="31"/>
  <c r="I61" i="31"/>
  <c r="H61" i="31"/>
  <c r="D113" i="31"/>
  <c r="C111" i="31"/>
  <c r="G59" i="31"/>
  <c r="J111" i="31"/>
  <c r="H95" i="31"/>
  <c r="K113" i="31"/>
  <c r="I97" i="31"/>
  <c r="G99" i="31"/>
  <c r="I115" i="31"/>
  <c r="G64" i="31"/>
  <c r="C116" i="31"/>
  <c r="C125" i="31" s="1"/>
  <c r="I125" i="31" s="1"/>
  <c r="F114" i="31"/>
  <c r="F123" i="31" s="1"/>
  <c r="L123" i="31" s="1"/>
  <c r="J62" i="31"/>
  <c r="C113" i="31"/>
  <c r="C122" i="31" s="1"/>
  <c r="I122" i="31" s="1"/>
  <c r="G61" i="31"/>
  <c r="I63" i="31"/>
  <c r="E115" i="31"/>
  <c r="J94" i="31"/>
  <c r="F110" i="31"/>
  <c r="D114" i="31"/>
  <c r="D123" i="31" s="1"/>
  <c r="J123" i="31" s="1"/>
  <c r="H62" i="31"/>
  <c r="H100" i="31"/>
  <c r="J116" i="31"/>
  <c r="I111" i="31"/>
  <c r="G95" i="31"/>
  <c r="K111" i="31"/>
  <c r="I95" i="31"/>
  <c r="N122" i="29"/>
  <c r="M137" i="29" s="1"/>
  <c r="M65" i="29"/>
  <c r="I66" i="29"/>
  <c r="G140" i="29"/>
  <c r="D140" i="29"/>
  <c r="H140" i="29"/>
  <c r="I140" i="29"/>
  <c r="A141" i="29"/>
  <c r="J140" i="29"/>
  <c r="J149" i="29" s="1"/>
  <c r="C159" i="29" s="1"/>
  <c r="L149" i="29"/>
  <c r="C157" i="29" s="1"/>
  <c r="G122" i="29"/>
  <c r="F137" i="29" s="1"/>
  <c r="F65" i="29"/>
  <c r="G65" i="29"/>
  <c r="F123" i="29"/>
  <c r="D138" i="29" s="1"/>
  <c r="D66" i="29"/>
  <c r="B160" i="29"/>
  <c r="M64" i="29"/>
  <c r="M121" i="29"/>
  <c r="M136" i="29" s="1"/>
  <c r="B89" i="29"/>
  <c r="L77" i="29" l="1"/>
  <c r="C88" i="29" s="1"/>
  <c r="H67" i="29"/>
  <c r="N77" i="29"/>
  <c r="C86" i="29" s="1"/>
  <c r="D87" i="29" s="1"/>
  <c r="D102" i="29" s="1"/>
  <c r="E102" i="29" s="1"/>
  <c r="N79" i="29"/>
  <c r="G86" i="29" s="1"/>
  <c r="H87" i="29" s="1"/>
  <c r="H102" i="29" s="1"/>
  <c r="I102" i="29" s="1"/>
  <c r="J67" i="29"/>
  <c r="K67" i="29"/>
  <c r="F67" i="29"/>
  <c r="A68" i="29"/>
  <c r="D67" i="29"/>
  <c r="E67" i="29"/>
  <c r="D122" i="31"/>
  <c r="J122" i="31" s="1"/>
  <c r="E119" i="31"/>
  <c r="K110" i="31"/>
  <c r="G66" i="31"/>
  <c r="C119" i="31"/>
  <c r="I110" i="31"/>
  <c r="D125" i="31"/>
  <c r="J125" i="31" s="1"/>
  <c r="E125" i="31"/>
  <c r="K125" i="31" s="1"/>
  <c r="C124" i="31"/>
  <c r="I124" i="31" s="1"/>
  <c r="E124" i="31"/>
  <c r="K124" i="31" s="1"/>
  <c r="D120" i="31"/>
  <c r="J120" i="31" s="1"/>
  <c r="G102" i="31"/>
  <c r="C120" i="31"/>
  <c r="I120" i="31" s="1"/>
  <c r="E122" i="31"/>
  <c r="K122" i="31" s="1"/>
  <c r="D124" i="31"/>
  <c r="J124" i="31" s="1"/>
  <c r="E120" i="31"/>
  <c r="K120" i="31" s="1"/>
  <c r="L110" i="31"/>
  <c r="F119" i="31"/>
  <c r="M149" i="29"/>
  <c r="C156" i="29" s="1"/>
  <c r="D157" i="29" s="1"/>
  <c r="M79" i="29"/>
  <c r="G87" i="29" s="1"/>
  <c r="M77" i="29"/>
  <c r="C87" i="29" s="1"/>
  <c r="F141" i="29"/>
  <c r="G141" i="29"/>
  <c r="H141" i="29"/>
  <c r="I141" i="29"/>
  <c r="I149" i="29" s="1"/>
  <c r="C160" i="29" s="1"/>
  <c r="A142" i="29"/>
  <c r="B90" i="29"/>
  <c r="B161" i="29"/>
  <c r="D88" i="29" l="1"/>
  <c r="D103" i="29" s="1"/>
  <c r="E103" i="29" s="1"/>
  <c r="H88" i="29"/>
  <c r="H89" i="29" s="1"/>
  <c r="H68" i="29"/>
  <c r="D68" i="29"/>
  <c r="G68" i="29"/>
  <c r="E68" i="29"/>
  <c r="A69" i="29"/>
  <c r="F68" i="29"/>
  <c r="I68" i="29"/>
  <c r="J68" i="29"/>
  <c r="K79" i="29"/>
  <c r="G89" i="29" s="1"/>
  <c r="K77" i="29"/>
  <c r="C89" i="29" s="1"/>
  <c r="I127" i="31"/>
  <c r="B162" i="29"/>
  <c r="D158" i="29"/>
  <c r="D172" i="29"/>
  <c r="E172" i="29" s="1"/>
  <c r="B91" i="29"/>
  <c r="E142" i="29"/>
  <c r="A143" i="29"/>
  <c r="H142" i="29"/>
  <c r="H149" i="29" s="1"/>
  <c r="C161" i="29" s="1"/>
  <c r="G142" i="29"/>
  <c r="F142" i="29"/>
  <c r="D89" i="29" l="1"/>
  <c r="D104" i="29" s="1"/>
  <c r="E104" i="29" s="1"/>
  <c r="H103" i="29"/>
  <c r="I103" i="29" s="1"/>
  <c r="E69" i="29"/>
  <c r="I69" i="29"/>
  <c r="A70" i="29"/>
  <c r="D69" i="29"/>
  <c r="F69" i="29"/>
  <c r="H69" i="29"/>
  <c r="G69" i="29"/>
  <c r="J79" i="29"/>
  <c r="G90" i="29" s="1"/>
  <c r="J77" i="29"/>
  <c r="C90" i="29" s="1"/>
  <c r="H90" i="29"/>
  <c r="H104" i="29"/>
  <c r="I104" i="29" s="1"/>
  <c r="B163" i="29"/>
  <c r="B92" i="29"/>
  <c r="D143" i="29"/>
  <c r="E143" i="29"/>
  <c r="F143" i="29"/>
  <c r="G143" i="29"/>
  <c r="G149" i="29" s="1"/>
  <c r="C162" i="29" s="1"/>
  <c r="A144" i="29"/>
  <c r="D159" i="29"/>
  <c r="D173" i="29"/>
  <c r="E173" i="29" s="1"/>
  <c r="D90" i="29" l="1"/>
  <c r="A71" i="29"/>
  <c r="F70" i="29"/>
  <c r="D70" i="29"/>
  <c r="E70" i="29"/>
  <c r="H70" i="29"/>
  <c r="G70" i="29"/>
  <c r="I77" i="29"/>
  <c r="C91" i="29" s="1"/>
  <c r="I79" i="29"/>
  <c r="G91" i="29" s="1"/>
  <c r="D160" i="29"/>
  <c r="D174" i="29"/>
  <c r="E174" i="29" s="1"/>
  <c r="B164" i="29"/>
  <c r="D144" i="29"/>
  <c r="A145" i="29"/>
  <c r="E144" i="29"/>
  <c r="F144" i="29"/>
  <c r="F149" i="29" s="1"/>
  <c r="C163" i="29" s="1"/>
  <c r="H91" i="29"/>
  <c r="H105" i="29"/>
  <c r="I105" i="29" s="1"/>
  <c r="B93" i="29"/>
  <c r="D105" i="29"/>
  <c r="E105" i="29" s="1"/>
  <c r="D91" i="29"/>
  <c r="H79" i="29" l="1"/>
  <c r="G92" i="29" s="1"/>
  <c r="H77" i="29"/>
  <c r="C92" i="29" s="1"/>
  <c r="E71" i="29"/>
  <c r="G71" i="29"/>
  <c r="G77" i="29" s="1"/>
  <c r="C93" i="29" s="1"/>
  <c r="A72" i="29"/>
  <c r="F71" i="29"/>
  <c r="D71" i="29"/>
  <c r="E145" i="29"/>
  <c r="E149" i="29" s="1"/>
  <c r="C164" i="29" s="1"/>
  <c r="A146" i="29"/>
  <c r="D145" i="29"/>
  <c r="D92" i="29"/>
  <c r="D106" i="29"/>
  <c r="E106" i="29" s="1"/>
  <c r="B165" i="29"/>
  <c r="B94" i="29"/>
  <c r="D161" i="29"/>
  <c r="D175" i="29"/>
  <c r="E175" i="29" s="1"/>
  <c r="H92" i="29"/>
  <c r="H106" i="29"/>
  <c r="I106" i="29" s="1"/>
  <c r="D72" i="29" l="1"/>
  <c r="F72" i="29"/>
  <c r="F79" i="29" s="1"/>
  <c r="G94" i="29" s="1"/>
  <c r="A73" i="29"/>
  <c r="E72" i="29"/>
  <c r="E79" i="29" s="1"/>
  <c r="G79" i="29"/>
  <c r="G93" i="29" s="1"/>
  <c r="B166" i="29"/>
  <c r="C166" i="29" s="1"/>
  <c r="D162" i="29"/>
  <c r="D176" i="29"/>
  <c r="E176" i="29" s="1"/>
  <c r="H93" i="29"/>
  <c r="H107" i="29"/>
  <c r="I107" i="29" s="1"/>
  <c r="D146" i="29"/>
  <c r="D149" i="29" s="1"/>
  <c r="C165" i="29" s="1"/>
  <c r="A147" i="29"/>
  <c r="B95" i="29"/>
  <c r="D93" i="29"/>
  <c r="D107" i="29"/>
  <c r="E107" i="29" s="1"/>
  <c r="F77" i="29" l="1"/>
  <c r="C94" i="29" s="1"/>
  <c r="A74" i="29"/>
  <c r="D73" i="29"/>
  <c r="E73" i="29"/>
  <c r="E77" i="29" s="1"/>
  <c r="C95" i="29" s="1"/>
  <c r="B96" i="29"/>
  <c r="G95" i="29"/>
  <c r="H94" i="29"/>
  <c r="H108" i="29"/>
  <c r="I108" i="29" s="1"/>
  <c r="D94" i="29"/>
  <c r="D108" i="29"/>
  <c r="E108" i="29" s="1"/>
  <c r="D177" i="29"/>
  <c r="E177" i="29" s="1"/>
  <c r="D163" i="29"/>
  <c r="A75" i="29" l="1"/>
  <c r="D74" i="29"/>
  <c r="D164" i="29"/>
  <c r="D178" i="29"/>
  <c r="E178" i="29" s="1"/>
  <c r="D95" i="29"/>
  <c r="D109" i="29"/>
  <c r="E109" i="29" s="1"/>
  <c r="H95" i="29"/>
  <c r="H109" i="29"/>
  <c r="I109" i="29" s="1"/>
  <c r="B97" i="29"/>
  <c r="D77" i="29" l="1"/>
  <c r="C96" i="29" s="1"/>
  <c r="D79" i="29"/>
  <c r="G96" i="29" s="1"/>
  <c r="C97" i="29"/>
  <c r="G97" i="29"/>
  <c r="H96" i="29"/>
  <c r="H110" i="29"/>
  <c r="I110" i="29" s="1"/>
  <c r="D96" i="29"/>
  <c r="D110" i="29"/>
  <c r="E110" i="29" s="1"/>
  <c r="D165" i="29"/>
  <c r="D179" i="29"/>
  <c r="E179" i="29" s="1"/>
  <c r="D166" i="29" l="1"/>
  <c r="D181" i="29" s="1"/>
  <c r="E181" i="29" s="1"/>
  <c r="D180" i="29"/>
  <c r="E180" i="29" s="1"/>
  <c r="D97" i="29"/>
  <c r="D112" i="29" s="1"/>
  <c r="E112" i="29" s="1"/>
  <c r="D111" i="29"/>
  <c r="E111" i="29" s="1"/>
  <c r="H97" i="29"/>
  <c r="H112" i="29" s="1"/>
  <c r="I112" i="29" s="1"/>
  <c r="H111" i="29"/>
  <c r="I111" i="29" s="1"/>
  <c r="E183" i="29" l="1"/>
  <c r="E187" i="29" s="1"/>
  <c r="I114" i="29"/>
  <c r="E189" i="29" s="1"/>
  <c r="E114" i="29"/>
  <c r="E191" i="2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<sst xmlns="http://schemas.openxmlformats.org/spreadsheetml/2006/main" count="1535" uniqueCount="509">
  <si>
    <t>c)</t>
  </si>
  <si>
    <t>b)</t>
  </si>
  <si>
    <t>a)</t>
  </si>
  <si>
    <t>N/A</t>
  </si>
  <si>
    <t>Table 1.3</t>
  </si>
  <si>
    <t>Table 1.2</t>
  </si>
  <si>
    <t>Table 1.1</t>
  </si>
  <si>
    <t>Source:</t>
  </si>
  <si>
    <t>Total</t>
  </si>
  <si>
    <t>Notes:</t>
  </si>
  <si>
    <t>Table 1.4</t>
  </si>
  <si>
    <t>Credibility</t>
  </si>
  <si>
    <t>Table 1.5</t>
  </si>
  <si>
    <t>(ii)</t>
  </si>
  <si>
    <t>(i)</t>
  </si>
  <si>
    <t>Incurred Claims</t>
  </si>
  <si>
    <t>d)</t>
  </si>
  <si>
    <t>Claims</t>
  </si>
  <si>
    <t>Premium</t>
  </si>
  <si>
    <t>Profit Margin</t>
  </si>
  <si>
    <t>Compare the IBNP results between the two methods.</t>
  </si>
  <si>
    <t xml:space="preserve">Calculate the revised IBNP for 20X2 incurred claims excluding the affected months. </t>
  </si>
  <si>
    <t>OnTime insurance changed its claims payment adjudicating vendor at the beginning of 20X2 and noticed there was a delay in January 20X2 payments which were caught up the following month.</t>
  </si>
  <si>
    <t>Calculate the incurred but not paid (IBNP) reserve for 20X2 incurred claims based on the developmental factors calculated above.</t>
  </si>
  <si>
    <t>Calculate the development factors for each lag period based on the July 20X1 to June 20X2 claims payment information using a straight average and a straight average excluding high/low.</t>
  </si>
  <si>
    <t>OnTime insurance summarized its claim payment history for the past 18 months and needs to calculate a reserve estimate for 20X2.</t>
  </si>
  <si>
    <t>Dec 20X2</t>
  </si>
  <si>
    <t>Nov 20X2</t>
  </si>
  <si>
    <t>Oct 20X2</t>
  </si>
  <si>
    <t>Sep 20X2</t>
  </si>
  <si>
    <t>Aug 20X2</t>
  </si>
  <si>
    <t>Jul 20X2</t>
  </si>
  <si>
    <t>Jun 20X2</t>
  </si>
  <si>
    <t>May 20X2</t>
  </si>
  <si>
    <t>Apr 20X2</t>
  </si>
  <si>
    <t>Mar 20X2</t>
  </si>
  <si>
    <t>Feb 20X2</t>
  </si>
  <si>
    <t>Jan 20X2</t>
  </si>
  <si>
    <t>Dec 20X1</t>
  </si>
  <si>
    <t>Nov 20X1</t>
  </si>
  <si>
    <t>Oct 20X1</t>
  </si>
  <si>
    <t>Sep 20X1</t>
  </si>
  <si>
    <t>Aug 20X1</t>
  </si>
  <si>
    <t>Jul 20X1</t>
  </si>
  <si>
    <t>Month of Incurral</t>
  </si>
  <si>
    <t>Claims by Payment Month</t>
  </si>
  <si>
    <t>Group Insurance, 8th Ed, Chapter 39</t>
  </si>
  <si>
    <t>The difference between the IBNP from this question and the average excluding high/low from question b) is calculated</t>
  </si>
  <si>
    <t>Difference in IBNP</t>
  </si>
  <si>
    <t>IBNP - Excluding High/Low</t>
  </si>
  <si>
    <t>IBNP - Excluding Jan/Feb 20X2</t>
  </si>
  <si>
    <t>The incurred claims and IBNP are calculated the same as question a)</t>
  </si>
  <si>
    <t>The incurred claims and IBNP factors are calculated the same as question a)</t>
  </si>
  <si>
    <t>IBNP</t>
  </si>
  <si>
    <t>Inccural Month</t>
  </si>
  <si>
    <t>Incurred</t>
  </si>
  <si>
    <t>Paid</t>
  </si>
  <si>
    <t>The completion factors are calculated the same as question a)</t>
  </si>
  <si>
    <t>Factors</t>
  </si>
  <si>
    <t>Lag</t>
  </si>
  <si>
    <t>Completion</t>
  </si>
  <si>
    <t>Developmental</t>
  </si>
  <si>
    <t>Average</t>
  </si>
  <si>
    <t>The average development factors are calculated excluding the Jan/Feb 20X2 paid factors</t>
  </si>
  <si>
    <t>The development factors are transposed as in question a)</t>
  </si>
  <si>
    <t>The development factors are calculated the same as in question a) but the factors for paid month Jan/Feb 20X2 are removed per the question</t>
  </si>
  <si>
    <t>The difference between the incurred claims and the paid claims are the IBNP</t>
  </si>
  <si>
    <t>The incurred claims are calculated as the paid claims divided by the completion factor for the specific lag</t>
  </si>
  <si>
    <t>The claims paid through December 20X2 are summed for each incurral month in 20X2</t>
  </si>
  <si>
    <t>The completion factor at lag 11 was assumed to be 1.0 and all claims would be paid within 12 months</t>
  </si>
  <si>
    <t>The completion factors are calculated as the ratio of the n+1 completion factor to the n+1 development factor</t>
  </si>
  <si>
    <t>The completion factors by lag were calculated under both average development factor methods from question a)</t>
  </si>
  <si>
    <t>The average development factors were transposed to each lag period</t>
  </si>
  <si>
    <t>Average - Excluding High/Low</t>
  </si>
  <si>
    <t>The average excluding high/low development factors by lag were calculated as the arithmetic average excluding the highest and lowest value of each lag</t>
  </si>
  <si>
    <t>The average development factors by lag were calculated as the arithmetic average</t>
  </si>
  <si>
    <t>The highest development factor of each lag were highlighted green and the lowest red</t>
  </si>
  <si>
    <t>The development factors are transposed to be on the same lag basis for easy calculation</t>
  </si>
  <si>
    <t>The development factors are calculated as the ratio of the cumulative claim payments for each incurral month</t>
  </si>
  <si>
    <t>The cumulative claim payments are calculated from Table 1.1</t>
  </si>
  <si>
    <t>Calculate the revised IBNP with a weight of 75%, 50%, 25% on the development method in the 3 most recent months.</t>
  </si>
  <si>
    <t>For earlier months and the Prescription Drug claims Health4You decides to use exclusively the development method.</t>
  </si>
  <si>
    <t>For the most recent 3 months of the IBNP Health4You decides to use a blended approach between the development method and the projection method to calculate the IBNP for the Inpatient, Outpatient, and Professional/Other claims.</t>
  </si>
  <si>
    <t>Calculate the IBNP using the projection method using a rolling 6-month average with the most recent complete months, assuming the same claim payment rate shown from the historical development factors.</t>
  </si>
  <si>
    <t>Health4You has some concern of the results of the reserve estimates in the shorter term lags resulting from the development method.</t>
  </si>
  <si>
    <t>Calculate the incurred but not paid (IBNP) claims for July 20X1 through June 20X2 using the development method.</t>
  </si>
  <si>
    <t>Health4You's experience has shown its claim payment patterns vary by service category and has established development factors by service categories which it uses for reserving.</t>
  </si>
  <si>
    <t xml:space="preserve">Health4You insurance summarized its paid claims from 20X1 paid through June 20X2. </t>
  </si>
  <si>
    <t>Lag 12</t>
  </si>
  <si>
    <t>Lag 11</t>
  </si>
  <si>
    <t>Lag 10</t>
  </si>
  <si>
    <t>Lag 9</t>
  </si>
  <si>
    <t>Lag 8</t>
  </si>
  <si>
    <t>Lag 7</t>
  </si>
  <si>
    <t>Lag 6</t>
  </si>
  <si>
    <t>Jun 20X1</t>
  </si>
  <si>
    <t>Lag 5</t>
  </si>
  <si>
    <t>May 20X1</t>
  </si>
  <si>
    <t>Lag 4</t>
  </si>
  <si>
    <t>Apr 20X1</t>
  </si>
  <si>
    <t>Lag 3</t>
  </si>
  <si>
    <t>Mar 20X1</t>
  </si>
  <si>
    <t>Lag 2</t>
  </si>
  <si>
    <t>Feb 20X1</t>
  </si>
  <si>
    <t>Lag 1</t>
  </si>
  <si>
    <t>Jan 20X1</t>
  </si>
  <si>
    <t>Prescription Drugs</t>
  </si>
  <si>
    <t>Professional/Other</t>
  </si>
  <si>
    <t>Outpatient</t>
  </si>
  <si>
    <t>Inpatient</t>
  </si>
  <si>
    <t>Payment Lag</t>
  </si>
  <si>
    <t>Enrollment</t>
  </si>
  <si>
    <t>Month</t>
  </si>
  <si>
    <t>Incurred Month</t>
  </si>
  <si>
    <t>Annual Trend Assumptions</t>
  </si>
  <si>
    <t>Average Developmental Factors</t>
  </si>
  <si>
    <t>Paid Claims - Paid through June 20X2</t>
  </si>
  <si>
    <t>The final IBNP is the difference in the blended incurred claims and the paid claims.</t>
  </si>
  <si>
    <t>Total Blended IBNP</t>
  </si>
  <si>
    <t>The prescription drugs use exclusively the development factor method per the question.</t>
  </si>
  <si>
    <t>with the credibility % given in the question.</t>
  </si>
  <si>
    <t>The incurred claims for the last three months are blended between the development factor approach and projection approach</t>
  </si>
  <si>
    <t>Incurred Claims - Combined</t>
  </si>
  <si>
    <t>The incurred claims calculated for 20X2 are pulled from questions a) and b)</t>
  </si>
  <si>
    <t>Incurred Claims - Projection</t>
  </si>
  <si>
    <t>Incurred Claims - Development</t>
  </si>
  <si>
    <t>The IBNP is calculated as the same as question a)</t>
  </si>
  <si>
    <t>Total IBNP</t>
  </si>
  <si>
    <t>Nine months of trend is applied from Table 1.5 for the difference in mid-point of 6-month average and the incurred month</t>
  </si>
  <si>
    <t>The incurred claims are projected from the average PMPM claim amount projected to the incurred month.</t>
  </si>
  <si>
    <t>month in the first half of 20X2</t>
  </si>
  <si>
    <t>The average 6-month incurred claims is calculated for each incurred month in the second half of 20X1 which will be used to project to a corresponding</t>
  </si>
  <si>
    <t>December 20X1 is the most recent complete month and will be used for the projection of the incurred claims in June 20X2</t>
  </si>
  <si>
    <t>from 20X1 are assumed to be complete</t>
  </si>
  <si>
    <t>The longest claim payment rate is 6 months for Inpatient claims according to the development factors in table 1.4 so all claims</t>
  </si>
  <si>
    <t>Total Incurred Claims PMPM - 6 month average</t>
  </si>
  <si>
    <t>Paid Claims</t>
  </si>
  <si>
    <t>The total IBNP is summed across all incurred months and service categories</t>
  </si>
  <si>
    <t>The IBNP is the difference in the incurred claims and the paid claims</t>
  </si>
  <si>
    <t>The incurred claims are calculated as the paid claims divided by the corresponding development factor</t>
  </si>
  <si>
    <t>The development factors by service category are given in Table 1.4 and are matched against the corresponding incurred month</t>
  </si>
  <si>
    <t>The paid claims are given in Table 1.1 by service category</t>
  </si>
  <si>
    <t>Development Factor</t>
  </si>
  <si>
    <t>For each method, use as many credible experience months as possible, assuming all claims are paid within 3 months.</t>
  </si>
  <si>
    <t>- Projection method</t>
  </si>
  <si>
    <t>(iii)</t>
  </si>
  <si>
    <t>- Development method (straight average approach)</t>
  </si>
  <si>
    <t xml:space="preserve"> - Loss ratio method</t>
  </si>
  <si>
    <t>Calculate the incurred but not paid (IBNP) claims at the end of each quarter of 20X1 using the following reserving techniques:</t>
  </si>
  <si>
    <t xml:space="preserve">QuickComplete Insurance offered a new insurance product beginning in 20X1 and is evaluating its reserving methods. </t>
  </si>
  <si>
    <t>Risk Margin</t>
  </si>
  <si>
    <t>Administrative Expense</t>
  </si>
  <si>
    <t>Member Cost Sharing</t>
  </si>
  <si>
    <t>Allowed Claims</t>
  </si>
  <si>
    <t>Total Premium</t>
  </si>
  <si>
    <t>Average Developmental Factors - Outpatient</t>
  </si>
  <si>
    <t>20X1 Enrollment</t>
  </si>
  <si>
    <t>20X1 Pricing Assumptions (PMPM)</t>
  </si>
  <si>
    <t>Q4 20X1</t>
  </si>
  <si>
    <t>Q3 20X1</t>
  </si>
  <si>
    <t>The most favorable methods were highlighted in each quarter</t>
  </si>
  <si>
    <t>Q2 20X1</t>
  </si>
  <si>
    <t>The absolute difference of the IBNP compared to the actual was compared for each method in each quarter</t>
  </si>
  <si>
    <t>Q1 20X1</t>
  </si>
  <si>
    <t>Projection</t>
  </si>
  <si>
    <t>Development</t>
  </si>
  <si>
    <t>Loss Ratio</t>
  </si>
  <si>
    <t>Actual</t>
  </si>
  <si>
    <t>Quarter</t>
  </si>
  <si>
    <t>IBNP Difference %</t>
  </si>
  <si>
    <t>Comparison</t>
  </si>
  <si>
    <t>No trend was assumed as none was given in the question</t>
  </si>
  <si>
    <t>The projected paid claims PMPM are calculated as the average rolling paid claims average from the first month of the quarter and all prior months</t>
  </si>
  <si>
    <t>The enrollment and paid claims are summarized for each quarter</t>
  </si>
  <si>
    <t>Claims PMPM</t>
  </si>
  <si>
    <t>Projected Paid</t>
  </si>
  <si>
    <t>The paid claims PMPM were calculated for each month with full runout</t>
  </si>
  <si>
    <t>Paid Claims PMPM</t>
  </si>
  <si>
    <t>Paid claims PMPM</t>
  </si>
  <si>
    <t>Projection method</t>
  </si>
  <si>
    <t>The paid claims for each lag period are summarized and gross into incurred claims with the quarterly development factors</t>
  </si>
  <si>
    <t>as these are the only complete months at the end of each quarter.</t>
  </si>
  <si>
    <t>The average development lags are calculated using the first month of each quarter and each prior month</t>
  </si>
  <si>
    <t>Development Factors</t>
  </si>
  <si>
    <t>The development factors for each incurred month for lags 1, 2, and 3</t>
  </si>
  <si>
    <t>Lag Period</t>
  </si>
  <si>
    <t>Development method</t>
  </si>
  <si>
    <t>The IBNP is the difference in the incurred claims less the paid claims in each quarter.</t>
  </si>
  <si>
    <t>The total quarterly premium is calculated from the enrollment times the total premium in Table 1.1</t>
  </si>
  <si>
    <t>The enrollment and paid claims are calculated for incurred and paid claims in each quarter since all prior quarter claims are assumed to be fully paid out</t>
  </si>
  <si>
    <t>The loss ratio is calculated from the pricing terms given in Table 1.1 with the ratio of (allowed claims - member cost sharing) / total premium</t>
  </si>
  <si>
    <t>Paid Claims Loss Ratio</t>
  </si>
  <si>
    <t>Loss ratio method</t>
  </si>
  <si>
    <t>Compare the DuPont formula financial metrics for CommunityCare if the acquisition goes through, assuming no other changes to the financials before and after the acquisition.</t>
  </si>
  <si>
    <t>NeighborCare's return on equity is the same as CommunityCare's.</t>
  </si>
  <si>
    <t>NeighborCare's profit margin is 2% higher than CommunityCare's.</t>
  </si>
  <si>
    <t>NeighborCare's net asset turnover ratio is 50% of CommunityCare's.</t>
  </si>
  <si>
    <t>NeighborCare's revenue is 20% of CommunityCare's.</t>
  </si>
  <si>
    <t>CommunityCare knows the following about NeighborCare's financials:</t>
  </si>
  <si>
    <t>CommunityCare is evaluating the financial impact of acquiring a smaller provider system, NeighborCare.</t>
  </si>
  <si>
    <t>Explain how each of the components of the DuPont formula calculated in question a) relate to each other.</t>
  </si>
  <si>
    <t>Return on Equity</t>
  </si>
  <si>
    <t>(v)</t>
  </si>
  <si>
    <t>Total Leverage Ratio</t>
  </si>
  <si>
    <t>(iv)</t>
  </si>
  <si>
    <t>Return on Assets</t>
  </si>
  <si>
    <t>Total Asset Turnover</t>
  </si>
  <si>
    <t>Net Profit Margin</t>
  </si>
  <si>
    <t>Calculate the following components of the DuPont formula between CommunityCare and Traditional Health based on their 20X1 financial information:</t>
  </si>
  <si>
    <t>Traditional Health is a health insurance company while CommunityCare is a managed care organization (MCO).</t>
  </si>
  <si>
    <t>Total Liabilities and Equity</t>
  </si>
  <si>
    <t>Total Equity</t>
  </si>
  <si>
    <t>Retained Earnings</t>
  </si>
  <si>
    <t>Common Stock</t>
  </si>
  <si>
    <t>Equity</t>
  </si>
  <si>
    <t>Total Liabilities</t>
  </si>
  <si>
    <t>Other Liabilities</t>
  </si>
  <si>
    <t>Long-Term Debt</t>
  </si>
  <si>
    <t>Net Income (Loss)</t>
  </si>
  <si>
    <t>Total Current Liabilities</t>
  </si>
  <si>
    <t>Accounts Payable &amp; Accrued Expenses</t>
  </si>
  <si>
    <t>Income Tax Expense (Benefit)</t>
  </si>
  <si>
    <t>Unearned Premium Revenue</t>
  </si>
  <si>
    <t xml:space="preserve">Claims Payable and IBNR </t>
  </si>
  <si>
    <t>Pre-tax Income (Loss)</t>
  </si>
  <si>
    <t>Current Liabilities</t>
  </si>
  <si>
    <t>Liabilities and Equity</t>
  </si>
  <si>
    <t>Total Non-Operating</t>
  </si>
  <si>
    <t>Interest Expense</t>
  </si>
  <si>
    <t>Total Assets</t>
  </si>
  <si>
    <t>Investment Income</t>
  </si>
  <si>
    <t>Other</t>
  </si>
  <si>
    <t>Operating Income (Loss)</t>
  </si>
  <si>
    <t>Property and equipment, net</t>
  </si>
  <si>
    <t>Investments</t>
  </si>
  <si>
    <t>Total Operating Expenses</t>
  </si>
  <si>
    <t>General &amp; Administrative</t>
  </si>
  <si>
    <t>Total Current Assets</t>
  </si>
  <si>
    <t>Care Management Programs</t>
  </si>
  <si>
    <t>Capitation Receivable</t>
  </si>
  <si>
    <t>Medical Claims</t>
  </si>
  <si>
    <t>Reinsurance Receivable</t>
  </si>
  <si>
    <t>Expenses</t>
  </si>
  <si>
    <t>Receivables</t>
  </si>
  <si>
    <t>Total Revenue</t>
  </si>
  <si>
    <t>Short Term Investments</t>
  </si>
  <si>
    <t>Other Revenue</t>
  </si>
  <si>
    <t>Cash and Cash Equivalents</t>
  </si>
  <si>
    <t>Reinsurance Recoveries</t>
  </si>
  <si>
    <t>Current Assets</t>
  </si>
  <si>
    <t>Premium Revenue</t>
  </si>
  <si>
    <t>Assets</t>
  </si>
  <si>
    <t>Revenue</t>
  </si>
  <si>
    <t>Traditional Health</t>
  </si>
  <si>
    <t>CommunityCare</t>
  </si>
  <si>
    <t>Balance Sheet in $1,000's (20X1)</t>
  </si>
  <si>
    <t>Income Statement in $1,000's (20X1)</t>
  </si>
  <si>
    <t>Group Insurance, 8th Ed, Chapter 43</t>
  </si>
  <si>
    <t>Neighbor
Care</t>
  </si>
  <si>
    <t>The return on equity is calculated as the total revenue divided by total assets</t>
  </si>
  <si>
    <t>The total equity is taken from the Balance Sheet given in Table 1.2</t>
  </si>
  <si>
    <t>The net income is the same as above</t>
  </si>
  <si>
    <t>Net Income</t>
  </si>
  <si>
    <t>The total leverage ratio is calculated as the total revenue divided by total assets</t>
  </si>
  <si>
    <t>The total assets is taken from the Balance Sheet given in Table 1.2</t>
  </si>
  <si>
    <t>The total assets is the same as above</t>
  </si>
  <si>
    <t>The return on assets is calculated as the net income divided by total assets</t>
  </si>
  <si>
    <t>The total revenue is the same as above</t>
  </si>
  <si>
    <t>NeighborCare's total asset turnover was given as 50% of CommunityCare's in the question</t>
  </si>
  <si>
    <t>The total assets is calculated as the total revenue divided by the total asset turnover</t>
  </si>
  <si>
    <t>NeighborCare's net profit margin was given as 2% higher than CommunityCare's in the question</t>
  </si>
  <si>
    <t>NeighborCare's revenue was given as 20% of CommunityCare's in the question</t>
  </si>
  <si>
    <t>The net income is calculated as total revenue times net profit margin</t>
  </si>
  <si>
    <t>The total amounts after the acquisition are calculated as the sum of CommunityCare and NeighborCare's financials assuming no other changes.</t>
  </si>
  <si>
    <t>The CommunityCare financial information is given in Tables 1.1 and 1.2</t>
  </si>
  <si>
    <t>The return on assets times the total leverage ratio can be multiplied together to calculate the return on equity</t>
  </si>
  <si>
    <t>The net profit margin and total asset turnover can be multiplied together to calculate the return on assets</t>
  </si>
  <si>
    <t>The total asset turnover is calculated as the total revenue divided by total assets</t>
  </si>
  <si>
    <t>The net profit margin is calculated as the net income divided by the total revenue</t>
  </si>
  <si>
    <t>The total revenue is taken from the Income Statement given in Table 1.1</t>
  </si>
  <si>
    <t>The net income is taken from the Income Statement given in Table 1.1</t>
  </si>
  <si>
    <t>Premium Tax</t>
  </si>
  <si>
    <t>(viii)</t>
  </si>
  <si>
    <t>(vii)</t>
  </si>
  <si>
    <t>Commissions</t>
  </si>
  <si>
    <t>(vi)</t>
  </si>
  <si>
    <t>Reinsurance</t>
  </si>
  <si>
    <t>Claims - Renewal</t>
  </si>
  <si>
    <t>Claims - First Year</t>
  </si>
  <si>
    <t>Fee Income</t>
  </si>
  <si>
    <t>Calculate the following sources of earnings for the current year using the Appointed Actuary reporting format:</t>
  </si>
  <si>
    <t>Hybrid Health wants to understand the sources of earnings among its business from its income statement.</t>
  </si>
  <si>
    <t>Claims Reserves</t>
  </si>
  <si>
    <t>Net Income Before Tax</t>
  </si>
  <si>
    <t xml:space="preserve">Premium </t>
  </si>
  <si>
    <t>Expected Margins</t>
  </si>
  <si>
    <t>Renewal</t>
  </si>
  <si>
    <t>First Year</t>
  </si>
  <si>
    <t>Fully Insured</t>
  </si>
  <si>
    <t>Interest Credits</t>
  </si>
  <si>
    <t>Investment Income on Deposits</t>
  </si>
  <si>
    <t>Required Interest</t>
  </si>
  <si>
    <t>ASO</t>
  </si>
  <si>
    <t>Premiums</t>
  </si>
  <si>
    <t>Net Risk and Profit</t>
  </si>
  <si>
    <t>Business Line Experience</t>
  </si>
  <si>
    <t>Income Statement</t>
  </si>
  <si>
    <t>Pricing Assumptions (% of Premium)</t>
  </si>
  <si>
    <t>CIA Educational Note - Source of Earnings Calculations - Group Life and Health, October 2010</t>
  </si>
  <si>
    <t>The income statement net income is the sum of the expected profits and the experience gains</t>
  </si>
  <si>
    <t>less the income statement premium tax less the expected profits on premium tax</t>
  </si>
  <si>
    <t xml:space="preserve">The expected profits for premium tax is calculated as the premium revenue times the premium tax pricing assumption (Table 1.1) </t>
  </si>
  <si>
    <t>times the expected margin on premium tax (Table 1.2)</t>
  </si>
  <si>
    <t>less the expenses from the fully insured business less the claims reserves times the required interest less the expected profits on expenses</t>
  </si>
  <si>
    <t xml:space="preserve">The expected profits for expenses is calculated as the premium revenue times the expenses pricing assumption (Table 1.1) </t>
  </si>
  <si>
    <t>times the expected margin on expenses (Table 1.2)</t>
  </si>
  <si>
    <t xml:space="preserve">The expected profits for expenses is calculated as the premium revenue times the expense pricing assumption (Table 1.1) </t>
  </si>
  <si>
    <t>less the income statement commissions less the expected profits on commissions</t>
  </si>
  <si>
    <t xml:space="preserve">The expected profits for commissions is calculated as the premium revenue times the commission pricing assumption (Table 1.1) </t>
  </si>
  <si>
    <t>times the expected margin on commissions (Table 1.2)</t>
  </si>
  <si>
    <t>There was no reinsurance costs reported in the financial statement</t>
  </si>
  <si>
    <t>The expected profits and experience gains for claims for renewal policies is calculated using the same approach as the first year policies above</t>
  </si>
  <si>
    <t>The experience gains for claims for first year policies is calculated as margin calculated from the first year policies less the expected profits for first year policies</t>
  </si>
  <si>
    <t>less premium times the sum of the commissions, expenses, and premium tax pricing assumptions from Table 1.1</t>
  </si>
  <si>
    <t>The actual margin from first year policies is calculated from Table 1.4 as premium less claims and claims reserves plus premium times required interest</t>
  </si>
  <si>
    <t>The expected profits for claims for first year policies is calculated as the revenue for first year policies (Table 1.4) times the net risk and profit (Table 1.1)</t>
  </si>
  <si>
    <t>The experience gains for fee income is calculated as margin calculated from the ASO business  less the expected profits for fee income</t>
  </si>
  <si>
    <t>The margin from the ASO business is calculated from Table 1.4  as the fee income less expenses plus investment income on deposits less interest credits</t>
  </si>
  <si>
    <t>The expected profits for fee income is calculated as the fee income times the expected margin on fee income (Table 1.2)</t>
  </si>
  <si>
    <t>The experience gains for investment income is calculated as the difference in the investment income less the expected profits on investment income</t>
  </si>
  <si>
    <t>The expected profits for investment income is calculated as the mean liabilities time the difference in the investment income expected margin (Table 1.2) and the required interest (Table 1.1)</t>
  </si>
  <si>
    <t>Experience Gains</t>
  </si>
  <si>
    <t>Expected Profits</t>
  </si>
  <si>
    <t>The amounts from the income statement are given in Table 1.3 with additional details by business line in Table 1.4</t>
  </si>
  <si>
    <t>The Appointed Actuary report is a three-column summary showing income statement, expected profits, and experience gains</t>
  </si>
  <si>
    <t>Calculate TruNorth's investment income tax amount for the current year.</t>
  </si>
  <si>
    <t>TruNorth does not have any prior life investment losses carried forward and 50% of the amounts reported to policyholders are taxable income.</t>
  </si>
  <si>
    <t>TruNorth Insurance Company, a Canadian life insurance company, is calculating its investment income tax amount for the current tax year.</t>
  </si>
  <si>
    <t>Dividends paid to policyholders</t>
  </si>
  <si>
    <t>Average experience rating refund reserve</t>
  </si>
  <si>
    <t>Average Interest Rate</t>
  </si>
  <si>
    <t>Average life reserves</t>
  </si>
  <si>
    <t>Government of Canada Bond Information</t>
  </si>
  <si>
    <t>TruNorth Financial Information</t>
  </si>
  <si>
    <t>Canadian Insurance Taxation, 4th Ed, Chapter 9</t>
  </si>
  <si>
    <t>Canadian life insurance companies are subject to a 15% tax on the taxable Canadian life investment income</t>
  </si>
  <si>
    <t>Investment Income Tax</t>
  </si>
  <si>
    <t>The taxable Canadian life investment income accounts for the reduction of any investment loss carry forward</t>
  </si>
  <si>
    <t>Taxable Canadian life investment income</t>
  </si>
  <si>
    <t>There were no prior year investment losses carried over as given in the question</t>
  </si>
  <si>
    <t>Canadian life Investment loss carry forward</t>
  </si>
  <si>
    <t>The investment income/loss is calculated as the investment income, plus experience rating refund reserve adjustment, less amount reported to policyholder</t>
  </si>
  <si>
    <t>Canadian life investment income or loss for the year</t>
  </si>
  <si>
    <t>Investment income is reduced by the amount reported to policyholders as taxable income given in the question</t>
  </si>
  <si>
    <t>Amounts reported to policyholders as includable in income of the policyholder</t>
  </si>
  <si>
    <t>It is calculated as the average experience rating refund times the same Government of Canada yield as above, less any reduction for changes in the experience rating refund reserve</t>
  </si>
  <si>
    <t>The experience rating refund reserve adjustment is to incorporate the accruing to experience rating refund and give credit to withdrawals.</t>
  </si>
  <si>
    <t>Experience Rating Refund Reserve Adjustment</t>
  </si>
  <si>
    <t>The 55% adjustment recognizes the expenses and profits of the insurers that related to gross investment revenue</t>
  </si>
  <si>
    <t xml:space="preserve">The life investment income is calculated as the average life reserves times the average interest rate on specific government of Canada bonds </t>
  </si>
  <si>
    <t>Life Investment Income</t>
  </si>
  <si>
    <t>If the end of year CSR is a above the retention target, any excess is paid out as a refund</t>
  </si>
  <si>
    <t>Refund</t>
  </si>
  <si>
    <t>The end of year CSR is the prior period CSR + (premiums earned and investment credits) - (claims incurred and risk and retention charge)</t>
  </si>
  <si>
    <t>End of Year CSR</t>
  </si>
  <si>
    <t>The risk and retention charge is given in the question and applies as a retention against premium</t>
  </si>
  <si>
    <t>Risk and Retention Charge</t>
  </si>
  <si>
    <t>Claims incurred for the year are given in Table 1.1</t>
  </si>
  <si>
    <t>Claims Incurred</t>
  </si>
  <si>
    <t>Active Insurance would accumulate interest credits based on the interest rate and the CSR held for the year</t>
  </si>
  <si>
    <t>Premiums for the year are given in Table 1.1</t>
  </si>
  <si>
    <t>Premiums Earned</t>
  </si>
  <si>
    <t>The prior period CSR Is calculated as the end of year CSR from the prior year, less any refund paid out</t>
  </si>
  <si>
    <t>Prior Period CSR</t>
  </si>
  <si>
    <t>CSR Minimum</t>
  </si>
  <si>
    <t>The interest rate, risk and retention charge, and CSR minimum are established in the arrangement as given in the question</t>
  </si>
  <si>
    <t>Interest Rate</t>
  </si>
  <si>
    <t>Calculate the refund (if any) Active Insurance would receive at the end of each year.</t>
  </si>
  <si>
    <t>- 10% risk and retention charge</t>
  </si>
  <si>
    <t>- 2% interest on contractual stabilization reserves (CSR)</t>
  </si>
  <si>
    <t>- $100,000 retention target</t>
  </si>
  <si>
    <t>The arrangement consists of the following contractual terms:</t>
  </si>
  <si>
    <t>Active Insurance has an arrangement with a large regional employer to administer its self funded health insurance plan.</t>
  </si>
  <si>
    <t>20X4</t>
  </si>
  <si>
    <t>20X3</t>
  </si>
  <si>
    <t>20X2</t>
  </si>
  <si>
    <t>20X1</t>
  </si>
  <si>
    <t>Premium and Claims Experience</t>
  </si>
  <si>
    <t>Compare the resulting IBNP for 20X2 with the result calculated on a total dollar basis.</t>
  </si>
  <si>
    <t>Calculate the IBNP for 20X2 using the same methodologies, but on a per member per month (PMPM) basis.</t>
  </si>
  <si>
    <t>Sum of Digits</t>
  </si>
  <si>
    <t>Harmonic Mean</t>
  </si>
  <si>
    <t>Removing High Low</t>
  </si>
  <si>
    <t>Compare the IBNP on a total dollar basis for 20X2 using each of the following development factor methodologies to ReserveHealth's historical methodology.</t>
  </si>
  <si>
    <t>ReserveHealth plan historically uses a simple averaging of the development factors calculated from each month of the prior year, but considering alternative development factor weighting methodologies.</t>
  </si>
  <si>
    <t>ReserveHealth insurance plan is evaluating its incurred and not paid (IBNP) for 20X2.</t>
  </si>
  <si>
    <t>Member Months</t>
  </si>
  <si>
    <t>Lag Month</t>
  </si>
  <si>
    <t>Membership</t>
  </si>
  <si>
    <t>If this assumption is not made, the two methods may result in different IBNP estimates.</t>
  </si>
  <si>
    <t>Difference</t>
  </si>
  <si>
    <t>Although the membership is changing, the paid claims are assumed to be proportionally increasing with the change in membership.</t>
  </si>
  <si>
    <t>Total Dollar Basis</t>
  </si>
  <si>
    <t>The total IBNP is then compared to the result from question a)</t>
  </si>
  <si>
    <t>Total PMPM Basis</t>
  </si>
  <si>
    <t>The IBNP is then grossed up to a total dollar basis by multiplying the IBNP PMPM times the member months from Table 1.3</t>
  </si>
  <si>
    <t>IBNP Total $</t>
  </si>
  <si>
    <t>to calculate incurred claims and IBNP on a PMPM basis</t>
  </si>
  <si>
    <t xml:space="preserve">The incurred claims and IBNP are calculated the same as question a), but are applied to the paid claims PMPM </t>
  </si>
  <si>
    <t>The completion factors are assumed to be the same as those calculated in question a)</t>
  </si>
  <si>
    <t>The paid claims are first converted to a PMPM basis from the information in Table 1.2 and Table 1.3</t>
  </si>
  <si>
    <t>IBNP PMPM</t>
  </si>
  <si>
    <t>Incurred Claims PMPM</t>
  </si>
  <si>
    <t>The total IBNP across all months under each of the three alternative methodologies are compared against the simple average method</t>
  </si>
  <si>
    <t>The IBNP is calculated as the difference between the estimated incurred claims and the paid claims</t>
  </si>
  <si>
    <t>The estimated incurred claims are calculated as the paid claims given in Table 1.2 divided by the completion factor calculated above for the given month under each methodology</t>
  </si>
  <si>
    <t>The completion factor for lag 12 is assumed to be equal to the development factor since no prior development factors are given and the data shows all claims are paid within 12 months</t>
  </si>
  <si>
    <t>The completion factors are calculated as the prior month's completion factor divided by the development factor for the respective lag</t>
  </si>
  <si>
    <t>Remove High/
Low</t>
  </si>
  <si>
    <t>Simple Average</t>
  </si>
  <si>
    <t>Completion Factor</t>
  </si>
  <si>
    <t>Weights</t>
  </si>
  <si>
    <t>Digits</t>
  </si>
  <si>
    <t>The sum of digits methodology is a weighted average of the development factors giving the highest weight to the most recent month's development factors and scales down linearly for each prior month</t>
  </si>
  <si>
    <t>The harmonic mean methodology is calculated as the reciprocal of the arithmetic mean of the reciprocals of the development factors for each lag month</t>
  </si>
  <si>
    <t>The remove high/low methodology excludes the min and max development factor for each lag month, and averages the remaining 10 months</t>
  </si>
  <si>
    <t>The simple average methodology takes the straight average of the development factors for each lag month</t>
  </si>
  <si>
    <t>The development factors are averaged using the experience from 2022 given in Table 1.1</t>
  </si>
  <si>
    <t>Assess if a premium deficiency should be considered at the end of 20X0, assuming a 5% annual discount rate.</t>
  </si>
  <si>
    <t>GoldenYears issued two blocks of Long-Term Care insurance policies - one for individuals and one for group.</t>
  </si>
  <si>
    <t>GoldenYears offers Long-Term Care insurance and is preparing its statutory reserves for calendar year 20X0.</t>
  </si>
  <si>
    <t>20Z9</t>
  </si>
  <si>
    <t>20Z8</t>
  </si>
  <si>
    <t>20Z7</t>
  </si>
  <si>
    <t>20Z6</t>
  </si>
  <si>
    <t>20Z5</t>
  </si>
  <si>
    <t>20Z4</t>
  </si>
  <si>
    <t>20Z3</t>
  </si>
  <si>
    <t>20Z2</t>
  </si>
  <si>
    <t>20Z1</t>
  </si>
  <si>
    <t>20Y9</t>
  </si>
  <si>
    <t>20Y8</t>
  </si>
  <si>
    <t>20Y7</t>
  </si>
  <si>
    <t>20Y6</t>
  </si>
  <si>
    <t>20Y5</t>
  </si>
  <si>
    <t>20Y4</t>
  </si>
  <si>
    <t>20Y3</t>
  </si>
  <si>
    <t>20Y2</t>
  </si>
  <si>
    <t>20Y1</t>
  </si>
  <si>
    <t>20X9</t>
  </si>
  <si>
    <t>20X8</t>
  </si>
  <si>
    <t>20X7</t>
  </si>
  <si>
    <t>20X6</t>
  </si>
  <si>
    <t>20X5</t>
  </si>
  <si>
    <t>May</t>
  </si>
  <si>
    <t>Group Comprehensive</t>
  </si>
  <si>
    <t>Claim Reserve</t>
  </si>
  <si>
    <t>January</t>
  </si>
  <si>
    <t>Individual Comprehensive</t>
  </si>
  <si>
    <t>Contract Reserve</t>
  </si>
  <si>
    <t>Renewal Month</t>
  </si>
  <si>
    <t>Annual Premium Rate</t>
  </si>
  <si>
    <t>Members</t>
  </si>
  <si>
    <t>Year</t>
  </si>
  <si>
    <t>Reserves as of 12/31/X0</t>
  </si>
  <si>
    <t>Policy Information</t>
  </si>
  <si>
    <t>Premium, Claims, and Expense Projections</t>
  </si>
  <si>
    <t>If the calculated premium deficiency is greater than 0 then a premium deficiency reserve should be considered</t>
  </si>
  <si>
    <t>Consider Premium Deficiency Reserve?</t>
  </si>
  <si>
    <t>The premium deficiency reserve is calculated as the calculated revised reserve less the current reserve</t>
  </si>
  <si>
    <t>Premium Deficiency Reserve</t>
  </si>
  <si>
    <t>The current reserve is calculated as the sum of the premium reserve, claim reserve, and contract reserve</t>
  </si>
  <si>
    <t>Current Reserve</t>
  </si>
  <si>
    <t>The current claim reserve is given in Table 1.3 and represents the reserve for outstanding claim payments</t>
  </si>
  <si>
    <t>The current contract reserve is given in Table 1.3 and represents the reserve for all future policyholder obligations</t>
  </si>
  <si>
    <t>The premium reserve is the monthly premium times the number of unearned premium months</t>
  </si>
  <si>
    <t>Premium Reserve</t>
  </si>
  <si>
    <t>The reserve calculation is at end of year so the group policies have four months of unearned premium based on the annual renewal in Table 1.2</t>
  </si>
  <si>
    <t>Unearned Months</t>
  </si>
  <si>
    <t>The monthly premium is calculated using the policy information in Table 1.2</t>
  </si>
  <si>
    <t>Monthly Premium</t>
  </si>
  <si>
    <t>The contract reserve is calculated as the sum of the claim and expense less the premium from the net present values above</t>
  </si>
  <si>
    <t>Revised Reserve</t>
  </si>
  <si>
    <t>Present Value of Future Premiums</t>
  </si>
  <si>
    <t>the given interest rate and the projected amounts in Table 1.1</t>
  </si>
  <si>
    <t>Present Value of Future Expenses</t>
  </si>
  <si>
    <t>The present value of future claim costs, expenses, and premiums is calculated using</t>
  </si>
  <si>
    <t>Present Value of Future Claim Costs</t>
  </si>
  <si>
    <t>The interest rate was given as an assumption in the question</t>
  </si>
  <si>
    <t>Discount Rate</t>
  </si>
  <si>
    <t>Looking back at part a, we see many of the development factors from January 20X2 were excluded due to being low and many of the February 20X2 factors were excluded due to being high.</t>
  </si>
  <si>
    <t>Identify which reserving method resulted in the most accurate estimate of the incurred claims for each quarter.</t>
  </si>
  <si>
    <t>The incurred claims is calculated as the loss ratio times the quarterly premium.</t>
  </si>
  <si>
    <t>NeighborCare's financials can be backed into using the DuPont formulas and the information given in the question</t>
  </si>
  <si>
    <t>Hybrid Health Insurer is a Canadian insurer which has both fully insured and ASO lines of business.</t>
  </si>
  <si>
    <t>GUIDED EXAMPLES</t>
  </si>
  <si>
    <t>o</t>
  </si>
  <si>
    <t xml:space="preserve">These guided examples are intended to enhance specific curriculum resources where additional examples, practice calculations, and/or application of material could benefit candidates. These are not part of the required syllabus but are intended to make the required syllabus topics easier to master. These examples may be longer, more in depth, and/or include more calculation than would likely be used in an assessment environment.  </t>
  </si>
  <si>
    <t xml:space="preserve">These guided examples are presented in two formats – a version where candidates can attempt to navigate the problem/situation independently, and a narrated version where a solution is presented along with assistance to explain the steps involved.  </t>
  </si>
  <si>
    <t xml:space="preserve">These guided examples present one method of arriving at a solution; there could be equally appropriate alternative solutions. </t>
  </si>
  <si>
    <t>These guided examples are not intended to approximate a course assessment, and candidates should not use them as proxies for assessment items. For examples of assessment items, we recommend referencing the curated past exam questions for this course.</t>
  </si>
  <si>
    <t>These guided examples have been developed by Josh Collins (FSA, MAAA), ACTEX Learning, with review and modifications by course curriculum committee volunteers and SOA staff. We will continue to refine and expand this example set over time; candidates who would like to recommend source material that could benefit from additional guided examples should reach out to:</t>
  </si>
  <si>
    <t>education@soa.org</t>
  </si>
  <si>
    <t>Version 2025-1</t>
  </si>
  <si>
    <t>Updated: July 8, 2025</t>
  </si>
  <si>
    <t xml:space="preserve">Copyright © Society of Actuaries </t>
  </si>
  <si>
    <t>GH 201-C - Valuation and Regulation, Canada</t>
  </si>
  <si>
    <r>
      <t xml:space="preserve">This guided example has been developed by </t>
    </r>
    <r>
      <rPr>
        <b/>
        <sz val="11"/>
        <color theme="1"/>
        <rFont val="Aptos"/>
        <family val="2"/>
      </rPr>
      <t>Josh Collins (FSA, MAAA), ACTEX Learning</t>
    </r>
    <r>
      <rPr>
        <sz val="11"/>
        <color theme="1"/>
        <rFont val="Aptos"/>
        <family val="2"/>
      </rPr>
      <t xml:space="preserve"> with review and edits as appropriate by course curriculum volunteers and SOA staff.  </t>
    </r>
  </si>
  <si>
    <t>GH201-100-25 (John Lloyd, Health Reserves)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</si>
</sst>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0.0%"/>
    <numFmt numFmtId="165" formatCode="_(&quot;$&quot;* #,##0_);_(&quot;$&quot;* \(#,##0\);_(&quot;$&quot;* &quot;-&quot;??_);_(@_)"/>
    <numFmt numFmtId="166" formatCode="[$-409]mmm\-yy;@"/>
    <numFmt numFmtId="167" formatCode="0.000"/>
    <numFmt numFmtId="168" formatCode="#,##0.0000"/>
    <numFmt numFmtId="169" formatCode="#,##0.000"/>
    <numFmt numFmtId="170" formatCode="#,##0.000_);\(#,##0.000\)"/>
    <numFmt numFmtId="171" formatCode="_(* #,##0_);_(* \(#,##0\);_(* &quot;-&quot;??_);_(@_)"/>
  </numFmts>
  <fonts count="16"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sz val="7"/>
      <color rgb="FF232A31"/>
      <name val="Arial"/>
      <family val="2"/>
    </font>
    <font>
      <sz val="11"/>
      <color rgb="FFFF0000"/>
      <name val="Calibri"/>
      <family val="2"/>
      <scheme val="minor"/>
    </font>
    <font>
      <u/>
      <sz val="11"/>
      <color theme="10"/>
      <name val="Calibri"/>
      <family val="2"/>
      <scheme val="minor"/>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u/>
      <sz val="11"/>
      <color theme="10"/>
      <name val="Aptos Narrow"/>
      <family val="2"/>
    </font>
    <font>
      <sz val="11"/>
      <color theme="1"/>
      <name val="Aptos Narrow"/>
      <family val="2"/>
    </font>
    <font>
      <sz val="10"/>
      <color theme="1"/>
      <name val="Calibri"/>
      <family val="2"/>
      <scheme val="minor"/>
    </font>
    <font>
      <sz val="11"/>
      <color theme="1"/>
      <name val="Aptos"/>
      <family val="2"/>
    </font>
    <font>
      <b/>
      <sz val="11"/>
      <color theme="1"/>
      <name val="Aptos"/>
      <family val="2"/>
    </font>
  </fonts>
  <fills count="4">
    <fill>
      <patternFill patternType="none"/>
    </fill>
    <fill>
      <patternFill patternType="gray125"/>
    </fill>
    <fill>
      <patternFill patternType="solid">
        <fgColor rgb="FFFFFF00"/>
        <bgColor indexed="64"/>
      </patternFill>
    </fill>
    <fill>
      <patternFill patternType="solid">
        <fgColor theme="0" tint="-0.34998626667073579"/>
        <bgColor indexed="64"/>
      </patternFill>
    </fill>
  </fills>
  <borders count="17">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cellStyleXfs>
  <cellXfs count="142">
    <xf numFmtId="0" fontId="0" fillId="0" borderId="0" xfId="0"/>
    <xf numFmtId="9" fontId="0" fillId="0" borderId="0" xfId="0" applyNumberFormat="1"/>
    <xf numFmtId="3" fontId="0" fillId="0" borderId="0" xfId="0" applyNumberFormat="1"/>
    <xf numFmtId="0" fontId="2" fillId="0" borderId="1" xfId="0" applyFont="1" applyBorder="1" applyAlignment="1">
      <alignment horizontal="centerContinuous"/>
    </xf>
    <xf numFmtId="0" fontId="2" fillId="0" borderId="2" xfId="0" applyFont="1" applyBorder="1" applyAlignment="1">
      <alignment horizontal="centerContinuous"/>
    </xf>
    <xf numFmtId="0" fontId="2" fillId="0" borderId="3" xfId="0" applyFont="1" applyBorder="1" applyAlignment="1">
      <alignment horizontal="centerContinuous"/>
    </xf>
    <xf numFmtId="0" fontId="2" fillId="0" borderId="4" xfId="0" applyFont="1" applyBorder="1" applyAlignment="1">
      <alignment horizontal="centerContinuous"/>
    </xf>
    <xf numFmtId="0" fontId="2" fillId="0" borderId="5" xfId="0" applyFont="1" applyBorder="1" applyAlignment="1">
      <alignment horizontal="centerContinuous"/>
    </xf>
    <xf numFmtId="0" fontId="2" fillId="0" borderId="6" xfId="0" applyFont="1" applyBorder="1" applyAlignment="1">
      <alignment horizontal="centerContinuous"/>
    </xf>
    <xf numFmtId="0" fontId="3" fillId="0" borderId="0" xfId="0" applyFont="1"/>
    <xf numFmtId="0" fontId="0" fillId="0" borderId="0" xfId="0" applyAlignment="1">
      <alignment horizontal="right"/>
    </xf>
    <xf numFmtId="0" fontId="0" fillId="0" borderId="0" xfId="0" applyAlignment="1">
      <alignment horizontal="center"/>
    </xf>
    <xf numFmtId="0" fontId="0" fillId="0" borderId="7" xfId="0" applyBorder="1" applyAlignment="1">
      <alignment horizontal="centerContinuous"/>
    </xf>
    <xf numFmtId="0" fontId="0" fillId="0" borderId="8" xfId="0" applyBorder="1" applyAlignment="1">
      <alignment horizontal="centerContinuous"/>
    </xf>
    <xf numFmtId="0" fontId="2" fillId="0" borderId="0" xfId="0" applyFont="1"/>
    <xf numFmtId="3" fontId="0" fillId="0" borderId="0" xfId="0" applyNumberFormat="1" applyAlignment="1">
      <alignment horizontal="center"/>
    </xf>
    <xf numFmtId="164" fontId="0" fillId="0" borderId="0" xfId="3" applyNumberFormat="1" applyFont="1"/>
    <xf numFmtId="44" fontId="0" fillId="0" borderId="0" xfId="2" applyFont="1"/>
    <xf numFmtId="165" fontId="0" fillId="0" borderId="0" xfId="2" applyNumberFormat="1" applyFont="1"/>
    <xf numFmtId="44" fontId="2" fillId="2" borderId="12" xfId="2" applyFont="1" applyFill="1" applyBorder="1"/>
    <xf numFmtId="2" fontId="0" fillId="0" borderId="0" xfId="0" applyNumberFormat="1"/>
    <xf numFmtId="0" fontId="0" fillId="0" borderId="0" xfId="0" quotePrefix="1"/>
    <xf numFmtId="0" fontId="2" fillId="0" borderId="0" xfId="0" applyFont="1" applyAlignment="1">
      <alignment horizontal="centerContinuous"/>
    </xf>
    <xf numFmtId="9" fontId="0" fillId="0" borderId="0" xfId="0" applyNumberFormat="1" applyAlignment="1">
      <alignment horizontal="center"/>
    </xf>
    <xf numFmtId="3" fontId="0" fillId="0" borderId="0" xfId="0" applyNumberFormat="1" applyAlignment="1">
      <alignment horizontal="right"/>
    </xf>
    <xf numFmtId="44" fontId="0" fillId="0" borderId="0" xfId="2" applyFont="1" applyAlignment="1">
      <alignment horizontal="right"/>
    </xf>
    <xf numFmtId="165" fontId="0" fillId="0" borderId="0" xfId="2" applyNumberFormat="1" applyFont="1" applyAlignment="1">
      <alignment horizontal="right"/>
    </xf>
    <xf numFmtId="2" fontId="0" fillId="0" borderId="0" xfId="0" applyNumberFormat="1" applyAlignment="1">
      <alignment horizontal="center"/>
    </xf>
    <xf numFmtId="44" fontId="0" fillId="0" borderId="0" xfId="2" applyFont="1" applyAlignment="1">
      <alignment horizontal="center"/>
    </xf>
    <xf numFmtId="165" fontId="0" fillId="0" borderId="0" xfId="2" applyNumberFormat="1" applyFont="1" applyAlignment="1">
      <alignment horizontal="center"/>
    </xf>
    <xf numFmtId="44" fontId="2" fillId="2" borderId="12" xfId="2" applyFont="1" applyFill="1" applyBorder="1" applyAlignment="1">
      <alignment horizontal="center"/>
    </xf>
    <xf numFmtId="2" fontId="0" fillId="0" borderId="0" xfId="0" applyNumberFormat="1" applyAlignment="1">
      <alignment horizontal="right"/>
    </xf>
    <xf numFmtId="0" fontId="0" fillId="0" borderId="13" xfId="0" applyBorder="1" applyAlignment="1">
      <alignment horizontal="centerContinuous"/>
    </xf>
    <xf numFmtId="166" fontId="0" fillId="0" borderId="0" xfId="0" applyNumberFormat="1" applyAlignment="1">
      <alignment horizontal="right"/>
    </xf>
    <xf numFmtId="166" fontId="0" fillId="0" borderId="0" xfId="0" applyNumberFormat="1"/>
    <xf numFmtId="167" fontId="0" fillId="0" borderId="0" xfId="0" applyNumberFormat="1"/>
    <xf numFmtId="168" fontId="0" fillId="0" borderId="0" xfId="0" applyNumberFormat="1"/>
    <xf numFmtId="168" fontId="2" fillId="2" borderId="14" xfId="0" applyNumberFormat="1" applyFont="1" applyFill="1" applyBorder="1"/>
    <xf numFmtId="168" fontId="2" fillId="2" borderId="15" xfId="0" applyNumberFormat="1" applyFont="1" applyFill="1" applyBorder="1"/>
    <xf numFmtId="168" fontId="2" fillId="2" borderId="16" xfId="0" applyNumberFormat="1" applyFont="1" applyFill="1" applyBorder="1"/>
    <xf numFmtId="14" fontId="0" fillId="0" borderId="0" xfId="0" applyNumberFormat="1"/>
    <xf numFmtId="169" fontId="0" fillId="0" borderId="0" xfId="0" applyNumberFormat="1"/>
    <xf numFmtId="14" fontId="0" fillId="0" borderId="0" xfId="0" applyNumberFormat="1" applyAlignment="1">
      <alignment wrapText="1"/>
    </xf>
    <xf numFmtId="39" fontId="0" fillId="0" borderId="0" xfId="1" applyNumberFormat="1" applyFont="1"/>
    <xf numFmtId="17" fontId="0" fillId="0" borderId="0" xfId="0" applyNumberFormat="1"/>
    <xf numFmtId="167" fontId="0" fillId="0" borderId="7" xfId="0" applyNumberFormat="1" applyBorder="1" applyAlignment="1">
      <alignment horizontal="centerContinuous"/>
    </xf>
    <xf numFmtId="167" fontId="0" fillId="0" borderId="13" xfId="0" applyNumberFormat="1" applyBorder="1" applyAlignment="1">
      <alignment horizontal="centerContinuous"/>
    </xf>
    <xf numFmtId="167" fontId="0" fillId="0" borderId="8" xfId="0" applyNumberFormat="1" applyBorder="1" applyAlignment="1">
      <alignment horizontal="centerContinuous"/>
    </xf>
    <xf numFmtId="0" fontId="3" fillId="0" borderId="0" xfId="0" quotePrefix="1" applyFont="1"/>
    <xf numFmtId="166" fontId="0" fillId="0" borderId="0" xfId="0" applyNumberFormat="1" applyAlignment="1">
      <alignment horizontal="center"/>
    </xf>
    <xf numFmtId="167" fontId="0" fillId="0" borderId="0" xfId="0" applyNumberFormat="1" applyAlignment="1">
      <alignment horizontal="center"/>
    </xf>
    <xf numFmtId="168" fontId="0" fillId="0" borderId="0" xfId="0" applyNumberFormat="1" applyAlignment="1">
      <alignment horizontal="right"/>
    </xf>
    <xf numFmtId="168" fontId="0" fillId="3" borderId="0" xfId="0" applyNumberFormat="1" applyFill="1" applyAlignment="1">
      <alignment horizontal="right"/>
    </xf>
    <xf numFmtId="168" fontId="0" fillId="0" borderId="0" xfId="0" applyNumberFormat="1" applyAlignment="1">
      <alignment horizontal="center"/>
    </xf>
    <xf numFmtId="168" fontId="0" fillId="3" borderId="0" xfId="0" applyNumberFormat="1" applyFill="1" applyAlignment="1">
      <alignment horizontal="center"/>
    </xf>
    <xf numFmtId="14" fontId="0" fillId="0" borderId="0" xfId="0" applyNumberFormat="1" applyAlignment="1">
      <alignment horizontal="center"/>
    </xf>
    <xf numFmtId="169" fontId="0" fillId="0" borderId="0" xfId="0" applyNumberFormat="1" applyAlignment="1">
      <alignment horizontal="center" wrapText="1"/>
    </xf>
    <xf numFmtId="37" fontId="0" fillId="0" borderId="0" xfId="1" applyNumberFormat="1" applyFont="1" applyAlignment="1">
      <alignment horizontal="center"/>
    </xf>
    <xf numFmtId="44" fontId="0" fillId="0" borderId="0" xfId="2" applyFont="1" applyAlignment="1">
      <alignment horizontal="center" wrapText="1"/>
    </xf>
    <xf numFmtId="169" fontId="0" fillId="0" borderId="0" xfId="0" applyNumberFormat="1" applyAlignment="1">
      <alignment horizontal="center"/>
    </xf>
    <xf numFmtId="14" fontId="0" fillId="0" borderId="0" xfId="0" applyNumberFormat="1" applyAlignment="1">
      <alignment horizontal="center" wrapText="1"/>
    </xf>
    <xf numFmtId="170" fontId="0" fillId="0" borderId="0" xfId="1" applyNumberFormat="1" applyFont="1" applyAlignment="1">
      <alignment horizontal="center"/>
    </xf>
    <xf numFmtId="37" fontId="2" fillId="2" borderId="12" xfId="0" applyNumberFormat="1" applyFont="1" applyFill="1" applyBorder="1" applyAlignment="1">
      <alignment horizontal="center"/>
    </xf>
    <xf numFmtId="44" fontId="2" fillId="2" borderId="11" xfId="2" applyFont="1" applyFill="1" applyBorder="1" applyAlignment="1">
      <alignment horizontal="center"/>
    </xf>
    <xf numFmtId="44" fontId="2" fillId="2" borderId="10" xfId="2" applyFont="1" applyFill="1" applyBorder="1" applyAlignment="1">
      <alignment horizontal="center"/>
    </xf>
    <xf numFmtId="44" fontId="2" fillId="2" borderId="9" xfId="2" applyFont="1" applyFill="1" applyBorder="1" applyAlignment="1">
      <alignment horizontal="center"/>
    </xf>
    <xf numFmtId="44" fontId="2" fillId="2" borderId="0" xfId="2" applyFont="1" applyFill="1" applyAlignment="1">
      <alignment horizontal="center"/>
    </xf>
    <xf numFmtId="164" fontId="2" fillId="2" borderId="12" xfId="3" applyNumberFormat="1" applyFont="1" applyFill="1" applyBorder="1" applyAlignment="1">
      <alignment horizontal="center"/>
    </xf>
    <xf numFmtId="164" fontId="0" fillId="0" borderId="0" xfId="3" applyNumberFormat="1" applyFont="1" applyAlignment="1">
      <alignment horizontal="center"/>
    </xf>
    <xf numFmtId="3" fontId="4" fillId="0" borderId="0" xfId="0" applyNumberFormat="1" applyFont="1" applyAlignment="1">
      <alignment vertical="center"/>
    </xf>
    <xf numFmtId="0" fontId="4" fillId="0" borderId="0" xfId="0" applyFont="1" applyAlignment="1">
      <alignment vertical="center" wrapText="1"/>
    </xf>
    <xf numFmtId="0" fontId="0" fillId="0" borderId="0" xfId="0" applyAlignment="1">
      <alignment vertical="center"/>
    </xf>
    <xf numFmtId="3" fontId="0" fillId="0" borderId="0" xfId="0" applyNumberFormat="1" applyAlignment="1">
      <alignment vertical="center"/>
    </xf>
    <xf numFmtId="0" fontId="0" fillId="0" borderId="0" xfId="0" applyAlignment="1">
      <alignment vertical="center" wrapText="1"/>
    </xf>
    <xf numFmtId="4" fontId="0" fillId="0" borderId="0" xfId="0" applyNumberFormat="1" applyAlignment="1">
      <alignment vertical="center"/>
    </xf>
    <xf numFmtId="0" fontId="2" fillId="0" borderId="0" xfId="0" applyFont="1" applyAlignment="1">
      <alignment vertical="center" wrapText="1"/>
    </xf>
    <xf numFmtId="0" fontId="0" fillId="0" borderId="0" xfId="0" applyAlignment="1">
      <alignment wrapText="1"/>
    </xf>
    <xf numFmtId="9" fontId="0" fillId="0" borderId="0" xfId="3" applyFont="1"/>
    <xf numFmtId="164" fontId="0" fillId="0" borderId="0" xfId="0" applyNumberFormat="1"/>
    <xf numFmtId="0" fontId="2" fillId="0" borderId="5" xfId="0" applyFont="1" applyBorder="1" applyAlignment="1">
      <alignment horizontal="center"/>
    </xf>
    <xf numFmtId="0" fontId="2" fillId="0" borderId="4" xfId="0" applyFont="1" applyBorder="1" applyAlignment="1">
      <alignment horizontal="center"/>
    </xf>
    <xf numFmtId="0" fontId="2" fillId="0" borderId="2" xfId="0" applyFont="1" applyBorder="1" applyAlignment="1">
      <alignment horizontal="center"/>
    </xf>
    <xf numFmtId="0" fontId="2" fillId="0" borderId="1" xfId="0" applyFont="1" applyBorder="1" applyAlignment="1">
      <alignment horizontal="center"/>
    </xf>
    <xf numFmtId="165" fontId="0" fillId="0" borderId="0" xfId="2" applyNumberFormat="1" applyFont="1" applyAlignment="1">
      <alignment horizontal="center" vertical="center" wrapText="1"/>
    </xf>
    <xf numFmtId="0" fontId="0" fillId="0" borderId="0" xfId="0" applyAlignment="1">
      <alignment horizontal="center" vertical="center" wrapText="1"/>
    </xf>
    <xf numFmtId="44" fontId="0" fillId="0" borderId="0" xfId="2" applyFont="1" applyAlignment="1">
      <alignment horizontal="center" vertical="center" wrapText="1"/>
    </xf>
    <xf numFmtId="0" fontId="0" fillId="0" borderId="0" xfId="0" applyAlignment="1">
      <alignment horizontal="center" wrapText="1"/>
    </xf>
    <xf numFmtId="164" fontId="2" fillId="2" borderId="16" xfId="3" applyNumberFormat="1" applyFont="1" applyFill="1" applyBorder="1" applyAlignment="1">
      <alignment horizontal="center" vertical="center" wrapText="1"/>
    </xf>
    <xf numFmtId="164" fontId="2" fillId="2" borderId="14" xfId="3" applyNumberFormat="1" applyFont="1" applyFill="1" applyBorder="1" applyAlignment="1">
      <alignment horizontal="center" vertical="center" wrapText="1"/>
    </xf>
    <xf numFmtId="2" fontId="2" fillId="2" borderId="16" xfId="3" applyNumberFormat="1" applyFont="1" applyFill="1" applyBorder="1" applyAlignment="1">
      <alignment horizontal="center" vertical="center" wrapText="1"/>
    </xf>
    <xf numFmtId="2" fontId="2" fillId="2" borderId="14" xfId="3" applyNumberFormat="1" applyFont="1" applyFill="1" applyBorder="1" applyAlignment="1">
      <alignment horizontal="center" vertical="center" wrapText="1"/>
    </xf>
    <xf numFmtId="9" fontId="2" fillId="2" borderId="16" xfId="3" applyFont="1" applyFill="1" applyBorder="1" applyAlignment="1">
      <alignment horizontal="center"/>
    </xf>
    <xf numFmtId="9" fontId="2" fillId="2" borderId="14" xfId="3" applyFont="1" applyFill="1" applyBorder="1" applyAlignment="1">
      <alignment horizontal="center"/>
    </xf>
    <xf numFmtId="3" fontId="0" fillId="0" borderId="0" xfId="0" applyNumberFormat="1" applyAlignment="1">
      <alignment horizontal="center" vertical="center"/>
    </xf>
    <xf numFmtId="164" fontId="0" fillId="0" borderId="0" xfId="0" applyNumberFormat="1" applyAlignment="1">
      <alignment horizontal="center"/>
    </xf>
    <xf numFmtId="0" fontId="2" fillId="2" borderId="16" xfId="0" applyFont="1" applyFill="1" applyBorder="1" applyAlignment="1">
      <alignment horizontal="center"/>
    </xf>
    <xf numFmtId="0" fontId="2" fillId="2" borderId="14" xfId="0" applyFont="1" applyFill="1" applyBorder="1" applyAlignment="1">
      <alignment horizontal="center"/>
    </xf>
    <xf numFmtId="164" fontId="0" fillId="0" borderId="0" xfId="3" applyNumberFormat="1" applyFont="1" applyAlignment="1">
      <alignment horizontal="center" vertical="center" wrapText="1"/>
    </xf>
    <xf numFmtId="2" fontId="0" fillId="0" borderId="0" xfId="3" applyNumberFormat="1" applyFont="1" applyAlignment="1">
      <alignment horizontal="center" vertical="center" wrapText="1"/>
    </xf>
    <xf numFmtId="9" fontId="0" fillId="0" borderId="0" xfId="3" applyFont="1" applyAlignment="1">
      <alignment horizontal="center"/>
    </xf>
    <xf numFmtId="164" fontId="2" fillId="2" borderId="11" xfId="3" applyNumberFormat="1" applyFont="1" applyFill="1" applyBorder="1" applyAlignment="1">
      <alignment horizontal="center" vertical="center" wrapText="1"/>
    </xf>
    <xf numFmtId="2" fontId="2" fillId="2" borderId="10" xfId="3" applyNumberFormat="1" applyFont="1" applyFill="1" applyBorder="1" applyAlignment="1">
      <alignment horizontal="center" vertical="center" wrapText="1"/>
    </xf>
    <xf numFmtId="164" fontId="2" fillId="2" borderId="10" xfId="3" applyNumberFormat="1" applyFont="1" applyFill="1" applyBorder="1" applyAlignment="1">
      <alignment horizontal="center" vertical="center" wrapText="1"/>
    </xf>
    <xf numFmtId="164" fontId="2" fillId="2" borderId="9" xfId="3" applyNumberFormat="1" applyFont="1" applyFill="1" applyBorder="1" applyAlignment="1">
      <alignment horizontal="center" vertical="center" wrapText="1"/>
    </xf>
    <xf numFmtId="44" fontId="0" fillId="0" borderId="0" xfId="2" applyFont="1" applyAlignment="1">
      <alignment horizontal="center" vertical="center"/>
    </xf>
    <xf numFmtId="0" fontId="2" fillId="2" borderId="14" xfId="0" applyFont="1" applyFill="1" applyBorder="1" applyAlignment="1">
      <alignment wrapText="1"/>
    </xf>
    <xf numFmtId="0" fontId="2" fillId="2" borderId="15" xfId="0" applyFont="1" applyFill="1" applyBorder="1" applyAlignment="1">
      <alignment wrapText="1"/>
    </xf>
    <xf numFmtId="0" fontId="2" fillId="2" borderId="16" xfId="0" applyFont="1" applyFill="1" applyBorder="1" applyAlignment="1">
      <alignment wrapText="1"/>
    </xf>
    <xf numFmtId="0" fontId="2" fillId="0" borderId="0" xfId="0" applyFont="1" applyAlignment="1">
      <alignment wrapText="1"/>
    </xf>
    <xf numFmtId="10" fontId="0" fillId="0" borderId="0" xfId="0" applyNumberFormat="1"/>
    <xf numFmtId="165" fontId="2" fillId="2" borderId="12" xfId="2" applyNumberFormat="1" applyFont="1" applyFill="1" applyBorder="1"/>
    <xf numFmtId="44" fontId="2" fillId="2" borderId="14" xfId="2" applyFont="1" applyFill="1" applyBorder="1" applyAlignment="1">
      <alignment horizontal="center"/>
    </xf>
    <xf numFmtId="44" fontId="2" fillId="2" borderId="15" xfId="2" applyFont="1" applyFill="1" applyBorder="1" applyAlignment="1">
      <alignment horizontal="center"/>
    </xf>
    <xf numFmtId="44" fontId="2" fillId="2" borderId="16" xfId="2" applyFont="1" applyFill="1" applyBorder="1" applyAlignment="1">
      <alignment horizontal="center"/>
    </xf>
    <xf numFmtId="17" fontId="0" fillId="0" borderId="0" xfId="0" applyNumberFormat="1" applyAlignment="1">
      <alignment horizontal="center"/>
    </xf>
    <xf numFmtId="44" fontId="2" fillId="2" borderId="14" xfId="2" applyFont="1" applyFill="1" applyBorder="1"/>
    <xf numFmtId="44" fontId="2" fillId="2" borderId="15" xfId="2" applyFont="1" applyFill="1" applyBorder="1"/>
    <xf numFmtId="44" fontId="2" fillId="2" borderId="16" xfId="2" applyFont="1" applyFill="1" applyBorder="1"/>
    <xf numFmtId="167" fontId="0" fillId="0" borderId="0" xfId="0" applyNumberFormat="1" applyAlignment="1">
      <alignment wrapText="1"/>
    </xf>
    <xf numFmtId="167" fontId="0" fillId="0" borderId="0" xfId="0" applyNumberFormat="1" applyAlignment="1">
      <alignment horizontal="center" wrapText="1"/>
    </xf>
    <xf numFmtId="2" fontId="0" fillId="0" borderId="0" xfId="0" applyNumberFormat="1" applyAlignment="1">
      <alignment horizontal="center" wrapText="1"/>
    </xf>
    <xf numFmtId="17" fontId="0" fillId="0" borderId="0" xfId="0" applyNumberFormat="1" applyAlignment="1">
      <alignment horizontal="right"/>
    </xf>
    <xf numFmtId="165" fontId="0" fillId="0" borderId="0" xfId="2" applyNumberFormat="1" applyFont="1" applyAlignment="1">
      <alignment wrapText="1"/>
    </xf>
    <xf numFmtId="171" fontId="0" fillId="0" borderId="0" xfId="1" applyNumberFormat="1" applyFont="1"/>
    <xf numFmtId="3" fontId="2" fillId="2" borderId="12" xfId="0" applyNumberFormat="1" applyFont="1" applyFill="1" applyBorder="1" applyAlignment="1">
      <alignment horizontal="center"/>
    </xf>
    <xf numFmtId="0" fontId="5" fillId="0" borderId="0" xfId="0" applyFont="1"/>
    <xf numFmtId="0" fontId="8" fillId="0" borderId="0" xfId="0" applyFont="1"/>
    <xf numFmtId="0" fontId="0" fillId="0" borderId="0" xfId="0" applyAlignment="1">
      <alignment horizontal="right" vertical="top" indent="1"/>
    </xf>
    <xf numFmtId="0" fontId="10" fillId="0" borderId="0" xfId="0" applyFont="1"/>
    <xf numFmtId="0" fontId="6" fillId="0" borderId="0" xfId="4"/>
    <xf numFmtId="0" fontId="11" fillId="0" borderId="0" xfId="4" applyFont="1"/>
    <xf numFmtId="0" fontId="12" fillId="0" borderId="0" xfId="0" applyFont="1"/>
    <xf numFmtId="0" fontId="0" fillId="0" borderId="6" xfId="0" applyBorder="1" applyAlignment="1">
      <alignment horizontal="center"/>
    </xf>
    <xf numFmtId="0" fontId="0" fillId="0" borderId="3" xfId="0" applyBorder="1" applyAlignment="1">
      <alignment horizontal="center"/>
    </xf>
    <xf numFmtId="165" fontId="0" fillId="0" borderId="0" xfId="2" applyNumberFormat="1" applyFont="1" applyAlignment="1">
      <alignment vertical="center"/>
    </xf>
    <xf numFmtId="0" fontId="14" fillId="0" borderId="0" xfId="0" applyFont="1"/>
    <xf numFmtId="0" fontId="10" fillId="0" borderId="0" xfId="0" applyFont="1" applyAlignment="1">
      <alignment horizontal="left" wrapText="1"/>
    </xf>
    <xf numFmtId="0" fontId="13" fillId="0" borderId="0" xfId="0" applyFont="1" applyAlignment="1">
      <alignment horizontal="left"/>
    </xf>
    <xf numFmtId="0" fontId="13" fillId="0" borderId="0" xfId="0" applyFont="1" applyAlignment="1">
      <alignment horizontal="center"/>
    </xf>
    <xf numFmtId="0" fontId="13" fillId="0" borderId="0" xfId="0" applyFont="1" applyAlignment="1">
      <alignment horizontal="right"/>
    </xf>
    <xf numFmtId="0" fontId="7" fillId="0" borderId="0" xfId="0" applyFont="1" applyAlignment="1">
      <alignment horizontal="center"/>
    </xf>
    <xf numFmtId="0" fontId="9" fillId="0" borderId="0" xfId="0" applyFont="1" applyAlignment="1">
      <alignment horizontal="center"/>
    </xf>
  </cellXfs>
  <cellStyles count="5">
    <cellStyle name="Comma" xfId="1" builtinId="3"/>
    <cellStyle name="Currency" xfId="2" builtinId="4"/>
    <cellStyle name="Hyperlink" xfId="4" builtinId="8"/>
    <cellStyle name="Normal" xfId="0" builtinId="0"/>
    <cellStyle name="Percent" xfId="3" builtinId="5"/>
  </cellStyles>
  <dxfs count="6">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135542</xdr:rowOff>
    </xdr:to>
    <xdr:pic>
      <xdr:nvPicPr>
        <xdr:cNvPr id="2" name="Picture 1">
          <a:extLst>
            <a:ext uri="{FF2B5EF4-FFF2-40B4-BE49-F238E27FC236}">
              <a16:creationId xmlns:a16="http://schemas.microsoft.com/office/drawing/2014/main" id="{C866AA3B-C6A4-4D8F-96A8-EF6DADA2F9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4000" cy="507016"/>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9C23F461-AB8E-4C57-89B1-634C44C31B83}"/>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64E2FB69-5063-4028-B392-32B0A44A0050}"/>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Research\ZDP49%20(Fee%20Schedule%20Analyzer%20Model%20Update)\2021\Work%20Files\Milliman%202021%20Fee%20Schedule%20Analysis%20Model.xlsm" TargetMode="External"/><Relationship Id="rId1" Type="http://schemas.openxmlformats.org/officeDocument/2006/relationships/externalLinkPath" Target="file:///T:\Research\ZDP49%20(Fee%20Schedule%20Analyzer%20Model%20Update)\2021\Work%20Files\Milliman%202021%20Fee%20Schedule%20Analysis%20Mode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cense"/>
      <sheetName val="User Input"/>
      <sheetName val="Print Options"/>
      <sheetName val="Fee Schedule Library"/>
      <sheetName val="Active Fee Schedules"/>
      <sheetName val="Specialty Selection"/>
      <sheetName val="Summary"/>
      <sheetName val="Specialty Sample"/>
      <sheetName val="CL and Part B"/>
      <sheetName val="RBRVS"/>
      <sheetName val="Result Calcs"/>
      <sheetName val="Util Matrix"/>
      <sheetName val="Base Util Weights"/>
      <sheetName val="Estimated RVUs"/>
      <sheetName val="CPT Code Indicators"/>
      <sheetName val="Estimated Fees"/>
      <sheetName val="GPCI"/>
    </sheetNames>
    <sheetDataSet>
      <sheetData sheetId="0"/>
      <sheetData sheetId="1">
        <row r="74">
          <cell r="C74">
            <v>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ducation@soa.org?subject=Guided%20Examples%20Inquiry%20"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66472-4DFF-4708-8FA0-89B8301824A0}">
  <sheetPr>
    <tabColor rgb="FF0070C0"/>
    <pageSetUpPr autoPageBreaks="0"/>
  </sheetPr>
  <dimension ref="A6:K22"/>
  <sheetViews>
    <sheetView showGridLines="0" tabSelected="1" zoomScale="115" zoomScaleNormal="115" workbookViewId="0"/>
  </sheetViews>
  <sheetFormatPr defaultRowHeight="14.4" x14ac:dyDescent="0.3"/>
  <sheetData>
    <row r="6" spans="1:10" ht="33.6" x14ac:dyDescent="0.65">
      <c r="A6" s="140" t="s">
        <v>495</v>
      </c>
      <c r="B6" s="140"/>
      <c r="C6" s="140"/>
      <c r="D6" s="140"/>
      <c r="E6" s="140"/>
      <c r="F6" s="140"/>
      <c r="G6" s="140"/>
      <c r="H6" s="140"/>
      <c r="I6" s="140"/>
      <c r="J6" s="140"/>
    </row>
    <row r="7" spans="1:10" ht="6" customHeight="1" x14ac:dyDescent="0.3">
      <c r="A7" s="126"/>
      <c r="B7" s="126"/>
      <c r="C7" s="126"/>
      <c r="D7" s="126"/>
      <c r="E7" s="126"/>
      <c r="F7" s="126"/>
      <c r="G7" s="126"/>
      <c r="H7" s="126"/>
      <c r="I7" s="126"/>
      <c r="J7" s="126"/>
    </row>
    <row r="8" spans="1:10" ht="21" x14ac:dyDescent="0.4">
      <c r="A8" s="141" t="s">
        <v>506</v>
      </c>
      <c r="B8" s="141"/>
      <c r="C8" s="141"/>
      <c r="D8" s="141"/>
      <c r="E8" s="141"/>
      <c r="F8" s="141"/>
      <c r="G8" s="141"/>
      <c r="H8" s="141"/>
      <c r="I8" s="141"/>
      <c r="J8" s="141"/>
    </row>
    <row r="10" spans="1:10" ht="75" customHeight="1" x14ac:dyDescent="0.3">
      <c r="A10" s="127" t="s">
        <v>496</v>
      </c>
      <c r="B10" s="136" t="s">
        <v>497</v>
      </c>
      <c r="C10" s="136"/>
      <c r="D10" s="136"/>
      <c r="E10" s="136"/>
      <c r="F10" s="136"/>
      <c r="G10" s="136"/>
      <c r="H10" s="136"/>
      <c r="I10" s="136"/>
      <c r="J10" s="136"/>
    </row>
    <row r="11" spans="1:10" x14ac:dyDescent="0.3">
      <c r="B11" s="128"/>
      <c r="C11" s="128"/>
      <c r="D11" s="128"/>
      <c r="E11" s="128"/>
      <c r="F11" s="128"/>
      <c r="G11" s="128"/>
      <c r="H11" s="128"/>
      <c r="I11" s="128"/>
      <c r="J11" s="128"/>
    </row>
    <row r="12" spans="1:10" ht="45" customHeight="1" x14ac:dyDescent="0.3">
      <c r="A12" s="127" t="s">
        <v>496</v>
      </c>
      <c r="B12" s="136" t="s">
        <v>498</v>
      </c>
      <c r="C12" s="136"/>
      <c r="D12" s="136"/>
      <c r="E12" s="136"/>
      <c r="F12" s="136"/>
      <c r="G12" s="136"/>
      <c r="H12" s="136"/>
      <c r="I12" s="136"/>
      <c r="J12" s="136"/>
    </row>
    <row r="13" spans="1:10" x14ac:dyDescent="0.3">
      <c r="B13" s="128"/>
      <c r="C13" s="128"/>
      <c r="D13" s="128"/>
      <c r="E13" s="128"/>
      <c r="F13" s="128"/>
      <c r="G13" s="128"/>
      <c r="H13" s="128"/>
      <c r="I13" s="128"/>
      <c r="J13" s="128"/>
    </row>
    <row r="14" spans="1:10" ht="30" customHeight="1" x14ac:dyDescent="0.3">
      <c r="A14" s="127" t="s">
        <v>496</v>
      </c>
      <c r="B14" s="136" t="s">
        <v>499</v>
      </c>
      <c r="C14" s="136"/>
      <c r="D14" s="136"/>
      <c r="E14" s="136"/>
      <c r="F14" s="136"/>
      <c r="G14" s="136"/>
      <c r="H14" s="136"/>
      <c r="I14" s="136"/>
      <c r="J14" s="136"/>
    </row>
    <row r="15" spans="1:10" x14ac:dyDescent="0.3">
      <c r="B15" s="128"/>
      <c r="C15" s="128"/>
      <c r="D15" s="128"/>
      <c r="E15" s="128"/>
      <c r="F15" s="128"/>
      <c r="G15" s="128"/>
      <c r="H15" s="128"/>
      <c r="I15" s="128"/>
      <c r="J15" s="128"/>
    </row>
    <row r="16" spans="1:10" ht="45.6" customHeight="1" x14ac:dyDescent="0.3">
      <c r="A16" s="127" t="s">
        <v>496</v>
      </c>
      <c r="B16" s="136" t="s">
        <v>500</v>
      </c>
      <c r="C16" s="136"/>
      <c r="D16" s="136"/>
      <c r="E16" s="136"/>
      <c r="F16" s="136"/>
      <c r="G16" s="136"/>
      <c r="H16" s="136"/>
      <c r="I16" s="136"/>
      <c r="J16" s="136"/>
    </row>
    <row r="17" spans="1:11" x14ac:dyDescent="0.3">
      <c r="B17" s="128"/>
      <c r="C17" s="128"/>
      <c r="D17" s="128"/>
      <c r="E17" s="128"/>
      <c r="F17" s="128"/>
      <c r="G17" s="128"/>
      <c r="H17" s="128"/>
      <c r="I17" s="128"/>
      <c r="J17" s="128"/>
      <c r="K17" s="129"/>
    </row>
    <row r="18" spans="1:11" ht="75" customHeight="1" x14ac:dyDescent="0.3">
      <c r="A18" s="127" t="s">
        <v>496</v>
      </c>
      <c r="B18" s="136" t="s">
        <v>501</v>
      </c>
      <c r="C18" s="136"/>
      <c r="D18" s="136"/>
      <c r="E18" s="136"/>
      <c r="F18" s="136"/>
      <c r="G18" s="136"/>
      <c r="H18" s="136"/>
      <c r="I18" s="136"/>
      <c r="J18" s="136"/>
    </row>
    <row r="19" spans="1:11" x14ac:dyDescent="0.3">
      <c r="B19" s="130" t="s">
        <v>502</v>
      </c>
      <c r="C19" s="131"/>
      <c r="D19" s="131"/>
      <c r="E19" s="131"/>
      <c r="F19" s="131"/>
      <c r="G19" s="131"/>
      <c r="H19" s="131"/>
      <c r="I19" s="131"/>
      <c r="J19" s="131"/>
    </row>
    <row r="22" spans="1:11" x14ac:dyDescent="0.3">
      <c r="B22" s="137" t="s">
        <v>503</v>
      </c>
      <c r="C22" s="137"/>
      <c r="D22" s="138" t="s">
        <v>504</v>
      </c>
      <c r="E22" s="138"/>
      <c r="F22" s="138"/>
      <c r="G22" s="138"/>
      <c r="H22" s="139" t="s">
        <v>505</v>
      </c>
      <c r="I22" s="139"/>
      <c r="J22" s="139"/>
    </row>
  </sheetData>
  <mergeCells count="10">
    <mergeCell ref="B18:J18"/>
    <mergeCell ref="B22:C22"/>
    <mergeCell ref="D22:G22"/>
    <mergeCell ref="H22:J22"/>
    <mergeCell ref="A6:J6"/>
    <mergeCell ref="A8:J8"/>
    <mergeCell ref="B10:J10"/>
    <mergeCell ref="B12:J12"/>
    <mergeCell ref="B14:J14"/>
    <mergeCell ref="B16:J16"/>
  </mergeCells>
  <hyperlinks>
    <hyperlink ref="B19" r:id="rId1" xr:uid="{4D076D23-A09D-4AF5-9538-4E97517792AA}"/>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CA319-F880-43CF-88C6-07C1508F84D9}">
  <sheetPr>
    <tabColor theme="5" tint="0.39997558519241921"/>
  </sheetPr>
  <dimension ref="A1:K42"/>
  <sheetViews>
    <sheetView zoomScale="115" zoomScaleNormal="115" workbookViewId="0"/>
  </sheetViews>
  <sheetFormatPr defaultRowHeight="14.4" x14ac:dyDescent="0.3"/>
  <cols>
    <col min="2" max="2" width="20" customWidth="1"/>
    <col min="3" max="5" width="11.33203125" customWidth="1"/>
    <col min="6" max="6" width="20.44140625" customWidth="1"/>
    <col min="7" max="7" width="15.88671875" customWidth="1"/>
    <col min="8" max="8" width="11.33203125" customWidth="1"/>
    <col min="9" max="9" width="28.44140625" customWidth="1"/>
    <col min="10" max="10" width="14.88671875" customWidth="1"/>
    <col min="11" max="11" width="17.21875" customWidth="1"/>
    <col min="12" max="12" width="12.6640625" customWidth="1"/>
  </cols>
  <sheetData>
    <row r="1" spans="1:11" x14ac:dyDescent="0.3">
      <c r="A1" s="135" t="s">
        <v>507</v>
      </c>
    </row>
    <row r="3" spans="1:11" x14ac:dyDescent="0.3">
      <c r="A3" s="9" t="s">
        <v>7</v>
      </c>
    </row>
    <row r="4" spans="1:11" x14ac:dyDescent="0.3">
      <c r="A4" t="s">
        <v>308</v>
      </c>
      <c r="I4" s="14"/>
      <c r="J4" s="14"/>
    </row>
    <row r="5" spans="1:11" x14ac:dyDescent="0.3">
      <c r="A5" s="76"/>
      <c r="I5" s="14"/>
      <c r="J5" s="14"/>
    </row>
    <row r="8" spans="1:11" x14ac:dyDescent="0.3">
      <c r="B8" s="8" t="s">
        <v>6</v>
      </c>
      <c r="C8" s="6"/>
      <c r="F8" s="8" t="s">
        <v>4</v>
      </c>
      <c r="G8" s="6"/>
      <c r="I8" s="8" t="s">
        <v>10</v>
      </c>
      <c r="J8" s="7"/>
      <c r="K8" s="6"/>
    </row>
    <row r="9" spans="1:11" x14ac:dyDescent="0.3">
      <c r="B9" s="5" t="s">
        <v>307</v>
      </c>
      <c r="C9" s="3"/>
      <c r="F9" s="5" t="s">
        <v>306</v>
      </c>
      <c r="G9" s="3"/>
      <c r="I9" s="5" t="s">
        <v>305</v>
      </c>
      <c r="J9" s="4"/>
      <c r="K9" s="3"/>
    </row>
    <row r="11" spans="1:11" x14ac:dyDescent="0.3">
      <c r="B11" t="s">
        <v>304</v>
      </c>
      <c r="C11" s="78">
        <v>0.03</v>
      </c>
      <c r="D11" s="1"/>
      <c r="F11" t="s">
        <v>303</v>
      </c>
      <c r="G11" s="17">
        <v>15000000</v>
      </c>
      <c r="I11" s="9" t="s">
        <v>302</v>
      </c>
    </row>
    <row r="12" spans="1:11" x14ac:dyDescent="0.3">
      <c r="B12" t="s">
        <v>301</v>
      </c>
      <c r="C12" s="78">
        <v>0.02</v>
      </c>
      <c r="D12" s="1"/>
      <c r="F12" t="s">
        <v>289</v>
      </c>
      <c r="G12" s="17">
        <v>1800000</v>
      </c>
      <c r="I12" t="s">
        <v>289</v>
      </c>
      <c r="J12" s="17">
        <v>1800000</v>
      </c>
      <c r="K12" s="17"/>
    </row>
    <row r="13" spans="1:11" x14ac:dyDescent="0.3">
      <c r="B13" t="s">
        <v>17</v>
      </c>
      <c r="C13" s="78">
        <v>0.8</v>
      </c>
      <c r="F13" t="s">
        <v>230</v>
      </c>
      <c r="G13" s="17">
        <v>110000</v>
      </c>
      <c r="I13" t="s">
        <v>242</v>
      </c>
      <c r="J13" s="17">
        <v>1600000</v>
      </c>
      <c r="K13" s="17"/>
    </row>
    <row r="14" spans="1:11" x14ac:dyDescent="0.3">
      <c r="B14" t="s">
        <v>284</v>
      </c>
      <c r="C14" s="78">
        <v>1.4999999999999999E-2</v>
      </c>
      <c r="D14" s="1"/>
      <c r="G14" s="17"/>
      <c r="I14" t="s">
        <v>300</v>
      </c>
      <c r="J14" s="17">
        <v>0</v>
      </c>
      <c r="K14" s="17"/>
    </row>
    <row r="15" spans="1:11" x14ac:dyDescent="0.3">
      <c r="B15" t="s">
        <v>242</v>
      </c>
      <c r="C15" s="78">
        <v>0.13</v>
      </c>
      <c r="D15" s="2"/>
      <c r="F15" t="s">
        <v>17</v>
      </c>
      <c r="G15" s="17">
        <v>3480000</v>
      </c>
      <c r="I15" t="s">
        <v>299</v>
      </c>
      <c r="J15" s="17">
        <v>0</v>
      </c>
      <c r="K15" s="17"/>
    </row>
    <row r="16" spans="1:11" x14ac:dyDescent="0.3">
      <c r="B16" t="s">
        <v>281</v>
      </c>
      <c r="C16" s="78">
        <v>0.02</v>
      </c>
      <c r="D16" s="1"/>
      <c r="F16" t="s">
        <v>284</v>
      </c>
      <c r="G16" s="17">
        <v>160000</v>
      </c>
      <c r="J16" s="17"/>
      <c r="K16" s="17"/>
    </row>
    <row r="17" spans="1:11" x14ac:dyDescent="0.3">
      <c r="D17" s="1"/>
      <c r="F17" t="s">
        <v>242</v>
      </c>
      <c r="G17" s="17">
        <v>3440000</v>
      </c>
      <c r="J17" s="17"/>
      <c r="K17" s="17"/>
    </row>
    <row r="18" spans="1:11" x14ac:dyDescent="0.3">
      <c r="B18" s="8" t="s">
        <v>5</v>
      </c>
      <c r="C18" s="6"/>
      <c r="D18" s="1"/>
      <c r="F18" t="s">
        <v>281</v>
      </c>
      <c r="G18" s="17">
        <v>300000</v>
      </c>
      <c r="H18" s="2"/>
      <c r="I18" s="9" t="s">
        <v>298</v>
      </c>
      <c r="J18" s="25" t="s">
        <v>297</v>
      </c>
      <c r="K18" s="25" t="s">
        <v>296</v>
      </c>
    </row>
    <row r="19" spans="1:11" x14ac:dyDescent="0.3">
      <c r="B19" s="5" t="s">
        <v>295</v>
      </c>
      <c r="C19" s="3"/>
      <c r="D19" s="1"/>
      <c r="G19" s="17"/>
      <c r="H19" s="2"/>
      <c r="I19" t="s">
        <v>294</v>
      </c>
      <c r="J19" s="17">
        <v>2000000</v>
      </c>
      <c r="K19" s="17">
        <v>13000000</v>
      </c>
    </row>
    <row r="20" spans="1:11" x14ac:dyDescent="0.3">
      <c r="F20" t="s">
        <v>293</v>
      </c>
      <c r="G20" s="17">
        <v>1270000</v>
      </c>
      <c r="I20" t="s">
        <v>17</v>
      </c>
      <c r="J20" s="17">
        <v>400000</v>
      </c>
      <c r="K20" s="17">
        <v>7860000</v>
      </c>
    </row>
    <row r="21" spans="1:11" x14ac:dyDescent="0.3">
      <c r="B21" t="s">
        <v>230</v>
      </c>
      <c r="C21" s="1">
        <v>0.05</v>
      </c>
      <c r="I21" t="s">
        <v>292</v>
      </c>
      <c r="J21" s="17">
        <v>1200000</v>
      </c>
      <c r="K21" s="17">
        <v>2280000</v>
      </c>
    </row>
    <row r="22" spans="1:11" x14ac:dyDescent="0.3">
      <c r="B22" t="s">
        <v>289</v>
      </c>
      <c r="C22" s="1">
        <v>0.02</v>
      </c>
      <c r="I22" t="s">
        <v>284</v>
      </c>
      <c r="J22" s="17">
        <v>30000</v>
      </c>
      <c r="K22" s="17">
        <v>130000</v>
      </c>
    </row>
    <row r="23" spans="1:11" x14ac:dyDescent="0.3">
      <c r="B23" t="s">
        <v>284</v>
      </c>
      <c r="C23" s="1">
        <v>0</v>
      </c>
      <c r="I23" t="s">
        <v>281</v>
      </c>
      <c r="J23" s="17">
        <v>40000</v>
      </c>
      <c r="K23" s="17">
        <v>260000</v>
      </c>
    </row>
    <row r="24" spans="1:11" x14ac:dyDescent="0.3">
      <c r="B24" t="s">
        <v>242</v>
      </c>
      <c r="C24" s="1">
        <v>0.01</v>
      </c>
      <c r="D24" s="1"/>
      <c r="I24" t="s">
        <v>242</v>
      </c>
      <c r="J24" s="17">
        <v>280000</v>
      </c>
      <c r="K24" s="17">
        <v>1560000</v>
      </c>
    </row>
    <row r="25" spans="1:11" x14ac:dyDescent="0.3">
      <c r="B25" t="s">
        <v>281</v>
      </c>
      <c r="C25" s="1">
        <v>0</v>
      </c>
      <c r="D25" s="1"/>
    </row>
    <row r="26" spans="1:11" x14ac:dyDescent="0.3">
      <c r="D26" s="1"/>
      <c r="I26" s="9"/>
      <c r="J26" s="9"/>
    </row>
    <row r="27" spans="1:11" x14ac:dyDescent="0.3">
      <c r="D27" s="1"/>
    </row>
    <row r="28" spans="1:11" x14ac:dyDescent="0.3">
      <c r="B28" t="s">
        <v>494</v>
      </c>
      <c r="D28" s="1"/>
    </row>
    <row r="29" spans="1:11" x14ac:dyDescent="0.3">
      <c r="B29" t="s">
        <v>291</v>
      </c>
      <c r="D29" s="1"/>
    </row>
    <row r="30" spans="1:11" x14ac:dyDescent="0.3">
      <c r="D30" s="1"/>
    </row>
    <row r="31" spans="1:11" x14ac:dyDescent="0.3">
      <c r="A31" t="s">
        <v>2</v>
      </c>
      <c r="B31" t="s">
        <v>290</v>
      </c>
      <c r="D31" s="1"/>
    </row>
    <row r="32" spans="1:11" x14ac:dyDescent="0.3">
      <c r="D32" s="1"/>
    </row>
    <row r="33" spans="1:4" x14ac:dyDescent="0.3">
      <c r="A33" t="s">
        <v>14</v>
      </c>
      <c r="B33" t="s">
        <v>230</v>
      </c>
      <c r="D33" s="1"/>
    </row>
    <row r="34" spans="1:4" x14ac:dyDescent="0.3">
      <c r="A34" t="s">
        <v>13</v>
      </c>
      <c r="B34" t="s">
        <v>289</v>
      </c>
      <c r="D34" s="1"/>
    </row>
    <row r="35" spans="1:4" x14ac:dyDescent="0.3">
      <c r="A35" t="s">
        <v>145</v>
      </c>
      <c r="B35" t="s">
        <v>288</v>
      </c>
      <c r="D35" s="1"/>
    </row>
    <row r="36" spans="1:4" x14ac:dyDescent="0.3">
      <c r="A36" t="s">
        <v>204</v>
      </c>
      <c r="B36" t="s">
        <v>287</v>
      </c>
      <c r="D36" s="1"/>
    </row>
    <row r="37" spans="1:4" x14ac:dyDescent="0.3">
      <c r="A37" t="s">
        <v>202</v>
      </c>
      <c r="B37" t="s">
        <v>286</v>
      </c>
      <c r="D37" s="1"/>
    </row>
    <row r="38" spans="1:4" x14ac:dyDescent="0.3">
      <c r="A38" t="s">
        <v>285</v>
      </c>
      <c r="B38" t="s">
        <v>284</v>
      </c>
      <c r="D38" s="1"/>
    </row>
    <row r="39" spans="1:4" x14ac:dyDescent="0.3">
      <c r="A39" t="s">
        <v>283</v>
      </c>
      <c r="B39" t="s">
        <v>242</v>
      </c>
      <c r="D39" s="1"/>
    </row>
    <row r="40" spans="1:4" x14ac:dyDescent="0.3">
      <c r="A40" t="s">
        <v>282</v>
      </c>
      <c r="B40" t="s">
        <v>281</v>
      </c>
      <c r="D40" s="1"/>
    </row>
    <row r="41" spans="1:4" x14ac:dyDescent="0.3">
      <c r="D41" s="1"/>
    </row>
    <row r="42" spans="1:4" x14ac:dyDescent="0.3">
      <c r="D42" s="1"/>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9A56C-C059-4F27-B0B1-B4DAAA52E21B}">
  <sheetPr>
    <tabColor theme="9" tint="0.59999389629810485"/>
  </sheetPr>
  <dimension ref="A1:K82"/>
  <sheetViews>
    <sheetView zoomScale="115" zoomScaleNormal="115" workbookViewId="0"/>
  </sheetViews>
  <sheetFormatPr defaultRowHeight="14.4" x14ac:dyDescent="0.3"/>
  <cols>
    <col min="2" max="2" width="20" customWidth="1"/>
    <col min="3" max="3" width="15.44140625" customWidth="1"/>
    <col min="4" max="4" width="14.44140625" customWidth="1"/>
    <col min="5" max="5" width="15.5546875" customWidth="1"/>
    <col min="6" max="6" width="20.44140625" customWidth="1"/>
    <col min="7" max="7" width="17.88671875" customWidth="1"/>
    <col min="8" max="8" width="11.33203125" customWidth="1"/>
    <col min="9" max="9" width="28.44140625" customWidth="1"/>
    <col min="10" max="10" width="14.6640625" customWidth="1"/>
    <col min="11" max="11" width="15.77734375" bestFit="1" customWidth="1"/>
    <col min="12" max="12" width="12.6640625" customWidth="1"/>
  </cols>
  <sheetData>
    <row r="1" spans="1:11" x14ac:dyDescent="0.3">
      <c r="A1" s="135" t="s">
        <v>507</v>
      </c>
    </row>
    <row r="3" spans="1:11" x14ac:dyDescent="0.3">
      <c r="A3" s="9" t="s">
        <v>7</v>
      </c>
    </row>
    <row r="4" spans="1:11" x14ac:dyDescent="0.3">
      <c r="A4" t="s">
        <v>308</v>
      </c>
      <c r="I4" s="14"/>
      <c r="J4" s="14"/>
    </row>
    <row r="5" spans="1:11" x14ac:dyDescent="0.3">
      <c r="A5" s="76"/>
      <c r="I5" s="14"/>
      <c r="J5" s="14"/>
    </row>
    <row r="8" spans="1:11" x14ac:dyDescent="0.3">
      <c r="B8" s="8" t="s">
        <v>6</v>
      </c>
      <c r="C8" s="6"/>
      <c r="F8" s="8" t="s">
        <v>4</v>
      </c>
      <c r="G8" s="6"/>
      <c r="I8" s="8" t="s">
        <v>10</v>
      </c>
      <c r="J8" s="7"/>
      <c r="K8" s="6"/>
    </row>
    <row r="9" spans="1:11" x14ac:dyDescent="0.3">
      <c r="B9" s="5" t="s">
        <v>307</v>
      </c>
      <c r="C9" s="3"/>
      <c r="F9" s="5" t="s">
        <v>306</v>
      </c>
      <c r="G9" s="3"/>
      <c r="I9" s="5" t="s">
        <v>305</v>
      </c>
      <c r="J9" s="4"/>
      <c r="K9" s="3"/>
    </row>
    <row r="11" spans="1:11" x14ac:dyDescent="0.3">
      <c r="B11" t="s">
        <v>304</v>
      </c>
      <c r="C11" s="78">
        <v>0.03</v>
      </c>
      <c r="D11" s="1"/>
      <c r="F11" t="s">
        <v>303</v>
      </c>
      <c r="G11" s="17">
        <v>15000000</v>
      </c>
      <c r="I11" s="9" t="s">
        <v>302</v>
      </c>
    </row>
    <row r="12" spans="1:11" x14ac:dyDescent="0.3">
      <c r="B12" t="s">
        <v>301</v>
      </c>
      <c r="C12" s="78">
        <v>0.02</v>
      </c>
      <c r="D12" s="1"/>
      <c r="F12" t="s">
        <v>289</v>
      </c>
      <c r="G12" s="17">
        <v>1800000</v>
      </c>
      <c r="I12" t="s">
        <v>289</v>
      </c>
      <c r="J12" s="25">
        <v>1800000</v>
      </c>
      <c r="K12" s="25"/>
    </row>
    <row r="13" spans="1:11" x14ac:dyDescent="0.3">
      <c r="B13" t="s">
        <v>17</v>
      </c>
      <c r="C13" s="78">
        <v>0.8</v>
      </c>
      <c r="F13" t="s">
        <v>230</v>
      </c>
      <c r="G13" s="17">
        <v>110000</v>
      </c>
      <c r="I13" t="s">
        <v>242</v>
      </c>
      <c r="J13" s="25">
        <v>1600000</v>
      </c>
      <c r="K13" s="25"/>
    </row>
    <row r="14" spans="1:11" x14ac:dyDescent="0.3">
      <c r="B14" t="s">
        <v>284</v>
      </c>
      <c r="C14" s="78">
        <v>1.4999999999999999E-2</v>
      </c>
      <c r="D14" s="1"/>
      <c r="G14" s="17"/>
      <c r="I14" t="s">
        <v>300</v>
      </c>
      <c r="J14" s="25">
        <v>0</v>
      </c>
      <c r="K14" s="25"/>
    </row>
    <row r="15" spans="1:11" x14ac:dyDescent="0.3">
      <c r="B15" t="s">
        <v>242</v>
      </c>
      <c r="C15" s="78">
        <v>0.13</v>
      </c>
      <c r="D15" s="2"/>
      <c r="F15" t="s">
        <v>17</v>
      </c>
      <c r="G15" s="17">
        <v>3480000</v>
      </c>
      <c r="I15" t="s">
        <v>299</v>
      </c>
      <c r="J15" s="25">
        <v>0</v>
      </c>
      <c r="K15" s="25"/>
    </row>
    <row r="16" spans="1:11" x14ac:dyDescent="0.3">
      <c r="B16" t="s">
        <v>281</v>
      </c>
      <c r="C16" s="78">
        <v>0.02</v>
      </c>
      <c r="D16" s="1"/>
      <c r="F16" t="s">
        <v>284</v>
      </c>
      <c r="G16" s="17">
        <v>160000</v>
      </c>
      <c r="J16" s="25"/>
      <c r="K16" s="25"/>
    </row>
    <row r="17" spans="1:11" x14ac:dyDescent="0.3">
      <c r="D17" s="1"/>
      <c r="F17" t="s">
        <v>242</v>
      </c>
      <c r="G17" s="17">
        <v>3440000</v>
      </c>
      <c r="J17" s="25"/>
      <c r="K17" s="25"/>
    </row>
    <row r="18" spans="1:11" x14ac:dyDescent="0.3">
      <c r="B18" s="8" t="s">
        <v>5</v>
      </c>
      <c r="C18" s="6"/>
      <c r="D18" s="1"/>
      <c r="F18" t="s">
        <v>281</v>
      </c>
      <c r="G18" s="17">
        <v>300000</v>
      </c>
      <c r="H18" s="2"/>
      <c r="I18" s="9" t="s">
        <v>298</v>
      </c>
      <c r="J18" s="25" t="s">
        <v>297</v>
      </c>
      <c r="K18" s="25" t="s">
        <v>296</v>
      </c>
    </row>
    <row r="19" spans="1:11" x14ac:dyDescent="0.3">
      <c r="B19" s="5" t="s">
        <v>295</v>
      </c>
      <c r="C19" s="3"/>
      <c r="D19" s="1"/>
      <c r="G19" s="17"/>
      <c r="H19" s="2"/>
      <c r="I19" t="s">
        <v>294</v>
      </c>
      <c r="J19" s="25">
        <v>2000000</v>
      </c>
      <c r="K19" s="25">
        <v>13000000</v>
      </c>
    </row>
    <row r="20" spans="1:11" x14ac:dyDescent="0.3">
      <c r="F20" t="s">
        <v>293</v>
      </c>
      <c r="G20" s="17">
        <v>1270000</v>
      </c>
      <c r="I20" t="s">
        <v>17</v>
      </c>
      <c r="J20" s="25">
        <v>400000</v>
      </c>
      <c r="K20" s="25">
        <v>7860000</v>
      </c>
    </row>
    <row r="21" spans="1:11" x14ac:dyDescent="0.3">
      <c r="B21" t="s">
        <v>230</v>
      </c>
      <c r="C21" s="1">
        <v>0.05</v>
      </c>
      <c r="I21" t="s">
        <v>292</v>
      </c>
      <c r="J21" s="25">
        <v>1200000</v>
      </c>
      <c r="K21" s="25">
        <v>2280000</v>
      </c>
    </row>
    <row r="22" spans="1:11" x14ac:dyDescent="0.3">
      <c r="B22" t="s">
        <v>289</v>
      </c>
      <c r="C22" s="1">
        <v>0.02</v>
      </c>
      <c r="I22" t="s">
        <v>284</v>
      </c>
      <c r="J22" s="25">
        <v>30000</v>
      </c>
      <c r="K22" s="25">
        <v>130000</v>
      </c>
    </row>
    <row r="23" spans="1:11" x14ac:dyDescent="0.3">
      <c r="B23" t="s">
        <v>284</v>
      </c>
      <c r="C23" s="1">
        <v>0</v>
      </c>
      <c r="I23" t="s">
        <v>281</v>
      </c>
      <c r="J23" s="25">
        <v>40000</v>
      </c>
      <c r="K23" s="25">
        <v>260000</v>
      </c>
    </row>
    <row r="24" spans="1:11" x14ac:dyDescent="0.3">
      <c r="B24" t="s">
        <v>242</v>
      </c>
      <c r="C24" s="1">
        <v>0.01</v>
      </c>
      <c r="D24" s="1"/>
      <c r="I24" t="s">
        <v>242</v>
      </c>
      <c r="J24" s="25">
        <v>280000</v>
      </c>
      <c r="K24" s="25">
        <v>1560000</v>
      </c>
    </row>
    <row r="25" spans="1:11" x14ac:dyDescent="0.3">
      <c r="B25" t="s">
        <v>281</v>
      </c>
      <c r="C25" s="1">
        <v>0</v>
      </c>
      <c r="D25" s="1"/>
    </row>
    <row r="26" spans="1:11" x14ac:dyDescent="0.3">
      <c r="D26" s="1"/>
      <c r="I26" s="9"/>
      <c r="J26" s="9"/>
    </row>
    <row r="27" spans="1:11" x14ac:dyDescent="0.3">
      <c r="D27" s="1"/>
    </row>
    <row r="28" spans="1:11" x14ac:dyDescent="0.3">
      <c r="B28" t="s">
        <v>494</v>
      </c>
      <c r="D28" s="1"/>
    </row>
    <row r="29" spans="1:11" x14ac:dyDescent="0.3">
      <c r="B29" t="s">
        <v>291</v>
      </c>
      <c r="D29" s="1"/>
    </row>
    <row r="30" spans="1:11" x14ac:dyDescent="0.3">
      <c r="D30" s="1"/>
    </row>
    <row r="31" spans="1:11" x14ac:dyDescent="0.3">
      <c r="A31" t="s">
        <v>2</v>
      </c>
      <c r="B31" t="s">
        <v>290</v>
      </c>
      <c r="D31" s="1"/>
    </row>
    <row r="32" spans="1:11" x14ac:dyDescent="0.3">
      <c r="D32" s="1"/>
    </row>
    <row r="33" spans="1:7" x14ac:dyDescent="0.3">
      <c r="A33" t="s">
        <v>14</v>
      </c>
      <c r="B33" t="s">
        <v>230</v>
      </c>
      <c r="D33" s="1"/>
    </row>
    <row r="34" spans="1:7" x14ac:dyDescent="0.3">
      <c r="A34" t="s">
        <v>13</v>
      </c>
      <c r="B34" t="s">
        <v>289</v>
      </c>
      <c r="D34" s="1"/>
    </row>
    <row r="35" spans="1:7" x14ac:dyDescent="0.3">
      <c r="A35" t="s">
        <v>145</v>
      </c>
      <c r="B35" t="s">
        <v>288</v>
      </c>
      <c r="D35" s="1"/>
    </row>
    <row r="36" spans="1:7" x14ac:dyDescent="0.3">
      <c r="A36" t="s">
        <v>204</v>
      </c>
      <c r="B36" t="s">
        <v>287</v>
      </c>
      <c r="D36" s="1"/>
    </row>
    <row r="37" spans="1:7" x14ac:dyDescent="0.3">
      <c r="A37" t="s">
        <v>202</v>
      </c>
      <c r="B37" t="s">
        <v>286</v>
      </c>
      <c r="D37" s="1"/>
    </row>
    <row r="38" spans="1:7" x14ac:dyDescent="0.3">
      <c r="A38" t="s">
        <v>285</v>
      </c>
      <c r="B38" t="s">
        <v>284</v>
      </c>
      <c r="D38" s="1"/>
    </row>
    <row r="39" spans="1:7" x14ac:dyDescent="0.3">
      <c r="A39" t="s">
        <v>283</v>
      </c>
      <c r="B39" t="s">
        <v>242</v>
      </c>
      <c r="D39" s="1"/>
    </row>
    <row r="40" spans="1:7" x14ac:dyDescent="0.3">
      <c r="A40" t="s">
        <v>282</v>
      </c>
      <c r="B40" t="s">
        <v>281</v>
      </c>
      <c r="D40" s="1"/>
    </row>
    <row r="41" spans="1:7" x14ac:dyDescent="0.3">
      <c r="D41" s="1"/>
      <c r="G41" s="108" t="s">
        <v>9</v>
      </c>
    </row>
    <row r="42" spans="1:7" x14ac:dyDescent="0.3">
      <c r="D42" s="1"/>
      <c r="G42" t="s">
        <v>334</v>
      </c>
    </row>
    <row r="43" spans="1:7" ht="15" thickBot="1" x14ac:dyDescent="0.35">
      <c r="D43" s="1"/>
      <c r="G43" t="s">
        <v>333</v>
      </c>
    </row>
    <row r="44" spans="1:7" ht="29.4" thickBot="1" x14ac:dyDescent="0.35">
      <c r="C44" s="107" t="s">
        <v>306</v>
      </c>
      <c r="D44" s="106" t="s">
        <v>332</v>
      </c>
      <c r="E44" s="105" t="s">
        <v>331</v>
      </c>
    </row>
    <row r="45" spans="1:7" x14ac:dyDescent="0.3">
      <c r="B45" t="s">
        <v>230</v>
      </c>
      <c r="C45" s="17">
        <f>G13</f>
        <v>110000</v>
      </c>
      <c r="D45" s="17">
        <f>(J21+K21)*(C21-C12)</f>
        <v>104400.00000000001</v>
      </c>
      <c r="E45" s="17">
        <f>G13-D45</f>
        <v>5599.9999999999854</v>
      </c>
      <c r="G45" t="s">
        <v>330</v>
      </c>
    </row>
    <row r="46" spans="1:7" x14ac:dyDescent="0.3">
      <c r="C46" s="17"/>
      <c r="D46" s="17"/>
      <c r="E46" s="17"/>
      <c r="G46" t="s">
        <v>329</v>
      </c>
    </row>
    <row r="47" spans="1:7" x14ac:dyDescent="0.3">
      <c r="C47" s="17"/>
      <c r="D47" s="17"/>
      <c r="E47" s="17"/>
    </row>
    <row r="48" spans="1:7" x14ac:dyDescent="0.3">
      <c r="B48" t="s">
        <v>289</v>
      </c>
      <c r="C48" s="17">
        <f>G12</f>
        <v>1800000</v>
      </c>
      <c r="D48" s="17">
        <f>G12*C22</f>
        <v>36000</v>
      </c>
      <c r="E48" s="17">
        <f>J12-J13+J14-J15-D48</f>
        <v>164000</v>
      </c>
      <c r="G48" t="s">
        <v>328</v>
      </c>
    </row>
    <row r="49" spans="2:7" x14ac:dyDescent="0.3">
      <c r="C49" s="17"/>
      <c r="D49" s="17"/>
      <c r="E49" s="17"/>
      <c r="G49" t="s">
        <v>327</v>
      </c>
    </row>
    <row r="50" spans="2:7" x14ac:dyDescent="0.3">
      <c r="C50" s="17"/>
      <c r="D50" s="17"/>
      <c r="E50" s="17"/>
      <c r="G50" t="s">
        <v>326</v>
      </c>
    </row>
    <row r="51" spans="2:7" x14ac:dyDescent="0.3">
      <c r="C51" s="17"/>
      <c r="D51" s="17"/>
      <c r="E51" s="17"/>
    </row>
    <row r="52" spans="2:7" x14ac:dyDescent="0.3">
      <c r="B52" t="s">
        <v>288</v>
      </c>
      <c r="C52" s="17">
        <f>J19-J20-J21</f>
        <v>400000</v>
      </c>
      <c r="D52" s="17">
        <f>J19*$C$11</f>
        <v>60000</v>
      </c>
      <c r="E52" s="17">
        <f>J19-J20-J21+J21*C12-J19*(C14+C16+C15)-D52</f>
        <v>34000</v>
      </c>
      <c r="G52" t="s">
        <v>325</v>
      </c>
    </row>
    <row r="53" spans="2:7" x14ac:dyDescent="0.3">
      <c r="C53" s="17"/>
      <c r="D53" s="17"/>
      <c r="E53" s="17"/>
      <c r="G53" t="s">
        <v>324</v>
      </c>
    </row>
    <row r="54" spans="2:7" x14ac:dyDescent="0.3">
      <c r="C54" s="17"/>
      <c r="D54" s="17"/>
      <c r="E54" s="17"/>
      <c r="G54" t="s">
        <v>323</v>
      </c>
    </row>
    <row r="55" spans="2:7" x14ac:dyDescent="0.3">
      <c r="C55" s="17"/>
      <c r="D55" s="17"/>
      <c r="E55" s="17"/>
      <c r="G55" t="s">
        <v>322</v>
      </c>
    </row>
    <row r="56" spans="2:7" x14ac:dyDescent="0.3">
      <c r="C56" s="17"/>
      <c r="D56" s="17"/>
      <c r="E56" s="17"/>
    </row>
    <row r="57" spans="2:7" x14ac:dyDescent="0.3">
      <c r="B57" t="s">
        <v>287</v>
      </c>
      <c r="C57" s="17">
        <f>K19-K20-K21</f>
        <v>2860000</v>
      </c>
      <c r="D57" s="17">
        <f>K19*$C$11</f>
        <v>390000</v>
      </c>
      <c r="E57" s="17">
        <f>K19-K20-K21+K21*C12-K19*(C14+C16+C15)-D57</f>
        <v>370600</v>
      </c>
      <c r="G57" t="s">
        <v>321</v>
      </c>
    </row>
    <row r="58" spans="2:7" x14ac:dyDescent="0.3">
      <c r="C58" s="17"/>
      <c r="D58" s="17"/>
      <c r="E58" s="17"/>
    </row>
    <row r="59" spans="2:7" x14ac:dyDescent="0.3">
      <c r="B59" t="s">
        <v>286</v>
      </c>
      <c r="C59" s="17">
        <v>0</v>
      </c>
      <c r="D59" s="17">
        <v>0</v>
      </c>
      <c r="E59" s="17">
        <v>0</v>
      </c>
      <c r="G59" t="s">
        <v>320</v>
      </c>
    </row>
    <row r="60" spans="2:7" x14ac:dyDescent="0.3">
      <c r="C60" s="17"/>
      <c r="D60" s="17"/>
      <c r="E60" s="17"/>
    </row>
    <row r="61" spans="2:7" x14ac:dyDescent="0.3">
      <c r="B61" t="s">
        <v>284</v>
      </c>
      <c r="C61" s="17">
        <f>-G16</f>
        <v>-160000</v>
      </c>
      <c r="D61" s="17">
        <f>G11*$C$14*$C$23</f>
        <v>0</v>
      </c>
      <c r="E61" s="17">
        <f>G11*C14-G16-D61</f>
        <v>65000</v>
      </c>
      <c r="G61" t="s">
        <v>318</v>
      </c>
    </row>
    <row r="62" spans="2:7" x14ac:dyDescent="0.3">
      <c r="C62" s="17"/>
      <c r="D62" s="17"/>
      <c r="E62" s="17"/>
      <c r="G62" t="s">
        <v>319</v>
      </c>
    </row>
    <row r="63" spans="2:7" x14ac:dyDescent="0.3">
      <c r="C63" s="17"/>
      <c r="D63" s="17"/>
      <c r="E63" s="17"/>
      <c r="G63" t="s">
        <v>318</v>
      </c>
    </row>
    <row r="64" spans="2:7" x14ac:dyDescent="0.3">
      <c r="C64" s="17"/>
      <c r="D64" s="17"/>
      <c r="E64" s="17"/>
      <c r="G64" t="s">
        <v>317</v>
      </c>
    </row>
    <row r="65" spans="2:7" x14ac:dyDescent="0.3">
      <c r="C65" s="17"/>
      <c r="D65" s="17"/>
      <c r="E65" s="17"/>
    </row>
    <row r="66" spans="2:7" x14ac:dyDescent="0.3">
      <c r="B66" t="s">
        <v>242</v>
      </c>
      <c r="C66" s="17">
        <f>-G17</f>
        <v>-3440000</v>
      </c>
      <c r="D66" s="17">
        <f>-G11*$C$15*$C$24</f>
        <v>-19500</v>
      </c>
      <c r="E66" s="17">
        <f>G11*C15-J24-K24-D66-(J21+K21)*C12</f>
        <v>59900</v>
      </c>
      <c r="G66" t="s">
        <v>316</v>
      </c>
    </row>
    <row r="67" spans="2:7" x14ac:dyDescent="0.3">
      <c r="C67" s="17"/>
      <c r="D67" s="17"/>
      <c r="E67" s="17"/>
      <c r="G67" t="s">
        <v>315</v>
      </c>
    </row>
    <row r="68" spans="2:7" x14ac:dyDescent="0.3">
      <c r="C68" s="17"/>
      <c r="D68" s="17"/>
      <c r="E68" s="17"/>
      <c r="G68" t="s">
        <v>314</v>
      </c>
    </row>
    <row r="69" spans="2:7" x14ac:dyDescent="0.3">
      <c r="C69" s="17"/>
      <c r="D69" s="17"/>
      <c r="E69" s="17"/>
      <c r="G69" t="s">
        <v>313</v>
      </c>
    </row>
    <row r="70" spans="2:7" x14ac:dyDescent="0.3">
      <c r="C70" s="17"/>
      <c r="D70" s="17"/>
      <c r="E70" s="17"/>
    </row>
    <row r="71" spans="2:7" x14ac:dyDescent="0.3">
      <c r="B71" t="s">
        <v>281</v>
      </c>
      <c r="C71" s="17">
        <f>-G18</f>
        <v>-300000</v>
      </c>
      <c r="D71" s="17">
        <f>J19*$C$16*$C$25</f>
        <v>0</v>
      </c>
      <c r="E71" s="17">
        <f>G11*C16-G18-D71</f>
        <v>0</v>
      </c>
      <c r="G71" t="s">
        <v>311</v>
      </c>
    </row>
    <row r="72" spans="2:7" x14ac:dyDescent="0.3">
      <c r="C72" s="17"/>
      <c r="D72" s="17"/>
      <c r="E72" s="17"/>
      <c r="G72" t="s">
        <v>312</v>
      </c>
    </row>
    <row r="73" spans="2:7" x14ac:dyDescent="0.3">
      <c r="C73" s="17"/>
      <c r="D73" s="17"/>
      <c r="E73" s="17"/>
      <c r="G73" t="s">
        <v>311</v>
      </c>
    </row>
    <row r="74" spans="2:7" x14ac:dyDescent="0.3">
      <c r="C74" s="17"/>
      <c r="D74" s="17"/>
      <c r="E74" s="17"/>
      <c r="G74" t="s">
        <v>310</v>
      </c>
    </row>
    <row r="75" spans="2:7" x14ac:dyDescent="0.3">
      <c r="C75" s="17"/>
      <c r="D75" s="17"/>
      <c r="E75" s="17"/>
    </row>
    <row r="76" spans="2:7" x14ac:dyDescent="0.3">
      <c r="B76" t="s">
        <v>262</v>
      </c>
      <c r="C76" s="17">
        <f>SUM(C45:C71)</f>
        <v>1270000</v>
      </c>
      <c r="D76" s="17">
        <f>SUM(D45:D71)</f>
        <v>570900</v>
      </c>
      <c r="E76" s="17">
        <f>SUM(E45:E71)</f>
        <v>699100</v>
      </c>
      <c r="G76" t="s">
        <v>309</v>
      </c>
    </row>
    <row r="77" spans="2:7" x14ac:dyDescent="0.3">
      <c r="C77" s="17"/>
      <c r="D77" s="17"/>
      <c r="E77" s="17"/>
    </row>
    <row r="78" spans="2:7" x14ac:dyDescent="0.3">
      <c r="C78" s="17"/>
      <c r="D78" s="17"/>
      <c r="E78" s="17"/>
    </row>
    <row r="80" spans="2:7" x14ac:dyDescent="0.3">
      <c r="F80" s="2"/>
    </row>
    <row r="81" spans="3:6" x14ac:dyDescent="0.3">
      <c r="F81" s="2"/>
    </row>
    <row r="82" spans="3:6" x14ac:dyDescent="0.3">
      <c r="C82" s="2"/>
      <c r="D82" s="2"/>
      <c r="E82" s="2"/>
      <c r="F82" s="2"/>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F656F-BA1D-43C3-B10D-A2D3E04352C5}">
  <sheetPr>
    <tabColor theme="5" tint="0.39997558519241921"/>
  </sheetPr>
  <dimension ref="A1:F18"/>
  <sheetViews>
    <sheetView zoomScale="115" zoomScaleNormal="115" workbookViewId="0"/>
  </sheetViews>
  <sheetFormatPr defaultRowHeight="14.4" x14ac:dyDescent="0.3"/>
  <cols>
    <col min="2" max="2" width="30.5546875" customWidth="1"/>
    <col min="3" max="3" width="13" bestFit="1" customWidth="1"/>
    <col min="4" max="4" width="11.33203125" customWidth="1"/>
    <col min="5" max="5" width="30.5546875" customWidth="1"/>
    <col min="6" max="8" width="11.33203125" customWidth="1"/>
    <col min="20" max="22" width="10" bestFit="1" customWidth="1"/>
  </cols>
  <sheetData>
    <row r="1" spans="1:6" x14ac:dyDescent="0.3">
      <c r="A1" s="135" t="s">
        <v>507</v>
      </c>
    </row>
    <row r="3" spans="1:6" x14ac:dyDescent="0.3">
      <c r="A3" s="9" t="s">
        <v>7</v>
      </c>
    </row>
    <row r="4" spans="1:6" x14ac:dyDescent="0.3">
      <c r="A4" t="s">
        <v>344</v>
      </c>
    </row>
    <row r="5" spans="1:6" x14ac:dyDescent="0.3">
      <c r="A5" s="9"/>
    </row>
    <row r="8" spans="1:6" x14ac:dyDescent="0.3">
      <c r="B8" s="8" t="s">
        <v>6</v>
      </c>
      <c r="C8" s="6"/>
      <c r="E8" s="8" t="s">
        <v>5</v>
      </c>
      <c r="F8" s="6"/>
    </row>
    <row r="9" spans="1:6" x14ac:dyDescent="0.3">
      <c r="B9" s="5" t="s">
        <v>343</v>
      </c>
      <c r="C9" s="3"/>
      <c r="E9" s="5" t="s">
        <v>342</v>
      </c>
      <c r="F9" s="3"/>
    </row>
    <row r="11" spans="1:6" x14ac:dyDescent="0.3">
      <c r="B11" s="76" t="s">
        <v>341</v>
      </c>
      <c r="C11" s="18">
        <v>50000000</v>
      </c>
      <c r="E11" s="76" t="s">
        <v>340</v>
      </c>
      <c r="F11" s="109">
        <v>5.5E-2</v>
      </c>
    </row>
    <row r="12" spans="1:6" ht="28.8" x14ac:dyDescent="0.3">
      <c r="B12" s="76" t="s">
        <v>339</v>
      </c>
      <c r="C12" s="18">
        <v>2000000</v>
      </c>
    </row>
    <row r="13" spans="1:6" x14ac:dyDescent="0.3">
      <c r="B13" s="76" t="s">
        <v>338</v>
      </c>
      <c r="C13" s="18">
        <v>800000</v>
      </c>
    </row>
    <row r="15" spans="1:6" x14ac:dyDescent="0.3">
      <c r="B15" t="s">
        <v>337</v>
      </c>
    </row>
    <row r="16" spans="1:6" x14ac:dyDescent="0.3">
      <c r="B16" t="s">
        <v>336</v>
      </c>
    </row>
    <row r="18" spans="1:2" x14ac:dyDescent="0.3">
      <c r="A18" t="s">
        <v>2</v>
      </c>
      <c r="B18" t="s">
        <v>335</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EBD7F-6403-4DA7-A276-30038D01F371}">
  <sheetPr>
    <tabColor theme="9" tint="0.59999389629810485"/>
  </sheetPr>
  <dimension ref="A1:F32"/>
  <sheetViews>
    <sheetView zoomScale="115" zoomScaleNormal="115" workbookViewId="0"/>
  </sheetViews>
  <sheetFormatPr defaultRowHeight="14.4" x14ac:dyDescent="0.3"/>
  <cols>
    <col min="2" max="2" width="30.5546875" customWidth="1"/>
    <col min="3" max="3" width="13.88671875" bestFit="1" customWidth="1"/>
    <col min="4" max="4" width="11.33203125" customWidth="1"/>
    <col min="5" max="5" width="30.5546875" customWidth="1"/>
    <col min="6" max="8" width="11.33203125" customWidth="1"/>
    <col min="20" max="22" width="10" bestFit="1" customWidth="1"/>
  </cols>
  <sheetData>
    <row r="1" spans="1:6" x14ac:dyDescent="0.3">
      <c r="A1" s="135" t="s">
        <v>507</v>
      </c>
    </row>
    <row r="3" spans="1:6" x14ac:dyDescent="0.3">
      <c r="A3" s="9" t="s">
        <v>7</v>
      </c>
    </row>
    <row r="4" spans="1:6" x14ac:dyDescent="0.3">
      <c r="A4" t="s">
        <v>344</v>
      </c>
    </row>
    <row r="5" spans="1:6" x14ac:dyDescent="0.3">
      <c r="A5" s="9"/>
    </row>
    <row r="8" spans="1:6" x14ac:dyDescent="0.3">
      <c r="B8" s="8" t="s">
        <v>6</v>
      </c>
      <c r="C8" s="6"/>
      <c r="E8" s="8" t="s">
        <v>5</v>
      </c>
      <c r="F8" s="6"/>
    </row>
    <row r="9" spans="1:6" x14ac:dyDescent="0.3">
      <c r="B9" s="5" t="s">
        <v>343</v>
      </c>
      <c r="C9" s="3"/>
      <c r="E9" s="5" t="s">
        <v>342</v>
      </c>
      <c r="F9" s="3"/>
    </row>
    <row r="11" spans="1:6" x14ac:dyDescent="0.3">
      <c r="B11" s="76" t="s">
        <v>341</v>
      </c>
      <c r="C11" s="18">
        <v>50000000</v>
      </c>
      <c r="E11" s="76" t="s">
        <v>340</v>
      </c>
      <c r="F11" s="109">
        <v>5.5E-2</v>
      </c>
    </row>
    <row r="12" spans="1:6" ht="28.8" x14ac:dyDescent="0.3">
      <c r="B12" s="76" t="s">
        <v>339</v>
      </c>
      <c r="C12" s="18">
        <v>2000000</v>
      </c>
    </row>
    <row r="13" spans="1:6" x14ac:dyDescent="0.3">
      <c r="B13" s="76" t="s">
        <v>338</v>
      </c>
      <c r="C13" s="18">
        <v>800000</v>
      </c>
    </row>
    <row r="15" spans="1:6" x14ac:dyDescent="0.3">
      <c r="B15" t="s">
        <v>337</v>
      </c>
    </row>
    <row r="16" spans="1:6" x14ac:dyDescent="0.3">
      <c r="B16" t="s">
        <v>336</v>
      </c>
    </row>
    <row r="18" spans="1:6" x14ac:dyDescent="0.3">
      <c r="A18" t="s">
        <v>2</v>
      </c>
      <c r="B18" t="s">
        <v>335</v>
      </c>
    </row>
    <row r="19" spans="1:6" x14ac:dyDescent="0.3">
      <c r="F19" s="14" t="s">
        <v>9</v>
      </c>
    </row>
    <row r="20" spans="1:6" x14ac:dyDescent="0.3">
      <c r="B20" t="s">
        <v>360</v>
      </c>
      <c r="C20" s="18">
        <f>C11*F11*0.55</f>
        <v>1512500.0000000002</v>
      </c>
      <c r="F20" t="s">
        <v>359</v>
      </c>
    </row>
    <row r="21" spans="1:6" x14ac:dyDescent="0.3">
      <c r="C21" s="18"/>
      <c r="F21" t="s">
        <v>358</v>
      </c>
    </row>
    <row r="22" spans="1:6" ht="28.8" x14ac:dyDescent="0.3">
      <c r="B22" s="76" t="s">
        <v>357</v>
      </c>
      <c r="C22" s="18">
        <f>C12*F11</f>
        <v>110000</v>
      </c>
      <c r="F22" t="s">
        <v>356</v>
      </c>
    </row>
    <row r="23" spans="1:6" x14ac:dyDescent="0.3">
      <c r="C23" s="18"/>
      <c r="F23" t="s">
        <v>355</v>
      </c>
    </row>
    <row r="24" spans="1:6" ht="43.2" x14ac:dyDescent="0.3">
      <c r="B24" s="76" t="s">
        <v>354</v>
      </c>
      <c r="C24" s="18">
        <f>C13*50%</f>
        <v>400000</v>
      </c>
      <c r="F24" t="s">
        <v>353</v>
      </c>
    </row>
    <row r="25" spans="1:6" x14ac:dyDescent="0.3">
      <c r="C25" s="18"/>
      <c r="F25" s="2"/>
    </row>
    <row r="26" spans="1:6" ht="28.8" x14ac:dyDescent="0.3">
      <c r="B26" s="76" t="s">
        <v>352</v>
      </c>
      <c r="C26" s="18">
        <f>C20+C22-C24</f>
        <v>1222500.0000000002</v>
      </c>
      <c r="F26" t="s">
        <v>351</v>
      </c>
    </row>
    <row r="27" spans="1:6" x14ac:dyDescent="0.3">
      <c r="C27" s="18"/>
    </row>
    <row r="28" spans="1:6" ht="28.8" x14ac:dyDescent="0.3">
      <c r="B28" s="76" t="s">
        <v>350</v>
      </c>
      <c r="C28" s="18">
        <v>0</v>
      </c>
      <c r="F28" t="s">
        <v>349</v>
      </c>
    </row>
    <row r="29" spans="1:6" x14ac:dyDescent="0.3">
      <c r="C29" s="18"/>
    </row>
    <row r="30" spans="1:6" ht="28.8" x14ac:dyDescent="0.3">
      <c r="B30" s="76" t="s">
        <v>348</v>
      </c>
      <c r="C30" s="18">
        <f>C26-C28</f>
        <v>1222500.0000000002</v>
      </c>
      <c r="F30" t="s">
        <v>347</v>
      </c>
    </row>
    <row r="31" spans="1:6" ht="15" thickBot="1" x14ac:dyDescent="0.35">
      <c r="C31" s="18"/>
    </row>
    <row r="32" spans="1:6" ht="15" thickBot="1" x14ac:dyDescent="0.35">
      <c r="B32" t="s">
        <v>346</v>
      </c>
      <c r="C32" s="110">
        <f>C30*0.15</f>
        <v>183375.00000000003</v>
      </c>
      <c r="F32" t="s">
        <v>345</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0EFAD-18A8-4EB2-A964-36ADDBD287B5}">
  <sheetPr>
    <tabColor theme="5" tint="0.39997558519241921"/>
  </sheetPr>
  <dimension ref="A1:F21"/>
  <sheetViews>
    <sheetView zoomScale="115" zoomScaleNormal="115" workbookViewId="0"/>
  </sheetViews>
  <sheetFormatPr defaultRowHeight="14.4" x14ac:dyDescent="0.3"/>
  <cols>
    <col min="2" max="2" width="26.6640625" customWidth="1"/>
    <col min="3" max="7" width="11.33203125" customWidth="1"/>
    <col min="19" max="21" width="10" bestFit="1" customWidth="1"/>
  </cols>
  <sheetData>
    <row r="1" spans="1:6" x14ac:dyDescent="0.3">
      <c r="A1" s="135" t="s">
        <v>507</v>
      </c>
    </row>
    <row r="3" spans="1:6" x14ac:dyDescent="0.3">
      <c r="A3" s="9" t="s">
        <v>7</v>
      </c>
    </row>
    <row r="4" spans="1:6" x14ac:dyDescent="0.3">
      <c r="A4" t="s">
        <v>508</v>
      </c>
    </row>
    <row r="5" spans="1:6" x14ac:dyDescent="0.3">
      <c r="A5" s="9"/>
    </row>
    <row r="8" spans="1:6" x14ac:dyDescent="0.3">
      <c r="B8" s="8" t="s">
        <v>6</v>
      </c>
      <c r="C8" s="7"/>
      <c r="D8" s="7"/>
      <c r="E8" s="7"/>
      <c r="F8" s="6"/>
    </row>
    <row r="9" spans="1:6" x14ac:dyDescent="0.3">
      <c r="B9" s="5" t="s">
        <v>387</v>
      </c>
      <c r="C9" s="4"/>
      <c r="D9" s="4"/>
      <c r="E9" s="4"/>
      <c r="F9" s="3"/>
    </row>
    <row r="10" spans="1:6" x14ac:dyDescent="0.3">
      <c r="E10" s="72"/>
      <c r="F10" s="72"/>
    </row>
    <row r="11" spans="1:6" x14ac:dyDescent="0.3">
      <c r="C11" s="10" t="s">
        <v>386</v>
      </c>
      <c r="D11" s="10" t="s">
        <v>385</v>
      </c>
      <c r="E11" s="10" t="s">
        <v>384</v>
      </c>
      <c r="F11" s="10" t="s">
        <v>383</v>
      </c>
    </row>
    <row r="12" spans="1:6" x14ac:dyDescent="0.3">
      <c r="B12" t="s">
        <v>371</v>
      </c>
      <c r="C12" s="18">
        <v>1200000</v>
      </c>
      <c r="D12" s="18">
        <v>1300000</v>
      </c>
      <c r="E12" s="18">
        <v>1400000</v>
      </c>
      <c r="F12" s="18">
        <v>1450000</v>
      </c>
    </row>
    <row r="13" spans="1:6" x14ac:dyDescent="0.3">
      <c r="B13" t="s">
        <v>368</v>
      </c>
      <c r="C13" s="18">
        <v>1050000</v>
      </c>
      <c r="D13" s="18">
        <v>1100000</v>
      </c>
      <c r="E13" s="18">
        <v>1300000</v>
      </c>
      <c r="F13" s="18">
        <v>1200000</v>
      </c>
    </row>
    <row r="15" spans="1:6" x14ac:dyDescent="0.3">
      <c r="B15" t="s">
        <v>382</v>
      </c>
      <c r="E15" s="72"/>
      <c r="F15" s="72"/>
    </row>
    <row r="16" spans="1:6" x14ac:dyDescent="0.3">
      <c r="B16" t="s">
        <v>381</v>
      </c>
      <c r="E16" s="72"/>
      <c r="F16" s="72"/>
    </row>
    <row r="17" spans="1:6" x14ac:dyDescent="0.3">
      <c r="B17" s="21" t="s">
        <v>380</v>
      </c>
      <c r="E17" s="72"/>
      <c r="F17" s="72"/>
    </row>
    <row r="18" spans="1:6" x14ac:dyDescent="0.3">
      <c r="B18" s="21" t="s">
        <v>379</v>
      </c>
      <c r="E18" s="72"/>
      <c r="F18" s="72"/>
    </row>
    <row r="19" spans="1:6" x14ac:dyDescent="0.3">
      <c r="B19" s="21" t="s">
        <v>378</v>
      </c>
      <c r="E19" s="72"/>
      <c r="F19" s="72"/>
    </row>
    <row r="20" spans="1:6" x14ac:dyDescent="0.3">
      <c r="E20" s="72"/>
      <c r="F20" s="72"/>
    </row>
    <row r="21" spans="1:6" x14ac:dyDescent="0.3">
      <c r="A21" t="s">
        <v>2</v>
      </c>
      <c r="B21" t="s">
        <v>377</v>
      </c>
      <c r="E21" s="72"/>
      <c r="F21" s="72"/>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4564B-2218-4446-A01B-417021243FFF}">
  <sheetPr>
    <tabColor theme="9" tint="0.59999389629810485"/>
  </sheetPr>
  <dimension ref="A1:H34"/>
  <sheetViews>
    <sheetView zoomScale="115" zoomScaleNormal="115" workbookViewId="0"/>
  </sheetViews>
  <sheetFormatPr defaultRowHeight="14.4" x14ac:dyDescent="0.3"/>
  <cols>
    <col min="2" max="2" width="26.6640625" customWidth="1"/>
    <col min="3" max="6" width="15.5546875" customWidth="1"/>
    <col min="7" max="7" width="11.33203125" customWidth="1"/>
    <col min="19" max="21" width="10" bestFit="1" customWidth="1"/>
  </cols>
  <sheetData>
    <row r="1" spans="1:6" x14ac:dyDescent="0.3">
      <c r="A1" s="135" t="s">
        <v>507</v>
      </c>
    </row>
    <row r="3" spans="1:6" x14ac:dyDescent="0.3">
      <c r="A3" s="9" t="s">
        <v>7</v>
      </c>
    </row>
    <row r="4" spans="1:6" x14ac:dyDescent="0.3">
      <c r="A4" t="s">
        <v>508</v>
      </c>
    </row>
    <row r="5" spans="1:6" x14ac:dyDescent="0.3">
      <c r="A5" s="9"/>
    </row>
    <row r="8" spans="1:6" x14ac:dyDescent="0.3">
      <c r="B8" s="8" t="s">
        <v>6</v>
      </c>
      <c r="C8" s="7"/>
      <c r="D8" s="7"/>
      <c r="E8" s="7"/>
      <c r="F8" s="6"/>
    </row>
    <row r="9" spans="1:6" x14ac:dyDescent="0.3">
      <c r="B9" s="5" t="s">
        <v>387</v>
      </c>
      <c r="C9" s="4"/>
      <c r="D9" s="4"/>
      <c r="E9" s="4"/>
      <c r="F9" s="3"/>
    </row>
    <row r="10" spans="1:6" x14ac:dyDescent="0.3">
      <c r="E10" s="72"/>
      <c r="F10" s="72"/>
    </row>
    <row r="11" spans="1:6" x14ac:dyDescent="0.3">
      <c r="C11" s="10" t="s">
        <v>386</v>
      </c>
      <c r="D11" s="10" t="s">
        <v>385</v>
      </c>
      <c r="E11" s="10" t="s">
        <v>384</v>
      </c>
      <c r="F11" s="10" t="s">
        <v>383</v>
      </c>
    </row>
    <row r="12" spans="1:6" x14ac:dyDescent="0.3">
      <c r="B12" t="s">
        <v>371</v>
      </c>
      <c r="C12" s="18">
        <v>1200000</v>
      </c>
      <c r="D12" s="18">
        <v>1300000</v>
      </c>
      <c r="E12" s="18">
        <v>1400000</v>
      </c>
      <c r="F12" s="18">
        <v>1450000</v>
      </c>
    </row>
    <row r="13" spans="1:6" x14ac:dyDescent="0.3">
      <c r="B13" t="s">
        <v>368</v>
      </c>
      <c r="C13" s="18">
        <v>1050000</v>
      </c>
      <c r="D13" s="18">
        <v>1100000</v>
      </c>
      <c r="E13" s="18">
        <v>1300000</v>
      </c>
      <c r="F13" s="18">
        <v>1200000</v>
      </c>
    </row>
    <row r="15" spans="1:6" x14ac:dyDescent="0.3">
      <c r="B15" t="s">
        <v>382</v>
      </c>
      <c r="E15" s="72"/>
      <c r="F15" s="72"/>
    </row>
    <row r="16" spans="1:6" x14ac:dyDescent="0.3">
      <c r="B16" t="s">
        <v>381</v>
      </c>
      <c r="E16" s="72"/>
      <c r="F16" s="72"/>
    </row>
    <row r="17" spans="1:8" x14ac:dyDescent="0.3">
      <c r="B17" s="21" t="s">
        <v>380</v>
      </c>
      <c r="E17" s="72"/>
      <c r="F17" s="72"/>
    </row>
    <row r="18" spans="1:8" x14ac:dyDescent="0.3">
      <c r="B18" s="21" t="s">
        <v>379</v>
      </c>
      <c r="E18" s="72"/>
      <c r="F18" s="72"/>
    </row>
    <row r="19" spans="1:8" x14ac:dyDescent="0.3">
      <c r="B19" s="21" t="s">
        <v>378</v>
      </c>
      <c r="E19" s="72"/>
      <c r="F19" s="72"/>
    </row>
    <row r="20" spans="1:8" x14ac:dyDescent="0.3">
      <c r="E20" s="72"/>
      <c r="F20" s="72"/>
    </row>
    <row r="21" spans="1:8" x14ac:dyDescent="0.3">
      <c r="A21" t="s">
        <v>2</v>
      </c>
      <c r="B21" t="s">
        <v>377</v>
      </c>
      <c r="E21" s="72"/>
      <c r="F21" s="72"/>
    </row>
    <row r="22" spans="1:8" x14ac:dyDescent="0.3">
      <c r="E22" s="72"/>
      <c r="F22" s="72"/>
      <c r="H22" s="14" t="s">
        <v>9</v>
      </c>
    </row>
    <row r="23" spans="1:8" x14ac:dyDescent="0.3">
      <c r="B23" t="s">
        <v>376</v>
      </c>
      <c r="C23" s="1">
        <v>0.02</v>
      </c>
      <c r="H23" t="s">
        <v>375</v>
      </c>
    </row>
    <row r="24" spans="1:8" x14ac:dyDescent="0.3">
      <c r="B24" t="s">
        <v>366</v>
      </c>
      <c r="C24" s="1">
        <v>0.1</v>
      </c>
    </row>
    <row r="25" spans="1:8" x14ac:dyDescent="0.3">
      <c r="B25" t="s">
        <v>374</v>
      </c>
      <c r="C25" s="18">
        <v>100000</v>
      </c>
    </row>
    <row r="26" spans="1:8" x14ac:dyDescent="0.3">
      <c r="C26" s="1"/>
    </row>
    <row r="27" spans="1:8" x14ac:dyDescent="0.3">
      <c r="C27" s="28" t="str">
        <f>C11</f>
        <v>20X1</v>
      </c>
      <c r="D27" s="28" t="str">
        <f>D11</f>
        <v>20X2</v>
      </c>
      <c r="E27" s="28" t="str">
        <f>E11</f>
        <v>20X3</v>
      </c>
      <c r="F27" s="28" t="str">
        <f>F11</f>
        <v>20X4</v>
      </c>
    </row>
    <row r="28" spans="1:8" x14ac:dyDescent="0.3">
      <c r="B28" t="s">
        <v>373</v>
      </c>
      <c r="C28" s="28">
        <v>0</v>
      </c>
      <c r="D28" s="28">
        <f>C33-C34</f>
        <v>30000</v>
      </c>
      <c r="E28" s="28">
        <f>D33-D34</f>
        <v>100000</v>
      </c>
      <c r="F28" s="28">
        <f>E33-E34</f>
        <v>62000</v>
      </c>
      <c r="H28" t="s">
        <v>372</v>
      </c>
    </row>
    <row r="29" spans="1:8" x14ac:dyDescent="0.3">
      <c r="B29" t="s">
        <v>371</v>
      </c>
      <c r="C29" s="28">
        <f>C12</f>
        <v>1200000</v>
      </c>
      <c r="D29" s="28">
        <f>D12</f>
        <v>1300000</v>
      </c>
      <c r="E29" s="28">
        <f>E12</f>
        <v>1400000</v>
      </c>
      <c r="F29" s="28">
        <f>F12</f>
        <v>1450000</v>
      </c>
      <c r="H29" t="s">
        <v>370</v>
      </c>
    </row>
    <row r="30" spans="1:8" x14ac:dyDescent="0.3">
      <c r="B30" t="s">
        <v>299</v>
      </c>
      <c r="C30" s="28">
        <f>C28*$C$23</f>
        <v>0</v>
      </c>
      <c r="D30" s="28">
        <f>D28*$C$23</f>
        <v>600</v>
      </c>
      <c r="E30" s="28">
        <f>E28*$C$23</f>
        <v>2000</v>
      </c>
      <c r="F30" s="28">
        <f>F28*$C$23</f>
        <v>1240</v>
      </c>
      <c r="H30" t="s">
        <v>369</v>
      </c>
    </row>
    <row r="31" spans="1:8" x14ac:dyDescent="0.3">
      <c r="B31" t="s">
        <v>368</v>
      </c>
      <c r="C31" s="28">
        <f>C13</f>
        <v>1050000</v>
      </c>
      <c r="D31" s="28">
        <f>D13</f>
        <v>1100000</v>
      </c>
      <c r="E31" s="28">
        <f>E13</f>
        <v>1300000</v>
      </c>
      <c r="F31" s="28">
        <f>F13</f>
        <v>1200000</v>
      </c>
      <c r="H31" t="s">
        <v>367</v>
      </c>
    </row>
    <row r="32" spans="1:8" x14ac:dyDescent="0.3">
      <c r="B32" t="s">
        <v>366</v>
      </c>
      <c r="C32" s="28">
        <f>C29*$C$24</f>
        <v>120000</v>
      </c>
      <c r="D32" s="28">
        <f>D29*$C$24</f>
        <v>130000</v>
      </c>
      <c r="E32" s="28">
        <f>E29*$C$24</f>
        <v>140000</v>
      </c>
      <c r="F32" s="28">
        <f>F29*$C$24</f>
        <v>145000</v>
      </c>
      <c r="H32" t="s">
        <v>365</v>
      </c>
    </row>
    <row r="33" spans="2:8" ht="15" thickBot="1" x14ac:dyDescent="0.35">
      <c r="B33" t="s">
        <v>364</v>
      </c>
      <c r="C33" s="28">
        <f>C28+C29+C30-C31-C32</f>
        <v>30000</v>
      </c>
      <c r="D33" s="28">
        <f>D28+D29+D30-D31-D32</f>
        <v>100600</v>
      </c>
      <c r="E33" s="28">
        <f>E28+E29+E30-E31-E32</f>
        <v>62000</v>
      </c>
      <c r="F33" s="28">
        <f>F28+F29+F30-F31-F32</f>
        <v>168240</v>
      </c>
      <c r="H33" t="s">
        <v>363</v>
      </c>
    </row>
    <row r="34" spans="2:8" ht="15" thickBot="1" x14ac:dyDescent="0.35">
      <c r="B34" t="s">
        <v>362</v>
      </c>
      <c r="C34" s="113">
        <f>MAX(0,C33-$C$25)</f>
        <v>0</v>
      </c>
      <c r="D34" s="112">
        <f>MAX(0,D33-$C$25)</f>
        <v>600</v>
      </c>
      <c r="E34" s="112">
        <f>MAX(0,E33-$C$25)</f>
        <v>0</v>
      </c>
      <c r="F34" s="111">
        <f>MAX(0,F33-$C$25)</f>
        <v>68240</v>
      </c>
      <c r="H34" t="s">
        <v>361</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CA73-37FF-4222-979F-FF8982FAE4A5}">
  <sheetPr>
    <tabColor theme="5" tint="0.39997558519241921"/>
  </sheetPr>
  <dimension ref="A1:T36"/>
  <sheetViews>
    <sheetView zoomScale="115" zoomScaleNormal="115" workbookViewId="0"/>
  </sheetViews>
  <sheetFormatPr defaultRowHeight="14.4" x14ac:dyDescent="0.3"/>
  <cols>
    <col min="2" max="2" width="13.5546875" customWidth="1"/>
    <col min="3" max="7" width="12.33203125" customWidth="1"/>
    <col min="8" max="13" width="11.33203125" bestFit="1" customWidth="1"/>
    <col min="14" max="14" width="9.33203125" customWidth="1"/>
    <col min="15" max="15" width="11.33203125" customWidth="1"/>
    <col min="17" max="17" width="14.88671875" bestFit="1" customWidth="1"/>
    <col min="18" max="19" width="11.33203125" customWidth="1"/>
    <col min="21" max="21" width="12" bestFit="1" customWidth="1"/>
  </cols>
  <sheetData>
    <row r="1" spans="1:20" x14ac:dyDescent="0.3">
      <c r="A1" s="135" t="s">
        <v>507</v>
      </c>
    </row>
    <row r="3" spans="1:20" x14ac:dyDescent="0.3">
      <c r="A3" s="9" t="s">
        <v>7</v>
      </c>
    </row>
    <row r="4" spans="1:20" x14ac:dyDescent="0.3">
      <c r="A4" t="s">
        <v>508</v>
      </c>
    </row>
    <row r="5" spans="1:20" x14ac:dyDescent="0.3">
      <c r="A5" s="9"/>
    </row>
    <row r="8" spans="1:20" x14ac:dyDescent="0.3">
      <c r="B8" s="8" t="s">
        <v>6</v>
      </c>
      <c r="C8" s="7"/>
      <c r="D8" s="7"/>
      <c r="E8" s="7"/>
      <c r="F8" s="7"/>
      <c r="G8" s="7"/>
      <c r="H8" s="7"/>
      <c r="I8" s="7"/>
      <c r="J8" s="7"/>
      <c r="K8" s="7"/>
      <c r="L8" s="7"/>
      <c r="M8" s="7"/>
      <c r="N8" s="6"/>
      <c r="P8" s="8" t="s">
        <v>5</v>
      </c>
      <c r="Q8" s="6"/>
      <c r="S8" s="8" t="s">
        <v>4</v>
      </c>
      <c r="T8" s="6"/>
    </row>
    <row r="9" spans="1:20" x14ac:dyDescent="0.3">
      <c r="B9" s="5" t="s">
        <v>183</v>
      </c>
      <c r="C9" s="4"/>
      <c r="D9" s="4"/>
      <c r="E9" s="4"/>
      <c r="F9" s="4"/>
      <c r="G9" s="4"/>
      <c r="H9" s="4"/>
      <c r="I9" s="4"/>
      <c r="J9" s="4"/>
      <c r="K9" s="4"/>
      <c r="L9" s="4"/>
      <c r="M9" s="4"/>
      <c r="N9" s="3"/>
      <c r="P9" s="5" t="s">
        <v>136</v>
      </c>
      <c r="Q9" s="3"/>
      <c r="S9" s="5" t="s">
        <v>398</v>
      </c>
      <c r="T9" s="3"/>
    </row>
    <row r="10" spans="1:20" x14ac:dyDescent="0.3">
      <c r="E10" s="72"/>
      <c r="F10" s="72"/>
      <c r="G10" s="72"/>
      <c r="H10" s="72"/>
      <c r="I10" s="72"/>
      <c r="J10" s="72"/>
      <c r="K10" s="72"/>
      <c r="L10" s="72"/>
      <c r="M10" s="72"/>
      <c r="N10" s="72"/>
    </row>
    <row r="11" spans="1:20" ht="28.8" x14ac:dyDescent="0.3">
      <c r="B11" t="s">
        <v>397</v>
      </c>
      <c r="C11" s="11" t="s">
        <v>105</v>
      </c>
      <c r="D11" s="11" t="s">
        <v>103</v>
      </c>
      <c r="E11" s="11" t="s">
        <v>101</v>
      </c>
      <c r="F11" s="11" t="s">
        <v>99</v>
      </c>
      <c r="G11" s="11" t="s">
        <v>97</v>
      </c>
      <c r="H11" s="11" t="s">
        <v>95</v>
      </c>
      <c r="I11" s="11" t="s">
        <v>43</v>
      </c>
      <c r="J11" s="11" t="s">
        <v>42</v>
      </c>
      <c r="K11" s="11" t="s">
        <v>41</v>
      </c>
      <c r="L11" s="11" t="s">
        <v>40</v>
      </c>
      <c r="M11" s="11" t="s">
        <v>39</v>
      </c>
      <c r="N11" s="11" t="s">
        <v>38</v>
      </c>
      <c r="P11" s="11"/>
      <c r="Q11" s="86" t="s">
        <v>136</v>
      </c>
      <c r="R11" s="86"/>
      <c r="S11" s="86"/>
      <c r="T11" s="86" t="s">
        <v>396</v>
      </c>
    </row>
    <row r="12" spans="1:20" x14ac:dyDescent="0.3">
      <c r="B12" t="s">
        <v>88</v>
      </c>
      <c r="C12" s="50">
        <v>1</v>
      </c>
      <c r="D12" s="50">
        <v>1</v>
      </c>
      <c r="E12" s="50">
        <v>1</v>
      </c>
      <c r="F12" s="50">
        <v>1</v>
      </c>
      <c r="G12" s="50">
        <v>1</v>
      </c>
      <c r="H12" s="50">
        <v>1</v>
      </c>
      <c r="I12" s="50">
        <v>1</v>
      </c>
      <c r="J12" s="50">
        <v>1</v>
      </c>
      <c r="K12" s="50">
        <v>1</v>
      </c>
      <c r="L12" s="50">
        <v>1</v>
      </c>
      <c r="M12" s="50">
        <v>1</v>
      </c>
      <c r="N12" s="50">
        <v>1</v>
      </c>
      <c r="P12" s="11" t="s">
        <v>37</v>
      </c>
      <c r="Q12" s="29">
        <v>17767182</v>
      </c>
      <c r="R12" s="15"/>
      <c r="S12" s="11" t="s">
        <v>37</v>
      </c>
      <c r="T12" s="15">
        <v>40226</v>
      </c>
    </row>
    <row r="13" spans="1:20" x14ac:dyDescent="0.3">
      <c r="B13" t="s">
        <v>89</v>
      </c>
      <c r="C13" s="50">
        <v>1</v>
      </c>
      <c r="D13" s="50">
        <v>1</v>
      </c>
      <c r="E13" s="50">
        <v>1</v>
      </c>
      <c r="F13" s="50">
        <v>1</v>
      </c>
      <c r="G13" s="50">
        <v>1</v>
      </c>
      <c r="H13" s="50">
        <v>1</v>
      </c>
      <c r="I13" s="50">
        <v>1</v>
      </c>
      <c r="J13" s="50">
        <v>1.0229999999999999</v>
      </c>
      <c r="K13" s="50">
        <v>1</v>
      </c>
      <c r="L13" s="50">
        <v>1</v>
      </c>
      <c r="M13" s="50">
        <v>1</v>
      </c>
      <c r="N13" s="50">
        <v>1</v>
      </c>
      <c r="P13" s="11" t="s">
        <v>36</v>
      </c>
      <c r="Q13" s="29">
        <v>18500375</v>
      </c>
      <c r="R13" s="15"/>
      <c r="S13" s="11" t="s">
        <v>36</v>
      </c>
      <c r="T13" s="15">
        <v>40654</v>
      </c>
    </row>
    <row r="14" spans="1:20" x14ac:dyDescent="0.3">
      <c r="B14" t="s">
        <v>90</v>
      </c>
      <c r="C14" s="50">
        <v>1</v>
      </c>
      <c r="D14" s="50">
        <v>1.0029999999999999</v>
      </c>
      <c r="E14" s="50">
        <v>1</v>
      </c>
      <c r="F14" s="50">
        <v>1</v>
      </c>
      <c r="G14" s="50">
        <v>1</v>
      </c>
      <c r="H14" s="50">
        <v>1.0009999999999999</v>
      </c>
      <c r="I14" s="50">
        <v>1</v>
      </c>
      <c r="J14" s="50">
        <v>1</v>
      </c>
      <c r="K14" s="50">
        <v>1.002</v>
      </c>
      <c r="L14" s="50">
        <v>1</v>
      </c>
      <c r="M14" s="50">
        <v>1</v>
      </c>
      <c r="N14" s="50">
        <v>1</v>
      </c>
      <c r="P14" s="11" t="s">
        <v>35</v>
      </c>
      <c r="Q14" s="29">
        <v>17611082</v>
      </c>
      <c r="R14" s="15"/>
      <c r="S14" s="11" t="s">
        <v>35</v>
      </c>
      <c r="T14" s="15">
        <v>40966</v>
      </c>
    </row>
    <row r="15" spans="1:20" x14ac:dyDescent="0.3">
      <c r="B15" t="s">
        <v>91</v>
      </c>
      <c r="C15" s="50">
        <v>1</v>
      </c>
      <c r="D15" s="50">
        <v>1</v>
      </c>
      <c r="E15" s="50">
        <v>1</v>
      </c>
      <c r="F15" s="50">
        <v>1</v>
      </c>
      <c r="G15" s="50">
        <v>1</v>
      </c>
      <c r="H15" s="50">
        <v>1</v>
      </c>
      <c r="I15" s="50">
        <v>1</v>
      </c>
      <c r="J15" s="50">
        <v>1</v>
      </c>
      <c r="K15" s="50">
        <v>1</v>
      </c>
      <c r="L15" s="50">
        <v>1</v>
      </c>
      <c r="M15" s="50">
        <v>1</v>
      </c>
      <c r="N15" s="50">
        <v>1</v>
      </c>
      <c r="P15" s="11" t="s">
        <v>34</v>
      </c>
      <c r="Q15" s="29">
        <v>18674334</v>
      </c>
      <c r="R15" s="15"/>
      <c r="S15" s="11" t="s">
        <v>34</v>
      </c>
      <c r="T15" s="15">
        <v>41140</v>
      </c>
    </row>
    <row r="16" spans="1:20" x14ac:dyDescent="0.3">
      <c r="B16" t="s">
        <v>92</v>
      </c>
      <c r="C16" s="50">
        <v>1.0009999999999999</v>
      </c>
      <c r="D16" s="50">
        <v>1.002</v>
      </c>
      <c r="E16" s="50">
        <v>1.0009999999999999</v>
      </c>
      <c r="F16" s="50">
        <v>1.002</v>
      </c>
      <c r="G16" s="50">
        <v>1.0049999999999999</v>
      </c>
      <c r="H16" s="50">
        <v>1.0009999999999999</v>
      </c>
      <c r="I16" s="50">
        <v>1.002</v>
      </c>
      <c r="J16" s="50">
        <v>1.0009999999999999</v>
      </c>
      <c r="K16" s="50">
        <v>1.0009999999999999</v>
      </c>
      <c r="L16" s="50">
        <v>1.004</v>
      </c>
      <c r="M16" s="50">
        <v>1.0009999999999999</v>
      </c>
      <c r="N16" s="50">
        <v>1.0009999999999999</v>
      </c>
      <c r="P16" s="11" t="s">
        <v>33</v>
      </c>
      <c r="Q16" s="29">
        <v>18722117</v>
      </c>
      <c r="R16" s="15"/>
      <c r="S16" s="11" t="s">
        <v>33</v>
      </c>
      <c r="T16" s="15">
        <v>41591</v>
      </c>
    </row>
    <row r="17" spans="1:20" x14ac:dyDescent="0.3">
      <c r="B17" t="s">
        <v>93</v>
      </c>
      <c r="C17" s="50">
        <v>1.0049999999999999</v>
      </c>
      <c r="D17" s="50">
        <v>1.008</v>
      </c>
      <c r="E17" s="50">
        <v>1.0049999999999999</v>
      </c>
      <c r="F17" s="50">
        <v>1.0069999999999999</v>
      </c>
      <c r="G17" s="50">
        <v>1.0049999999999999</v>
      </c>
      <c r="H17" s="50">
        <v>1.0089999999999999</v>
      </c>
      <c r="I17" s="50">
        <v>1.0029999999999999</v>
      </c>
      <c r="J17" s="50">
        <v>1.008</v>
      </c>
      <c r="K17" s="50">
        <v>1.0089999999999999</v>
      </c>
      <c r="L17" s="50">
        <v>1.0069999999999999</v>
      </c>
      <c r="M17" s="50">
        <v>1.0089999999999999</v>
      </c>
      <c r="N17" s="50">
        <v>1.0089999999999999</v>
      </c>
      <c r="P17" s="11" t="s">
        <v>32</v>
      </c>
      <c r="Q17" s="29">
        <v>18277155</v>
      </c>
      <c r="R17" s="15"/>
      <c r="S17" s="11" t="s">
        <v>32</v>
      </c>
      <c r="T17" s="15">
        <v>41791</v>
      </c>
    </row>
    <row r="18" spans="1:20" x14ac:dyDescent="0.3">
      <c r="B18" t="s">
        <v>94</v>
      </c>
      <c r="C18" s="50">
        <v>1.008</v>
      </c>
      <c r="D18" s="50">
        <v>1.0129999999999999</v>
      </c>
      <c r="E18" s="50">
        <v>1.0089999999999999</v>
      </c>
      <c r="F18" s="50">
        <v>1.0149999999999999</v>
      </c>
      <c r="G18" s="50">
        <v>1.01</v>
      </c>
      <c r="H18" s="50">
        <v>1.0169999999999999</v>
      </c>
      <c r="I18" s="50">
        <v>1.016</v>
      </c>
      <c r="J18" s="50">
        <v>1.0089999999999999</v>
      </c>
      <c r="K18" s="50">
        <v>1.008</v>
      </c>
      <c r="L18" s="50">
        <v>1.0189999999999999</v>
      </c>
      <c r="M18" s="50">
        <v>1.008</v>
      </c>
      <c r="N18" s="50">
        <v>1.0189999999999999</v>
      </c>
      <c r="P18" s="114" t="s">
        <v>31</v>
      </c>
      <c r="Q18" s="29">
        <v>18127458</v>
      </c>
      <c r="R18" s="15"/>
      <c r="S18" s="114" t="s">
        <v>31</v>
      </c>
      <c r="T18" s="15">
        <v>41901</v>
      </c>
    </row>
    <row r="19" spans="1:20" x14ac:dyDescent="0.3">
      <c r="B19" t="s">
        <v>96</v>
      </c>
      <c r="C19" s="50">
        <v>1.0249999999999999</v>
      </c>
      <c r="D19" s="50">
        <v>1.0349999999999999</v>
      </c>
      <c r="E19" s="50">
        <v>1.026</v>
      </c>
      <c r="F19" s="50">
        <v>1.0329999999999999</v>
      </c>
      <c r="G19" s="50">
        <v>1.0529999999999999</v>
      </c>
      <c r="H19" s="50">
        <v>1</v>
      </c>
      <c r="I19" s="50">
        <v>1.0489999999999999</v>
      </c>
      <c r="J19" s="50">
        <v>1.004</v>
      </c>
      <c r="K19" s="50">
        <v>1.0069999999999999</v>
      </c>
      <c r="L19" s="50">
        <v>1.081</v>
      </c>
      <c r="M19" s="50">
        <v>1.0820000000000001</v>
      </c>
      <c r="N19" s="50">
        <v>1.056</v>
      </c>
      <c r="P19" s="114" t="s">
        <v>30</v>
      </c>
      <c r="Q19" s="29">
        <v>17785564</v>
      </c>
      <c r="R19" s="15"/>
      <c r="S19" s="114" t="s">
        <v>30</v>
      </c>
      <c r="T19" s="15">
        <v>42083</v>
      </c>
    </row>
    <row r="20" spans="1:20" x14ac:dyDescent="0.3">
      <c r="B20" t="s">
        <v>98</v>
      </c>
      <c r="C20" s="50">
        <v>1.0329999999999999</v>
      </c>
      <c r="D20" s="50">
        <v>1.091</v>
      </c>
      <c r="E20" s="50">
        <v>1.056</v>
      </c>
      <c r="F20" s="50">
        <v>1.0489999999999999</v>
      </c>
      <c r="G20" s="50">
        <v>1.002</v>
      </c>
      <c r="H20" s="50">
        <v>1.0680000000000001</v>
      </c>
      <c r="I20" s="50">
        <v>1.1040000000000001</v>
      </c>
      <c r="J20" s="50">
        <v>1.1020000000000001</v>
      </c>
      <c r="K20" s="50">
        <v>1.0660000000000001</v>
      </c>
      <c r="L20" s="50">
        <v>1.0209999999999999</v>
      </c>
      <c r="M20" s="50">
        <v>1.006</v>
      </c>
      <c r="N20" s="50">
        <v>1.038</v>
      </c>
      <c r="P20" s="114" t="s">
        <v>29</v>
      </c>
      <c r="Q20" s="29">
        <v>16732532</v>
      </c>
      <c r="R20" s="15"/>
      <c r="S20" s="114" t="s">
        <v>29</v>
      </c>
      <c r="T20" s="15">
        <v>42393</v>
      </c>
    </row>
    <row r="21" spans="1:20" x14ac:dyDescent="0.3">
      <c r="B21" t="s">
        <v>100</v>
      </c>
      <c r="C21" s="50">
        <v>1.119</v>
      </c>
      <c r="D21" s="50">
        <v>1.165</v>
      </c>
      <c r="E21" s="50">
        <v>1.1679999999999999</v>
      </c>
      <c r="F21" s="50">
        <v>1.21</v>
      </c>
      <c r="G21" s="50">
        <v>1.1319999999999999</v>
      </c>
      <c r="H21" s="50">
        <v>1.1439999999999999</v>
      </c>
      <c r="I21" s="50">
        <v>1.091</v>
      </c>
      <c r="J21" s="50">
        <v>1.17</v>
      </c>
      <c r="K21" s="50">
        <v>1.0489999999999999</v>
      </c>
      <c r="L21" s="50">
        <v>1.0640000000000001</v>
      </c>
      <c r="M21" s="50">
        <v>1.0880000000000001</v>
      </c>
      <c r="N21" s="50">
        <v>1.1910000000000001</v>
      </c>
      <c r="P21" s="114" t="s">
        <v>28</v>
      </c>
      <c r="Q21" s="29">
        <v>15838739</v>
      </c>
      <c r="R21" s="15"/>
      <c r="S21" s="114" t="s">
        <v>28</v>
      </c>
      <c r="T21" s="15">
        <f>ROUND(T20/T19*T20,0)</f>
        <v>42705</v>
      </c>
    </row>
    <row r="22" spans="1:20" x14ac:dyDescent="0.3">
      <c r="B22" t="s">
        <v>102</v>
      </c>
      <c r="C22" s="50">
        <v>1.3680000000000001</v>
      </c>
      <c r="D22" s="50">
        <v>1.3029999999999999</v>
      </c>
      <c r="E22" s="50">
        <v>1.3779999999999999</v>
      </c>
      <c r="F22" s="50">
        <v>1.3089999999999999</v>
      </c>
      <c r="G22" s="50">
        <v>1.363</v>
      </c>
      <c r="H22" s="50">
        <v>1.282</v>
      </c>
      <c r="I22" s="50">
        <v>1.341</v>
      </c>
      <c r="J22" s="50">
        <v>1.333</v>
      </c>
      <c r="K22" s="50">
        <v>1.3819999999999999</v>
      </c>
      <c r="L22" s="50">
        <v>1.4279999999999999</v>
      </c>
      <c r="M22" s="50">
        <v>1.381</v>
      </c>
      <c r="N22" s="50">
        <v>1.3939999999999999</v>
      </c>
      <c r="P22" s="114" t="s">
        <v>27</v>
      </c>
      <c r="Q22" s="29">
        <v>11397674</v>
      </c>
      <c r="R22" s="15"/>
      <c r="S22" s="114" t="s">
        <v>27</v>
      </c>
      <c r="T22" s="15">
        <f>ROUND(T21/T20*T21,0)</f>
        <v>43019</v>
      </c>
    </row>
    <row r="23" spans="1:20" x14ac:dyDescent="0.3">
      <c r="B23" t="s">
        <v>104</v>
      </c>
      <c r="C23" s="50">
        <v>2.5129999999999999</v>
      </c>
      <c r="D23" s="50">
        <v>2.6440000000000001</v>
      </c>
      <c r="E23" s="50">
        <v>2.6150000000000002</v>
      </c>
      <c r="F23" s="50">
        <v>2.7080000000000002</v>
      </c>
      <c r="G23" s="50">
        <v>2.5099999999999998</v>
      </c>
      <c r="H23" s="50">
        <v>2.4889999999999999</v>
      </c>
      <c r="I23" s="50">
        <v>2.8620000000000001</v>
      </c>
      <c r="J23" s="50">
        <v>2.8359999999999999</v>
      </c>
      <c r="K23" s="50">
        <v>2.7320000000000002</v>
      </c>
      <c r="L23" s="50">
        <v>2.4460000000000002</v>
      </c>
      <c r="M23" s="50">
        <v>3.0369999999999999</v>
      </c>
      <c r="N23" s="50">
        <v>2.3610000000000002</v>
      </c>
      <c r="P23" s="114" t="s">
        <v>26</v>
      </c>
      <c r="Q23" s="29">
        <v>4371639</v>
      </c>
      <c r="R23" s="15"/>
      <c r="S23" s="114" t="s">
        <v>26</v>
      </c>
      <c r="T23" s="15">
        <f>ROUND(T22/T21*T22,0)</f>
        <v>43335</v>
      </c>
    </row>
    <row r="24" spans="1:20" x14ac:dyDescent="0.3">
      <c r="C24" s="35"/>
      <c r="D24" s="35"/>
      <c r="E24" s="35"/>
      <c r="F24" s="35"/>
      <c r="G24" s="35"/>
      <c r="H24" s="35"/>
      <c r="I24" s="35"/>
      <c r="J24" s="35"/>
      <c r="K24" s="35"/>
      <c r="L24" s="35"/>
      <c r="M24" s="35"/>
      <c r="N24" s="35"/>
      <c r="P24" s="44"/>
      <c r="Q24" s="2"/>
      <c r="R24" s="2"/>
      <c r="S24" s="44"/>
      <c r="T24" s="2"/>
    </row>
    <row r="25" spans="1:20" x14ac:dyDescent="0.3">
      <c r="B25" t="s">
        <v>395</v>
      </c>
      <c r="C25" s="35"/>
      <c r="D25" s="35"/>
      <c r="E25" s="35"/>
      <c r="F25" s="35"/>
      <c r="G25" s="35"/>
      <c r="H25" s="35"/>
      <c r="I25" s="35"/>
      <c r="J25" s="35"/>
      <c r="K25" s="35"/>
      <c r="L25" s="35"/>
      <c r="M25" s="35"/>
      <c r="N25" s="35"/>
      <c r="P25" s="44"/>
      <c r="Q25" s="2"/>
      <c r="R25" s="2"/>
      <c r="S25" s="44"/>
      <c r="T25" s="2"/>
    </row>
    <row r="26" spans="1:20" ht="14.7" customHeight="1" x14ac:dyDescent="0.3">
      <c r="B26" t="s">
        <v>394</v>
      </c>
      <c r="E26" s="72"/>
      <c r="F26" s="72"/>
      <c r="G26" s="72"/>
      <c r="H26" s="72"/>
      <c r="I26" s="72"/>
      <c r="J26" s="72"/>
      <c r="K26" s="72"/>
      <c r="L26" s="72"/>
      <c r="M26" s="72"/>
      <c r="N26" s="72"/>
      <c r="P26" s="35"/>
      <c r="Q26" s="2"/>
      <c r="R26" s="2"/>
      <c r="S26" s="2"/>
    </row>
    <row r="27" spans="1:20" x14ac:dyDescent="0.3">
      <c r="E27" s="72"/>
      <c r="F27" s="72"/>
      <c r="G27" s="72"/>
      <c r="H27" s="72"/>
      <c r="I27" s="72"/>
      <c r="J27" s="72"/>
      <c r="K27" s="72"/>
      <c r="L27" s="72"/>
      <c r="M27" s="72"/>
      <c r="N27" s="72"/>
      <c r="P27" s="35"/>
      <c r="Q27" s="2"/>
      <c r="R27" s="2"/>
      <c r="S27" s="2"/>
    </row>
    <row r="28" spans="1:20" x14ac:dyDescent="0.3">
      <c r="A28" t="s">
        <v>2</v>
      </c>
      <c r="B28" t="s">
        <v>393</v>
      </c>
      <c r="E28" s="72"/>
      <c r="F28" s="72"/>
      <c r="G28" s="72"/>
      <c r="H28" s="72"/>
      <c r="I28" s="72"/>
      <c r="J28" s="72"/>
      <c r="K28" s="72"/>
      <c r="L28" s="72"/>
      <c r="M28" s="72"/>
      <c r="N28" s="72"/>
      <c r="P28" s="35"/>
      <c r="Q28" s="2"/>
      <c r="R28" s="2"/>
      <c r="S28" s="2"/>
    </row>
    <row r="29" spans="1:20" x14ac:dyDescent="0.3">
      <c r="C29" s="35"/>
      <c r="D29" s="35"/>
      <c r="E29" s="35"/>
      <c r="F29" s="35"/>
      <c r="G29" s="35"/>
      <c r="H29" s="35"/>
      <c r="I29" s="35"/>
      <c r="J29" s="35"/>
      <c r="K29" s="35"/>
      <c r="L29" s="35"/>
      <c r="M29" s="35"/>
      <c r="N29" s="35"/>
      <c r="P29" s="44"/>
      <c r="Q29" s="2"/>
      <c r="R29" s="2"/>
      <c r="S29" s="44"/>
      <c r="T29" s="2"/>
    </row>
    <row r="30" spans="1:20" x14ac:dyDescent="0.3">
      <c r="A30" t="s">
        <v>14</v>
      </c>
      <c r="B30" t="s">
        <v>392</v>
      </c>
      <c r="E30" s="72"/>
      <c r="F30" s="72"/>
      <c r="G30" s="72"/>
      <c r="H30" s="72"/>
      <c r="I30" s="72"/>
      <c r="J30" s="72"/>
      <c r="K30" s="72"/>
      <c r="L30" s="72"/>
      <c r="M30" s="72"/>
      <c r="N30" s="72"/>
      <c r="P30" s="35"/>
      <c r="Q30" s="2"/>
      <c r="R30" s="2"/>
      <c r="S30" s="2"/>
    </row>
    <row r="31" spans="1:20" x14ac:dyDescent="0.3">
      <c r="A31" t="s">
        <v>13</v>
      </c>
      <c r="B31" t="s">
        <v>391</v>
      </c>
      <c r="E31" s="72"/>
      <c r="F31" s="72"/>
      <c r="G31" s="72"/>
      <c r="H31" s="72"/>
      <c r="I31" s="72"/>
      <c r="J31" s="72"/>
      <c r="K31" s="72"/>
      <c r="L31" s="72"/>
      <c r="M31" s="72"/>
      <c r="N31" s="72"/>
      <c r="P31" s="35"/>
      <c r="Q31" s="2"/>
      <c r="R31" s="2"/>
      <c r="S31" s="2"/>
    </row>
    <row r="32" spans="1:20" x14ac:dyDescent="0.3">
      <c r="A32" t="s">
        <v>145</v>
      </c>
      <c r="B32" t="s">
        <v>390</v>
      </c>
      <c r="E32" s="72"/>
      <c r="F32" s="72"/>
      <c r="G32" s="72"/>
      <c r="H32" s="72"/>
      <c r="I32" s="72"/>
      <c r="J32" s="72"/>
      <c r="K32" s="72"/>
      <c r="L32" s="72"/>
      <c r="M32" s="72"/>
      <c r="N32" s="72"/>
      <c r="P32" s="35"/>
      <c r="Q32" s="2"/>
      <c r="R32" s="2"/>
      <c r="S32" s="2"/>
    </row>
    <row r="33" spans="1:19" x14ac:dyDescent="0.3">
      <c r="E33" s="72"/>
      <c r="F33" s="72"/>
      <c r="G33" s="72"/>
      <c r="H33" s="72"/>
      <c r="I33" s="72"/>
      <c r="J33" s="72"/>
      <c r="K33" s="72"/>
      <c r="L33" s="72"/>
      <c r="M33" s="72"/>
      <c r="N33" s="72"/>
      <c r="P33" s="35"/>
      <c r="Q33" s="2"/>
      <c r="R33" s="2"/>
      <c r="S33" s="2"/>
    </row>
    <row r="34" spans="1:19" x14ac:dyDescent="0.3">
      <c r="A34" t="s">
        <v>1</v>
      </c>
      <c r="B34" t="s">
        <v>389</v>
      </c>
      <c r="I34" s="2"/>
      <c r="J34" s="2"/>
    </row>
    <row r="36" spans="1:19" x14ac:dyDescent="0.3">
      <c r="A36" t="s">
        <v>0</v>
      </c>
      <c r="B36" t="s">
        <v>388</v>
      </c>
      <c r="I36" s="2"/>
      <c r="J36" s="2"/>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D4E08-B32A-4693-B12A-00C778E232F9}">
  <sheetPr>
    <tabColor theme="9" tint="0.59999389629810485"/>
  </sheetPr>
  <dimension ref="A1:T124"/>
  <sheetViews>
    <sheetView zoomScale="115" zoomScaleNormal="115" workbookViewId="0"/>
  </sheetViews>
  <sheetFormatPr defaultRowHeight="14.4" x14ac:dyDescent="0.3"/>
  <cols>
    <col min="2" max="2" width="13.5546875" customWidth="1"/>
    <col min="3" max="3" width="16" bestFit="1" customWidth="1"/>
    <col min="4" max="5" width="16.5546875" customWidth="1"/>
    <col min="6" max="6" width="16.33203125" customWidth="1"/>
    <col min="7" max="7" width="17.109375" customWidth="1"/>
    <col min="8" max="11" width="15.44140625" customWidth="1"/>
    <col min="12" max="13" width="11.33203125" bestFit="1" customWidth="1"/>
    <col min="14" max="14" width="9.33203125" customWidth="1"/>
    <col min="15" max="15" width="11.33203125" customWidth="1"/>
    <col min="17" max="17" width="14.88671875" bestFit="1" customWidth="1"/>
    <col min="18" max="19" width="11.33203125" customWidth="1"/>
    <col min="21" max="21" width="12" bestFit="1" customWidth="1"/>
  </cols>
  <sheetData>
    <row r="1" spans="1:20" x14ac:dyDescent="0.3">
      <c r="A1" s="135" t="s">
        <v>507</v>
      </c>
    </row>
    <row r="3" spans="1:20" x14ac:dyDescent="0.3">
      <c r="A3" s="9" t="s">
        <v>7</v>
      </c>
    </row>
    <row r="4" spans="1:20" x14ac:dyDescent="0.3">
      <c r="A4" t="s">
        <v>508</v>
      </c>
    </row>
    <row r="5" spans="1:20" x14ac:dyDescent="0.3">
      <c r="A5" s="9"/>
    </row>
    <row r="8" spans="1:20" x14ac:dyDescent="0.3">
      <c r="B8" s="8" t="s">
        <v>6</v>
      </c>
      <c r="C8" s="7"/>
      <c r="D8" s="7"/>
      <c r="E8" s="7"/>
      <c r="F8" s="7"/>
      <c r="G8" s="7"/>
      <c r="H8" s="7"/>
      <c r="I8" s="7"/>
      <c r="J8" s="7"/>
      <c r="K8" s="7"/>
      <c r="L8" s="7"/>
      <c r="M8" s="7"/>
      <c r="N8" s="6"/>
      <c r="P8" s="8" t="s">
        <v>5</v>
      </c>
      <c r="Q8" s="6"/>
      <c r="S8" s="8" t="s">
        <v>4</v>
      </c>
      <c r="T8" s="6"/>
    </row>
    <row r="9" spans="1:20" x14ac:dyDescent="0.3">
      <c r="B9" s="5" t="s">
        <v>183</v>
      </c>
      <c r="C9" s="4"/>
      <c r="D9" s="4"/>
      <c r="E9" s="4"/>
      <c r="F9" s="4"/>
      <c r="G9" s="4"/>
      <c r="H9" s="4"/>
      <c r="I9" s="4"/>
      <c r="J9" s="4"/>
      <c r="K9" s="4"/>
      <c r="L9" s="4"/>
      <c r="M9" s="4"/>
      <c r="N9" s="3"/>
      <c r="P9" s="5" t="s">
        <v>136</v>
      </c>
      <c r="Q9" s="3"/>
      <c r="S9" s="5" t="s">
        <v>398</v>
      </c>
      <c r="T9" s="3"/>
    </row>
    <row r="10" spans="1:20" x14ac:dyDescent="0.3">
      <c r="E10" s="72"/>
      <c r="F10" s="72"/>
      <c r="G10" s="72"/>
      <c r="H10" s="72"/>
      <c r="I10" s="72"/>
      <c r="J10" s="72"/>
      <c r="K10" s="72"/>
      <c r="L10" s="72"/>
      <c r="M10" s="72"/>
      <c r="N10" s="72"/>
    </row>
    <row r="11" spans="1:20" ht="28.8" x14ac:dyDescent="0.3">
      <c r="B11" t="s">
        <v>397</v>
      </c>
      <c r="C11" s="11" t="s">
        <v>105</v>
      </c>
      <c r="D11" s="11" t="s">
        <v>103</v>
      </c>
      <c r="E11" s="11" t="s">
        <v>101</v>
      </c>
      <c r="F11" s="11" t="s">
        <v>99</v>
      </c>
      <c r="G11" s="11" t="s">
        <v>97</v>
      </c>
      <c r="H11" s="11" t="s">
        <v>95</v>
      </c>
      <c r="I11" s="11" t="s">
        <v>43</v>
      </c>
      <c r="J11" s="11" t="s">
        <v>42</v>
      </c>
      <c r="K11" s="11" t="s">
        <v>41</v>
      </c>
      <c r="L11" s="11" t="s">
        <v>40</v>
      </c>
      <c r="M11" s="11" t="s">
        <v>39</v>
      </c>
      <c r="N11" s="11" t="s">
        <v>38</v>
      </c>
      <c r="Q11" s="122" t="s">
        <v>136</v>
      </c>
      <c r="R11" s="76"/>
      <c r="S11" s="86"/>
      <c r="T11" s="86" t="s">
        <v>396</v>
      </c>
    </row>
    <row r="12" spans="1:20" x14ac:dyDescent="0.3">
      <c r="B12" t="s">
        <v>88</v>
      </c>
      <c r="C12" s="50">
        <v>1</v>
      </c>
      <c r="D12" s="50">
        <v>1</v>
      </c>
      <c r="E12" s="50">
        <v>1</v>
      </c>
      <c r="F12" s="50">
        <v>1</v>
      </c>
      <c r="G12" s="50">
        <v>1</v>
      </c>
      <c r="H12" s="50">
        <v>1</v>
      </c>
      <c r="I12" s="50">
        <v>1</v>
      </c>
      <c r="J12" s="50">
        <v>1</v>
      </c>
      <c r="K12" s="50">
        <v>1</v>
      </c>
      <c r="L12" s="50">
        <v>1</v>
      </c>
      <c r="M12" s="50">
        <v>1</v>
      </c>
      <c r="N12" s="50">
        <v>1</v>
      </c>
      <c r="P12" s="10" t="s">
        <v>37</v>
      </c>
      <c r="Q12" s="18">
        <v>17767182</v>
      </c>
      <c r="R12" s="2"/>
      <c r="S12" s="11" t="s">
        <v>37</v>
      </c>
      <c r="T12" s="15">
        <v>40226</v>
      </c>
    </row>
    <row r="13" spans="1:20" x14ac:dyDescent="0.3">
      <c r="B13" t="s">
        <v>89</v>
      </c>
      <c r="C13" s="50">
        <v>1</v>
      </c>
      <c r="D13" s="50">
        <v>1</v>
      </c>
      <c r="E13" s="50">
        <v>1</v>
      </c>
      <c r="F13" s="50">
        <v>1</v>
      </c>
      <c r="G13" s="50">
        <v>1</v>
      </c>
      <c r="H13" s="50">
        <v>1</v>
      </c>
      <c r="I13" s="50">
        <v>1</v>
      </c>
      <c r="J13" s="50">
        <v>1.0229999999999999</v>
      </c>
      <c r="K13" s="50">
        <v>1</v>
      </c>
      <c r="L13" s="50">
        <v>1</v>
      </c>
      <c r="M13" s="50">
        <v>1</v>
      </c>
      <c r="N13" s="50">
        <v>1</v>
      </c>
      <c r="P13" s="10" t="s">
        <v>36</v>
      </c>
      <c r="Q13" s="18">
        <v>18500375</v>
      </c>
      <c r="R13" s="2"/>
      <c r="S13" s="11" t="s">
        <v>36</v>
      </c>
      <c r="T13" s="15">
        <v>40654</v>
      </c>
    </row>
    <row r="14" spans="1:20" x14ac:dyDescent="0.3">
      <c r="B14" t="s">
        <v>90</v>
      </c>
      <c r="C14" s="50">
        <v>1</v>
      </c>
      <c r="D14" s="50">
        <v>1.0029999999999999</v>
      </c>
      <c r="E14" s="50">
        <v>1</v>
      </c>
      <c r="F14" s="50">
        <v>1</v>
      </c>
      <c r="G14" s="50">
        <v>1</v>
      </c>
      <c r="H14" s="50">
        <v>1.0009999999999999</v>
      </c>
      <c r="I14" s="50">
        <v>1</v>
      </c>
      <c r="J14" s="50">
        <v>1</v>
      </c>
      <c r="K14" s="50">
        <v>1.002</v>
      </c>
      <c r="L14" s="50">
        <v>1</v>
      </c>
      <c r="M14" s="50">
        <v>1</v>
      </c>
      <c r="N14" s="50">
        <v>1</v>
      </c>
      <c r="P14" s="10" t="s">
        <v>35</v>
      </c>
      <c r="Q14" s="18">
        <v>17611082</v>
      </c>
      <c r="R14" s="2"/>
      <c r="S14" s="11" t="s">
        <v>35</v>
      </c>
      <c r="T14" s="15">
        <v>40966</v>
      </c>
    </row>
    <row r="15" spans="1:20" x14ac:dyDescent="0.3">
      <c r="B15" t="s">
        <v>91</v>
      </c>
      <c r="C15" s="50">
        <v>1</v>
      </c>
      <c r="D15" s="50">
        <v>1</v>
      </c>
      <c r="E15" s="50">
        <v>1</v>
      </c>
      <c r="F15" s="50">
        <v>1</v>
      </c>
      <c r="G15" s="50">
        <v>1</v>
      </c>
      <c r="H15" s="50">
        <v>1</v>
      </c>
      <c r="I15" s="50">
        <v>1</v>
      </c>
      <c r="J15" s="50">
        <v>1</v>
      </c>
      <c r="K15" s="50">
        <v>1</v>
      </c>
      <c r="L15" s="50">
        <v>1</v>
      </c>
      <c r="M15" s="50">
        <v>1</v>
      </c>
      <c r="N15" s="50">
        <v>1</v>
      </c>
      <c r="P15" s="10" t="s">
        <v>34</v>
      </c>
      <c r="Q15" s="18">
        <v>18674334</v>
      </c>
      <c r="R15" s="2"/>
      <c r="S15" s="11" t="s">
        <v>34</v>
      </c>
      <c r="T15" s="15">
        <v>41140</v>
      </c>
    </row>
    <row r="16" spans="1:20" x14ac:dyDescent="0.3">
      <c r="B16" t="s">
        <v>92</v>
      </c>
      <c r="C16" s="50">
        <v>1.0009999999999999</v>
      </c>
      <c r="D16" s="50">
        <v>1.002</v>
      </c>
      <c r="E16" s="50">
        <v>1.0009999999999999</v>
      </c>
      <c r="F16" s="50">
        <v>1.002</v>
      </c>
      <c r="G16" s="50">
        <v>1.0049999999999999</v>
      </c>
      <c r="H16" s="50">
        <v>1.0009999999999999</v>
      </c>
      <c r="I16" s="50">
        <v>1.002</v>
      </c>
      <c r="J16" s="50">
        <v>1.0009999999999999</v>
      </c>
      <c r="K16" s="50">
        <v>1.0009999999999999</v>
      </c>
      <c r="L16" s="50">
        <v>1.004</v>
      </c>
      <c r="M16" s="50">
        <v>1.0009999999999999</v>
      </c>
      <c r="N16" s="50">
        <v>1.0009999999999999</v>
      </c>
      <c r="P16" s="10" t="s">
        <v>33</v>
      </c>
      <c r="Q16" s="18">
        <v>18722117</v>
      </c>
      <c r="R16" s="2"/>
      <c r="S16" s="11" t="s">
        <v>33</v>
      </c>
      <c r="T16" s="15">
        <v>41591</v>
      </c>
    </row>
    <row r="17" spans="1:20" x14ac:dyDescent="0.3">
      <c r="B17" t="s">
        <v>93</v>
      </c>
      <c r="C17" s="50">
        <v>1.0049999999999999</v>
      </c>
      <c r="D17" s="50">
        <v>1.008</v>
      </c>
      <c r="E17" s="50">
        <v>1.0049999999999999</v>
      </c>
      <c r="F17" s="50">
        <v>1.0069999999999999</v>
      </c>
      <c r="G17" s="50">
        <v>1.0049999999999999</v>
      </c>
      <c r="H17" s="50">
        <v>1.0089999999999999</v>
      </c>
      <c r="I17" s="50">
        <v>1.0029999999999999</v>
      </c>
      <c r="J17" s="50">
        <v>1.008</v>
      </c>
      <c r="K17" s="50">
        <v>1.0089999999999999</v>
      </c>
      <c r="L17" s="50">
        <v>1.0069999999999999</v>
      </c>
      <c r="M17" s="50">
        <v>1.0089999999999999</v>
      </c>
      <c r="N17" s="50">
        <v>1.0089999999999999</v>
      </c>
      <c r="P17" s="10" t="s">
        <v>32</v>
      </c>
      <c r="Q17" s="18">
        <v>18277155</v>
      </c>
      <c r="R17" s="2"/>
      <c r="S17" s="11" t="s">
        <v>32</v>
      </c>
      <c r="T17" s="15">
        <v>41791</v>
      </c>
    </row>
    <row r="18" spans="1:20" x14ac:dyDescent="0.3">
      <c r="B18" t="s">
        <v>94</v>
      </c>
      <c r="C18" s="50">
        <v>1.008</v>
      </c>
      <c r="D18" s="50">
        <v>1.0129999999999999</v>
      </c>
      <c r="E18" s="50">
        <v>1.0089999999999999</v>
      </c>
      <c r="F18" s="50">
        <v>1.0149999999999999</v>
      </c>
      <c r="G18" s="50">
        <v>1.01</v>
      </c>
      <c r="H18" s="50">
        <v>1.0169999999999999</v>
      </c>
      <c r="I18" s="50">
        <v>1.016</v>
      </c>
      <c r="J18" s="50">
        <v>1.0089999999999999</v>
      </c>
      <c r="K18" s="50">
        <v>1.008</v>
      </c>
      <c r="L18" s="50">
        <v>1.0189999999999999</v>
      </c>
      <c r="M18" s="50">
        <v>1.008</v>
      </c>
      <c r="N18" s="50">
        <v>1.0189999999999999</v>
      </c>
      <c r="P18" s="121" t="s">
        <v>31</v>
      </c>
      <c r="Q18" s="18">
        <v>18127458</v>
      </c>
      <c r="R18" s="2"/>
      <c r="S18" s="114" t="s">
        <v>31</v>
      </c>
      <c r="T18" s="15">
        <v>41901</v>
      </c>
    </row>
    <row r="19" spans="1:20" x14ac:dyDescent="0.3">
      <c r="B19" t="s">
        <v>96</v>
      </c>
      <c r="C19" s="50">
        <v>1.0249999999999999</v>
      </c>
      <c r="D19" s="50">
        <v>1.0349999999999999</v>
      </c>
      <c r="E19" s="50">
        <v>1.026</v>
      </c>
      <c r="F19" s="50">
        <v>1.0329999999999999</v>
      </c>
      <c r="G19" s="50">
        <v>1.0529999999999999</v>
      </c>
      <c r="H19" s="50">
        <v>1</v>
      </c>
      <c r="I19" s="50">
        <v>1.0489999999999999</v>
      </c>
      <c r="J19" s="50">
        <v>1.004</v>
      </c>
      <c r="K19" s="50">
        <v>1.0069999999999999</v>
      </c>
      <c r="L19" s="50">
        <v>1.081</v>
      </c>
      <c r="M19" s="50">
        <v>1.0820000000000001</v>
      </c>
      <c r="N19" s="50">
        <v>1.056</v>
      </c>
      <c r="P19" s="121" t="s">
        <v>30</v>
      </c>
      <c r="Q19" s="18">
        <v>17785564</v>
      </c>
      <c r="R19" s="2"/>
      <c r="S19" s="114" t="s">
        <v>30</v>
      </c>
      <c r="T19" s="15">
        <v>42083</v>
      </c>
    </row>
    <row r="20" spans="1:20" x14ac:dyDescent="0.3">
      <c r="B20" t="s">
        <v>98</v>
      </c>
      <c r="C20" s="50">
        <v>1.0329999999999999</v>
      </c>
      <c r="D20" s="50">
        <v>1.091</v>
      </c>
      <c r="E20" s="50">
        <v>1.056</v>
      </c>
      <c r="F20" s="50">
        <v>1.0489999999999999</v>
      </c>
      <c r="G20" s="50">
        <v>1.002</v>
      </c>
      <c r="H20" s="50">
        <v>1.0680000000000001</v>
      </c>
      <c r="I20" s="50">
        <v>1.1040000000000001</v>
      </c>
      <c r="J20" s="50">
        <v>1.1020000000000001</v>
      </c>
      <c r="K20" s="50">
        <v>1.0660000000000001</v>
      </c>
      <c r="L20" s="50">
        <v>1.0209999999999999</v>
      </c>
      <c r="M20" s="50">
        <v>1.006</v>
      </c>
      <c r="N20" s="50">
        <v>1.038</v>
      </c>
      <c r="P20" s="121" t="s">
        <v>29</v>
      </c>
      <c r="Q20" s="18">
        <v>16732532</v>
      </c>
      <c r="R20" s="2"/>
      <c r="S20" s="114" t="s">
        <v>29</v>
      </c>
      <c r="T20" s="15">
        <v>42393</v>
      </c>
    </row>
    <row r="21" spans="1:20" x14ac:dyDescent="0.3">
      <c r="B21" t="s">
        <v>100</v>
      </c>
      <c r="C21" s="50">
        <v>1.119</v>
      </c>
      <c r="D21" s="50">
        <v>1.165</v>
      </c>
      <c r="E21" s="50">
        <v>1.1679999999999999</v>
      </c>
      <c r="F21" s="50">
        <v>1.21</v>
      </c>
      <c r="G21" s="50">
        <v>1.1319999999999999</v>
      </c>
      <c r="H21" s="50">
        <v>1.1439999999999999</v>
      </c>
      <c r="I21" s="50">
        <v>1.091</v>
      </c>
      <c r="J21" s="50">
        <v>1.17</v>
      </c>
      <c r="K21" s="50">
        <v>1.0489999999999999</v>
      </c>
      <c r="L21" s="50">
        <v>1.0640000000000001</v>
      </c>
      <c r="M21" s="50">
        <v>1.0880000000000001</v>
      </c>
      <c r="N21" s="50">
        <v>1.1910000000000001</v>
      </c>
      <c r="P21" s="121" t="s">
        <v>28</v>
      </c>
      <c r="Q21" s="18">
        <v>15838739</v>
      </c>
      <c r="R21" s="2"/>
      <c r="S21" s="114" t="s">
        <v>28</v>
      </c>
      <c r="T21" s="15">
        <f>ROUND(T20/T19*T20,0)</f>
        <v>42705</v>
      </c>
    </row>
    <row r="22" spans="1:20" x14ac:dyDescent="0.3">
      <c r="B22" t="s">
        <v>102</v>
      </c>
      <c r="C22" s="50">
        <v>1.3680000000000001</v>
      </c>
      <c r="D22" s="50">
        <v>1.3029999999999999</v>
      </c>
      <c r="E22" s="50">
        <v>1.3779999999999999</v>
      </c>
      <c r="F22" s="50">
        <v>1.3089999999999999</v>
      </c>
      <c r="G22" s="50">
        <v>1.363</v>
      </c>
      <c r="H22" s="50">
        <v>1.282</v>
      </c>
      <c r="I22" s="50">
        <v>1.341</v>
      </c>
      <c r="J22" s="50">
        <v>1.333</v>
      </c>
      <c r="K22" s="50">
        <v>1.3819999999999999</v>
      </c>
      <c r="L22" s="50">
        <v>1.4279999999999999</v>
      </c>
      <c r="M22" s="50">
        <v>1.381</v>
      </c>
      <c r="N22" s="50">
        <v>1.3939999999999999</v>
      </c>
      <c r="P22" s="121" t="s">
        <v>27</v>
      </c>
      <c r="Q22" s="18">
        <v>11397674</v>
      </c>
      <c r="R22" s="2"/>
      <c r="S22" s="114" t="s">
        <v>27</v>
      </c>
      <c r="T22" s="15">
        <f>ROUND(T21/T20*T21,0)</f>
        <v>43019</v>
      </c>
    </row>
    <row r="23" spans="1:20" x14ac:dyDescent="0.3">
      <c r="B23" t="s">
        <v>104</v>
      </c>
      <c r="C23" s="50">
        <v>2.5129999999999999</v>
      </c>
      <c r="D23" s="50">
        <v>2.6440000000000001</v>
      </c>
      <c r="E23" s="50">
        <v>2.6150000000000002</v>
      </c>
      <c r="F23" s="50">
        <v>2.7080000000000002</v>
      </c>
      <c r="G23" s="50">
        <v>2.5099999999999998</v>
      </c>
      <c r="H23" s="50">
        <v>2.4889999999999999</v>
      </c>
      <c r="I23" s="50">
        <v>2.8620000000000001</v>
      </c>
      <c r="J23" s="50">
        <v>2.8359999999999999</v>
      </c>
      <c r="K23" s="50">
        <v>2.7320000000000002</v>
      </c>
      <c r="L23" s="50">
        <v>2.4460000000000002</v>
      </c>
      <c r="M23" s="50">
        <v>3.0369999999999999</v>
      </c>
      <c r="N23" s="50">
        <v>2.3610000000000002</v>
      </c>
      <c r="P23" s="121" t="s">
        <v>26</v>
      </c>
      <c r="Q23" s="18">
        <v>4371639</v>
      </c>
      <c r="R23" s="2"/>
      <c r="S23" s="114" t="s">
        <v>26</v>
      </c>
      <c r="T23" s="15">
        <f>ROUND(T22/T21*T22,0)</f>
        <v>43335</v>
      </c>
    </row>
    <row r="24" spans="1:20" x14ac:dyDescent="0.3">
      <c r="C24" s="35"/>
      <c r="D24" s="35"/>
      <c r="E24" s="35"/>
      <c r="F24" s="35"/>
      <c r="G24" s="35"/>
      <c r="H24" s="35"/>
      <c r="I24" s="35"/>
      <c r="J24" s="35"/>
      <c r="K24" s="35"/>
      <c r="L24" s="35"/>
      <c r="M24" s="35"/>
      <c r="N24" s="35"/>
      <c r="P24" s="44"/>
      <c r="Q24" s="2"/>
      <c r="R24" s="2"/>
      <c r="S24" s="44"/>
      <c r="T24" s="2"/>
    </row>
    <row r="25" spans="1:20" x14ac:dyDescent="0.3">
      <c r="B25" t="s">
        <v>395</v>
      </c>
      <c r="C25" s="35"/>
      <c r="D25" s="35"/>
      <c r="E25" s="35"/>
      <c r="F25" s="35"/>
      <c r="G25" s="35"/>
      <c r="H25" s="35"/>
      <c r="I25" s="35"/>
      <c r="J25" s="35"/>
      <c r="K25" s="35"/>
      <c r="L25" s="35"/>
      <c r="M25" s="35"/>
      <c r="N25" s="35"/>
      <c r="P25" s="44"/>
      <c r="Q25" s="2"/>
      <c r="R25" s="2"/>
      <c r="S25" s="44"/>
      <c r="T25" s="2"/>
    </row>
    <row r="26" spans="1:20" ht="14.7" customHeight="1" x14ac:dyDescent="0.3">
      <c r="B26" t="s">
        <v>394</v>
      </c>
      <c r="E26" s="72"/>
      <c r="F26" s="72"/>
      <c r="G26" s="72"/>
      <c r="H26" s="72"/>
      <c r="I26" s="72"/>
      <c r="J26" s="72"/>
      <c r="K26" s="72"/>
      <c r="L26" s="72"/>
      <c r="M26" s="72"/>
      <c r="N26" s="72"/>
      <c r="P26" s="35"/>
      <c r="Q26" s="2"/>
      <c r="R26" s="2"/>
      <c r="S26" s="2"/>
    </row>
    <row r="27" spans="1:20" x14ac:dyDescent="0.3">
      <c r="E27" s="72"/>
      <c r="F27" s="72"/>
      <c r="G27" s="72"/>
      <c r="H27" s="72"/>
      <c r="I27" s="72"/>
      <c r="J27" s="72"/>
      <c r="K27" s="72"/>
      <c r="L27" s="72"/>
      <c r="M27" s="72"/>
      <c r="N27" s="72"/>
      <c r="P27" s="35"/>
      <c r="Q27" s="2"/>
      <c r="R27" s="2"/>
      <c r="S27" s="2"/>
    </row>
    <row r="28" spans="1:20" x14ac:dyDescent="0.3">
      <c r="A28" t="s">
        <v>2</v>
      </c>
      <c r="B28" t="s">
        <v>393</v>
      </c>
      <c r="E28" s="72"/>
      <c r="F28" s="72"/>
      <c r="G28" s="72"/>
      <c r="H28" s="72"/>
      <c r="I28" s="72"/>
      <c r="J28" s="72"/>
      <c r="K28" s="72"/>
      <c r="L28" s="72"/>
      <c r="M28" s="72"/>
      <c r="N28" s="72"/>
      <c r="P28" s="35"/>
      <c r="Q28" s="2"/>
      <c r="R28" s="2"/>
      <c r="S28" s="2"/>
    </row>
    <row r="29" spans="1:20" x14ac:dyDescent="0.3">
      <c r="C29" s="35"/>
      <c r="D29" s="35"/>
      <c r="E29" s="35"/>
      <c r="F29" s="35"/>
      <c r="G29" s="35"/>
      <c r="H29" s="35"/>
      <c r="I29" s="35"/>
      <c r="J29" s="35"/>
      <c r="K29" s="35"/>
      <c r="L29" s="35"/>
      <c r="M29" s="35"/>
      <c r="N29" s="35"/>
      <c r="P29" s="44"/>
      <c r="Q29" s="2"/>
      <c r="R29" s="2"/>
      <c r="S29" s="44"/>
      <c r="T29" s="2"/>
    </row>
    <row r="30" spans="1:20" x14ac:dyDescent="0.3">
      <c r="A30" t="s">
        <v>14</v>
      </c>
      <c r="B30" t="s">
        <v>392</v>
      </c>
      <c r="E30" s="72"/>
      <c r="F30" s="72"/>
      <c r="G30" s="72"/>
      <c r="H30" s="72"/>
      <c r="I30" s="72"/>
      <c r="J30" s="72"/>
      <c r="K30" s="72"/>
      <c r="L30" s="72"/>
      <c r="M30" s="72"/>
      <c r="N30" s="72"/>
      <c r="P30" s="35"/>
      <c r="Q30" s="2"/>
      <c r="R30" s="2"/>
      <c r="S30" s="2"/>
    </row>
    <row r="31" spans="1:20" x14ac:dyDescent="0.3">
      <c r="A31" t="s">
        <v>13</v>
      </c>
      <c r="B31" t="s">
        <v>391</v>
      </c>
      <c r="E31" s="72"/>
      <c r="F31" s="72"/>
      <c r="G31" s="72"/>
      <c r="H31" s="72"/>
      <c r="I31" s="72"/>
      <c r="J31" s="72"/>
      <c r="K31" s="72"/>
      <c r="L31" s="72"/>
      <c r="M31" s="72"/>
      <c r="N31" s="72"/>
      <c r="P31" s="35"/>
      <c r="Q31" s="2"/>
      <c r="R31" s="2"/>
      <c r="S31" s="2"/>
    </row>
    <row r="32" spans="1:20" x14ac:dyDescent="0.3">
      <c r="A32" t="s">
        <v>145</v>
      </c>
      <c r="B32" t="s">
        <v>390</v>
      </c>
      <c r="E32" s="72"/>
      <c r="F32" s="72"/>
      <c r="G32" s="72"/>
      <c r="H32" s="72"/>
      <c r="I32" s="72"/>
      <c r="J32" s="72"/>
      <c r="K32" s="72"/>
      <c r="L32" s="72"/>
      <c r="M32" s="72"/>
      <c r="N32" s="72"/>
      <c r="P32" s="35"/>
      <c r="Q32" s="2"/>
      <c r="R32" s="2"/>
      <c r="S32" s="2"/>
    </row>
    <row r="33" spans="2:19" x14ac:dyDescent="0.3">
      <c r="E33" s="72"/>
      <c r="F33" s="72"/>
      <c r="G33" s="72"/>
      <c r="H33" s="72"/>
      <c r="I33" s="72"/>
      <c r="J33" s="72"/>
      <c r="K33" s="72"/>
      <c r="L33" s="72"/>
      <c r="M33" s="72"/>
      <c r="N33" s="72"/>
      <c r="P33" s="35"/>
      <c r="Q33" s="2"/>
      <c r="R33" s="2"/>
      <c r="S33" s="2"/>
    </row>
    <row r="34" spans="2:19" x14ac:dyDescent="0.3">
      <c r="C34" s="13" t="s">
        <v>183</v>
      </c>
      <c r="D34" s="32"/>
      <c r="E34" s="32"/>
      <c r="F34" s="12"/>
      <c r="I34" s="14" t="s">
        <v>9</v>
      </c>
      <c r="P34" s="35"/>
      <c r="Q34" s="2"/>
      <c r="R34" s="2"/>
      <c r="S34" s="2"/>
    </row>
    <row r="35" spans="2:19" ht="28.8" x14ac:dyDescent="0.3">
      <c r="B35" t="s">
        <v>397</v>
      </c>
      <c r="C35" s="86" t="s">
        <v>419</v>
      </c>
      <c r="D35" s="86" t="s">
        <v>418</v>
      </c>
      <c r="E35" s="86" t="s">
        <v>391</v>
      </c>
      <c r="F35" s="120" t="s">
        <v>390</v>
      </c>
      <c r="G35" s="76"/>
      <c r="H35" s="76"/>
      <c r="P35" s="35"/>
      <c r="Q35" s="2"/>
      <c r="R35" s="2"/>
      <c r="S35" s="2"/>
    </row>
    <row r="36" spans="2:19" x14ac:dyDescent="0.3">
      <c r="B36" t="str">
        <f t="shared" ref="B36:B47" si="0">B12</f>
        <v>Lag 12</v>
      </c>
      <c r="C36" s="50">
        <f>AVERAGE(C12:N12)</f>
        <v>1</v>
      </c>
      <c r="D36" s="50">
        <f t="shared" ref="D36:D47" si="1">(SUM(C12:N12)-MAX(C12:N12)-MIN(C12:N12))/(COUNTA($C$11:$N$11)-2)</f>
        <v>1</v>
      </c>
      <c r="E36" s="50" cm="1">
        <f t="array" ref="E36">1/AVERAGE(1/(C12:N12))</f>
        <v>1</v>
      </c>
      <c r="F36" s="50">
        <f>SUMPRODUCT($C$51:$N$51,C12:N12)</f>
        <v>1</v>
      </c>
      <c r="I36" t="s">
        <v>427</v>
      </c>
      <c r="P36" s="35"/>
      <c r="Q36" s="2"/>
      <c r="R36" s="2"/>
      <c r="S36" s="2"/>
    </row>
    <row r="37" spans="2:19" x14ac:dyDescent="0.3">
      <c r="B37" t="str">
        <f t="shared" si="0"/>
        <v>Lag 11</v>
      </c>
      <c r="C37" s="50">
        <f t="shared" ref="C37:C47" si="2">AVERAGE(C13:N13)</f>
        <v>1.0019166666666666</v>
      </c>
      <c r="D37" s="50">
        <f t="shared" si="1"/>
        <v>1</v>
      </c>
      <c r="E37" s="50" cm="1">
        <f t="array" ref="E37">1/AVERAGE(1/(C13:N13))</f>
        <v>1.0018770913245736</v>
      </c>
      <c r="F37" s="50">
        <f t="shared" ref="F37:F47" si="3">SUMPRODUCT($C$51:$N$51,C13:N13)</f>
        <v>1.0023589743589745</v>
      </c>
      <c r="I37" t="s">
        <v>426</v>
      </c>
      <c r="P37" s="35"/>
      <c r="Q37" s="2"/>
      <c r="R37" s="2"/>
      <c r="S37" s="2"/>
    </row>
    <row r="38" spans="2:19" x14ac:dyDescent="0.3">
      <c r="B38" t="str">
        <f t="shared" si="0"/>
        <v>Lag 10</v>
      </c>
      <c r="C38" s="50">
        <f t="shared" si="2"/>
        <v>1.0004999999999999</v>
      </c>
      <c r="D38" s="50">
        <f t="shared" si="1"/>
        <v>1.0003</v>
      </c>
      <c r="E38" s="50" cm="1">
        <f t="array" ref="E38">1/AVERAGE(1/(C14:N14))</f>
        <v>1.0004990852870601</v>
      </c>
      <c r="F38" s="50">
        <f t="shared" si="3"/>
        <v>1.0003846153846152</v>
      </c>
      <c r="I38" t="s">
        <v>425</v>
      </c>
      <c r="P38" s="35"/>
      <c r="Q38" s="2"/>
      <c r="R38" s="2"/>
      <c r="S38" s="2"/>
    </row>
    <row r="39" spans="2:19" x14ac:dyDescent="0.3">
      <c r="B39" t="str">
        <f t="shared" si="0"/>
        <v>Lag 9</v>
      </c>
      <c r="C39" s="50">
        <f t="shared" si="2"/>
        <v>1</v>
      </c>
      <c r="D39" s="50">
        <f t="shared" si="1"/>
        <v>1</v>
      </c>
      <c r="E39" s="50" cm="1">
        <f t="array" ref="E39">1/AVERAGE(1/(C15:N15))</f>
        <v>1</v>
      </c>
      <c r="F39" s="50">
        <f t="shared" si="3"/>
        <v>1</v>
      </c>
      <c r="I39" t="s">
        <v>424</v>
      </c>
      <c r="P39" s="35"/>
      <c r="Q39" s="2"/>
      <c r="R39" s="2"/>
      <c r="S39" s="2"/>
    </row>
    <row r="40" spans="2:19" x14ac:dyDescent="0.3">
      <c r="B40" t="str">
        <f t="shared" si="0"/>
        <v>Lag 8</v>
      </c>
      <c r="C40" s="50">
        <f t="shared" si="2"/>
        <v>1.0018333333333331</v>
      </c>
      <c r="D40" s="50">
        <f t="shared" si="1"/>
        <v>1.0016</v>
      </c>
      <c r="E40" s="50" cm="1">
        <f t="array" ref="E40">1/AVERAGE(1/(C16:N16))</f>
        <v>1.0018317005816884</v>
      </c>
      <c r="F40" s="50">
        <f t="shared" si="3"/>
        <v>1.0018076923076924</v>
      </c>
      <c r="I40" t="s">
        <v>423</v>
      </c>
      <c r="P40" s="35"/>
      <c r="Q40" s="2"/>
      <c r="R40" s="2"/>
      <c r="S40" s="2"/>
    </row>
    <row r="41" spans="2:19" x14ac:dyDescent="0.3">
      <c r="B41" t="str">
        <f t="shared" si="0"/>
        <v>Lag 7</v>
      </c>
      <c r="C41" s="50">
        <f t="shared" si="2"/>
        <v>1.0070000000000001</v>
      </c>
      <c r="D41" s="50">
        <f t="shared" si="1"/>
        <v>1.0072000000000001</v>
      </c>
      <c r="E41" s="50" cm="1">
        <f t="array" ref="E41">1/AVERAGE(1/(C17:N17))</f>
        <v>1.0069961888599652</v>
      </c>
      <c r="F41" s="50">
        <f t="shared" si="3"/>
        <v>1.0075128205128203</v>
      </c>
    </row>
    <row r="42" spans="2:19" x14ac:dyDescent="0.3">
      <c r="B42" t="str">
        <f t="shared" si="0"/>
        <v>Lag 6</v>
      </c>
      <c r="C42" s="50">
        <f t="shared" si="2"/>
        <v>1.0125833333333334</v>
      </c>
      <c r="D42" s="50">
        <f t="shared" si="1"/>
        <v>1.0124000000000002</v>
      </c>
      <c r="E42" s="50" cm="1">
        <f t="array" ref="E42">1/AVERAGE(1/(C18:N18))</f>
        <v>1.0125656680173833</v>
      </c>
      <c r="F42" s="50">
        <f t="shared" si="3"/>
        <v>1.0132692307692308</v>
      </c>
    </row>
    <row r="43" spans="2:19" x14ac:dyDescent="0.3">
      <c r="B43" t="str">
        <f t="shared" si="0"/>
        <v>Lag 5</v>
      </c>
      <c r="C43" s="50">
        <f t="shared" si="2"/>
        <v>1.0375833333333333</v>
      </c>
      <c r="D43" s="50">
        <f t="shared" si="1"/>
        <v>1.0368999999999999</v>
      </c>
      <c r="E43" s="50" cm="1">
        <f t="array" ref="E43">1/AVERAGE(1/(C19:N19))</f>
        <v>1.0369158490494346</v>
      </c>
      <c r="F43" s="50">
        <f t="shared" si="3"/>
        <v>1.0434871794871794</v>
      </c>
    </row>
    <row r="44" spans="2:19" x14ac:dyDescent="0.3">
      <c r="B44" t="str">
        <f t="shared" si="0"/>
        <v>Lag 4</v>
      </c>
      <c r="C44" s="50">
        <f t="shared" si="2"/>
        <v>1.0529999999999999</v>
      </c>
      <c r="D44" s="50">
        <f t="shared" si="1"/>
        <v>1.0529999999999999</v>
      </c>
      <c r="E44" s="50" cm="1">
        <f t="array" ref="E44">1/AVERAGE(1/(C20:N20))</f>
        <v>1.0519469006678765</v>
      </c>
      <c r="F44" s="50">
        <f t="shared" si="3"/>
        <v>1.0495769230769232</v>
      </c>
    </row>
    <row r="45" spans="2:19" x14ac:dyDescent="0.3">
      <c r="B45" t="str">
        <f t="shared" si="0"/>
        <v>Lag 3</v>
      </c>
      <c r="C45" s="50">
        <f t="shared" si="2"/>
        <v>1.1325833333333333</v>
      </c>
      <c r="D45" s="50">
        <f t="shared" si="1"/>
        <v>1.1332</v>
      </c>
      <c r="E45" s="50" cm="1">
        <f t="array" ref="E45">1/AVERAGE(1/(C21:N21))</f>
        <v>1.1304405207210919</v>
      </c>
      <c r="F45" s="50">
        <f t="shared" si="3"/>
        <v>1.1237820512820513</v>
      </c>
    </row>
    <row r="46" spans="2:19" x14ac:dyDescent="0.3">
      <c r="B46" t="str">
        <f t="shared" si="0"/>
        <v>Lag 2</v>
      </c>
      <c r="C46" s="50">
        <f t="shared" si="2"/>
        <v>1.3551666666666664</v>
      </c>
      <c r="D46" s="50">
        <f t="shared" si="1"/>
        <v>1.3551999999999995</v>
      </c>
      <c r="E46" s="50" cm="1">
        <f t="array" ref="E46">1/AVERAGE(1/(C22:N22))</f>
        <v>1.3539381639218158</v>
      </c>
      <c r="F46" s="50">
        <f t="shared" si="3"/>
        <v>1.3658846153846154</v>
      </c>
    </row>
    <row r="47" spans="2:19" x14ac:dyDescent="0.3">
      <c r="B47" t="str">
        <f t="shared" si="0"/>
        <v>Lag 1</v>
      </c>
      <c r="C47" s="50">
        <f t="shared" si="2"/>
        <v>2.6460833333333333</v>
      </c>
      <c r="D47" s="50">
        <f t="shared" si="1"/>
        <v>2.6355</v>
      </c>
      <c r="E47" s="50" cm="1">
        <f t="array" ref="E47">1/AVERAGE(1/(C23:N23))</f>
        <v>2.6329040253174565</v>
      </c>
      <c r="F47" s="50">
        <f t="shared" si="3"/>
        <v>2.6598846153846152</v>
      </c>
    </row>
    <row r="49" spans="2:14" x14ac:dyDescent="0.3">
      <c r="C49" s="114" t="str">
        <f t="shared" ref="C49:N49" si="4">C11</f>
        <v>Jan 20X1</v>
      </c>
      <c r="D49" s="114" t="str">
        <f t="shared" si="4"/>
        <v>Feb 20X1</v>
      </c>
      <c r="E49" s="114" t="str">
        <f t="shared" si="4"/>
        <v>Mar 20X1</v>
      </c>
      <c r="F49" s="114" t="str">
        <f t="shared" si="4"/>
        <v>Apr 20X1</v>
      </c>
      <c r="G49" s="114" t="str">
        <f t="shared" si="4"/>
        <v>May 20X1</v>
      </c>
      <c r="H49" s="114" t="str">
        <f t="shared" si="4"/>
        <v>Jun 20X1</v>
      </c>
      <c r="I49" s="114" t="str">
        <f t="shared" si="4"/>
        <v>Jul 20X1</v>
      </c>
      <c r="J49" s="114" t="str">
        <f t="shared" si="4"/>
        <v>Aug 20X1</v>
      </c>
      <c r="K49" s="114" t="str">
        <f t="shared" si="4"/>
        <v>Sep 20X1</v>
      </c>
      <c r="L49" s="114" t="str">
        <f t="shared" si="4"/>
        <v>Oct 20X1</v>
      </c>
      <c r="M49" s="114" t="str">
        <f t="shared" si="4"/>
        <v>Nov 20X1</v>
      </c>
      <c r="N49" s="114" t="str">
        <f t="shared" si="4"/>
        <v>Dec 20X1</v>
      </c>
    </row>
    <row r="50" spans="2:14" x14ac:dyDescent="0.3">
      <c r="B50" t="s">
        <v>422</v>
      </c>
      <c r="C50" s="11">
        <v>1</v>
      </c>
      <c r="D50" s="11">
        <v>2</v>
      </c>
      <c r="E50" s="11">
        <v>3</v>
      </c>
      <c r="F50" s="11">
        <v>4</v>
      </c>
      <c r="G50" s="11">
        <v>5</v>
      </c>
      <c r="H50" s="11">
        <v>6</v>
      </c>
      <c r="I50" s="11">
        <v>7</v>
      </c>
      <c r="J50" s="11">
        <v>8</v>
      </c>
      <c r="K50" s="11">
        <v>9</v>
      </c>
      <c r="L50" s="11">
        <v>10</v>
      </c>
      <c r="M50" s="11">
        <v>11</v>
      </c>
      <c r="N50" s="11">
        <v>12</v>
      </c>
    </row>
    <row r="51" spans="2:14" x14ac:dyDescent="0.3">
      <c r="B51" t="s">
        <v>421</v>
      </c>
      <c r="C51" s="27">
        <f>C50/SUM($C$50:$N$50)</f>
        <v>1.282051282051282E-2</v>
      </c>
      <c r="D51" s="27">
        <f t="shared" ref="D51:M51" si="5">D50/SUM($C$50:$N$50)</f>
        <v>2.564102564102564E-2</v>
      </c>
      <c r="E51" s="27">
        <f t="shared" si="5"/>
        <v>3.8461538461538464E-2</v>
      </c>
      <c r="F51" s="27">
        <f t="shared" si="5"/>
        <v>5.128205128205128E-2</v>
      </c>
      <c r="G51" s="27">
        <f t="shared" si="5"/>
        <v>6.4102564102564097E-2</v>
      </c>
      <c r="H51" s="27">
        <f t="shared" si="5"/>
        <v>7.6923076923076927E-2</v>
      </c>
      <c r="I51" s="27">
        <f t="shared" si="5"/>
        <v>8.9743589743589744E-2</v>
      </c>
      <c r="J51" s="27">
        <f t="shared" si="5"/>
        <v>0.10256410256410256</v>
      </c>
      <c r="K51" s="27">
        <f t="shared" si="5"/>
        <v>0.11538461538461539</v>
      </c>
      <c r="L51" s="27">
        <f t="shared" si="5"/>
        <v>0.12820512820512819</v>
      </c>
      <c r="M51" s="27">
        <f t="shared" si="5"/>
        <v>0.14102564102564102</v>
      </c>
      <c r="N51" s="27">
        <f>N50/SUM($C$50:$N$50)</f>
        <v>0.15384615384615385</v>
      </c>
    </row>
    <row r="52" spans="2:14" x14ac:dyDescent="0.3">
      <c r="C52" s="20"/>
      <c r="D52" s="20"/>
      <c r="E52" s="20"/>
      <c r="F52" s="20"/>
      <c r="G52" s="20"/>
      <c r="H52" s="20"/>
      <c r="I52" s="20"/>
      <c r="J52" s="20"/>
      <c r="K52" s="20"/>
      <c r="L52" s="20"/>
      <c r="M52" s="20"/>
      <c r="N52" s="20"/>
    </row>
    <row r="53" spans="2:14" x14ac:dyDescent="0.3">
      <c r="C53" s="13" t="s">
        <v>420</v>
      </c>
      <c r="D53" s="32"/>
      <c r="E53" s="32"/>
      <c r="F53" s="12"/>
    </row>
    <row r="54" spans="2:14" ht="28.8" x14ac:dyDescent="0.3">
      <c r="B54" t="s">
        <v>397</v>
      </c>
      <c r="C54" s="86" t="s">
        <v>419</v>
      </c>
      <c r="D54" s="86" t="s">
        <v>418</v>
      </c>
      <c r="E54" s="86" t="s">
        <v>391</v>
      </c>
      <c r="F54" s="120" t="s">
        <v>390</v>
      </c>
      <c r="I54" s="14" t="s">
        <v>9</v>
      </c>
    </row>
    <row r="55" spans="2:14" x14ac:dyDescent="0.3">
      <c r="B55" t="str">
        <f>B36</f>
        <v>Lag 12</v>
      </c>
      <c r="C55" s="50">
        <f>C36</f>
        <v>1</v>
      </c>
      <c r="D55" s="50">
        <f>D36</f>
        <v>1</v>
      </c>
      <c r="E55" s="50">
        <f>E36</f>
        <v>1</v>
      </c>
      <c r="F55" s="50">
        <f>F36</f>
        <v>1</v>
      </c>
      <c r="I55" t="s">
        <v>417</v>
      </c>
    </row>
    <row r="56" spans="2:14" x14ac:dyDescent="0.3">
      <c r="B56" t="str">
        <f t="shared" ref="B56:B66" si="6">B37</f>
        <v>Lag 11</v>
      </c>
      <c r="C56" s="50">
        <f>C55/C37</f>
        <v>0.99808699991682615</v>
      </c>
      <c r="D56" s="50">
        <f t="shared" ref="D56:D65" si="7">D55/D37</f>
        <v>1</v>
      </c>
      <c r="E56" s="50">
        <f t="shared" ref="E56:E66" si="8">E55/E37</f>
        <v>0.99812642554578035</v>
      </c>
      <c r="F56" s="50">
        <f t="shared" ref="F56:F66" si="9">F55/F37</f>
        <v>0.99764657730481932</v>
      </c>
      <c r="I56" t="s">
        <v>416</v>
      </c>
    </row>
    <row r="57" spans="2:14" x14ac:dyDescent="0.3">
      <c r="B57" t="str">
        <f t="shared" si="6"/>
        <v>Lag 10</v>
      </c>
      <c r="C57" s="50">
        <f t="shared" ref="C57:C66" si="10">C56/C38</f>
        <v>0.99758820581391927</v>
      </c>
      <c r="D57" s="50">
        <f t="shared" si="7"/>
        <v>0.99970008997300808</v>
      </c>
      <c r="E57" s="50">
        <f t="shared" si="8"/>
        <v>0.99762852382758649</v>
      </c>
      <c r="F57" s="50">
        <f t="shared" si="9"/>
        <v>0.99726301460689382</v>
      </c>
    </row>
    <row r="58" spans="2:14" x14ac:dyDescent="0.3">
      <c r="B58" t="str">
        <f t="shared" si="6"/>
        <v>Lag 9</v>
      </c>
      <c r="C58" s="50">
        <f t="shared" si="10"/>
        <v>0.99758820581391927</v>
      </c>
      <c r="D58" s="50">
        <f t="shared" si="7"/>
        <v>0.99970008997300808</v>
      </c>
      <c r="E58" s="50">
        <f t="shared" si="8"/>
        <v>0.99762852382758649</v>
      </c>
      <c r="F58" s="50">
        <f t="shared" si="9"/>
        <v>0.99726301460689382</v>
      </c>
    </row>
    <row r="59" spans="2:14" x14ac:dyDescent="0.3">
      <c r="B59" t="str">
        <f t="shared" si="6"/>
        <v>Lag 8</v>
      </c>
      <c r="C59" s="50">
        <f t="shared" si="10"/>
        <v>0.99576264097213718</v>
      </c>
      <c r="D59" s="50">
        <f t="shared" si="7"/>
        <v>0.9981031249730512</v>
      </c>
      <c r="E59" s="50">
        <f t="shared" si="8"/>
        <v>0.99580450813079546</v>
      </c>
      <c r="F59" s="50">
        <f t="shared" si="9"/>
        <v>0.99546352285404216</v>
      </c>
    </row>
    <row r="60" spans="2:14" x14ac:dyDescent="0.3">
      <c r="B60" t="str">
        <f t="shared" si="6"/>
        <v>Lag 7</v>
      </c>
      <c r="C60" s="50">
        <f t="shared" si="10"/>
        <v>0.98884075568236052</v>
      </c>
      <c r="D60" s="50">
        <f t="shared" si="7"/>
        <v>0.99096815426236207</v>
      </c>
      <c r="E60" s="50">
        <f t="shared" si="8"/>
        <v>0.98888607439334997</v>
      </c>
      <c r="F60" s="50">
        <f t="shared" si="9"/>
        <v>0.98804055153100179</v>
      </c>
    </row>
    <row r="61" spans="2:14" x14ac:dyDescent="0.3">
      <c r="B61" t="str">
        <f t="shared" si="6"/>
        <v>Lag 6</v>
      </c>
      <c r="C61" s="50">
        <f t="shared" si="10"/>
        <v>0.97655247042945648</v>
      </c>
      <c r="D61" s="50">
        <f t="shared" si="7"/>
        <v>0.97883065415089088</v>
      </c>
      <c r="E61" s="50">
        <f t="shared" si="8"/>
        <v>0.97661426377372806</v>
      </c>
      <c r="F61" s="50">
        <f t="shared" si="9"/>
        <v>0.97510170202338375</v>
      </c>
    </row>
    <row r="62" spans="2:14" x14ac:dyDescent="0.3">
      <c r="B62" t="str">
        <f t="shared" si="6"/>
        <v>Lag 5</v>
      </c>
      <c r="C62" s="50">
        <f t="shared" si="10"/>
        <v>0.941179796414222</v>
      </c>
      <c r="D62" s="50">
        <f t="shared" si="7"/>
        <v>0.94399715898436776</v>
      </c>
      <c r="E62" s="50">
        <f t="shared" si="8"/>
        <v>0.94184524681440018</v>
      </c>
      <c r="F62" s="50">
        <f t="shared" si="9"/>
        <v>0.93446447756319961</v>
      </c>
    </row>
    <row r="63" spans="2:14" x14ac:dyDescent="0.3">
      <c r="B63" t="str">
        <f t="shared" si="6"/>
        <v>Lag 4</v>
      </c>
      <c r="C63" s="50">
        <f t="shared" si="10"/>
        <v>0.89380797380268007</v>
      </c>
      <c r="D63" s="50">
        <f t="shared" si="7"/>
        <v>0.89648353179901974</v>
      </c>
      <c r="E63" s="50">
        <f t="shared" si="8"/>
        <v>0.89533535030753619</v>
      </c>
      <c r="F63" s="50">
        <f t="shared" si="9"/>
        <v>0.89032490808176146</v>
      </c>
    </row>
    <row r="64" spans="2:14" x14ac:dyDescent="0.3">
      <c r="B64" t="str">
        <f t="shared" si="6"/>
        <v>Lag 3</v>
      </c>
      <c r="C64" s="50">
        <f t="shared" si="10"/>
        <v>0.78917634358267685</v>
      </c>
      <c r="D64" s="50">
        <f t="shared" si="7"/>
        <v>0.79110795252296129</v>
      </c>
      <c r="E64" s="50">
        <f t="shared" si="8"/>
        <v>0.79202340494342371</v>
      </c>
      <c r="F64" s="50">
        <f t="shared" si="9"/>
        <v>0.79225763311137287</v>
      </c>
    </row>
    <row r="65" spans="2:15" x14ac:dyDescent="0.3">
      <c r="B65" t="str">
        <f t="shared" si="6"/>
        <v>Lag 2</v>
      </c>
      <c r="C65" s="50">
        <f t="shared" si="10"/>
        <v>0.58234633642799927</v>
      </c>
      <c r="D65" s="50">
        <f t="shared" si="7"/>
        <v>0.58375734395141787</v>
      </c>
      <c r="E65" s="50">
        <f t="shared" si="8"/>
        <v>0.58497753150649778</v>
      </c>
      <c r="F65" s="50">
        <f t="shared" si="9"/>
        <v>0.58003262075565831</v>
      </c>
    </row>
    <row r="66" spans="2:15" x14ac:dyDescent="0.3">
      <c r="B66" t="str">
        <f t="shared" si="6"/>
        <v>Lag 1</v>
      </c>
      <c r="C66" s="50">
        <f t="shared" si="10"/>
        <v>0.22007860791534631</v>
      </c>
      <c r="D66" s="50">
        <f>D65/D47</f>
        <v>0.22149775904056834</v>
      </c>
      <c r="E66" s="50">
        <f t="shared" si="8"/>
        <v>0.22217958796882673</v>
      </c>
      <c r="F66" s="50">
        <f t="shared" si="9"/>
        <v>0.21806683545623895</v>
      </c>
    </row>
    <row r="69" spans="2:15" x14ac:dyDescent="0.3">
      <c r="D69" s="13" t="s">
        <v>15</v>
      </c>
      <c r="E69" s="32"/>
      <c r="F69" s="32"/>
      <c r="G69" s="12"/>
      <c r="H69" s="13" t="s">
        <v>53</v>
      </c>
      <c r="I69" s="32"/>
      <c r="J69" s="32"/>
      <c r="K69" s="12"/>
    </row>
    <row r="70" spans="2:15" ht="28.8" x14ac:dyDescent="0.3">
      <c r="C70" s="119" t="s">
        <v>136</v>
      </c>
      <c r="D70" s="119" t="str">
        <f>C35</f>
        <v>Simple Average</v>
      </c>
      <c r="E70" s="119" t="str">
        <f>D35</f>
        <v>Remove High/
Low</v>
      </c>
      <c r="F70" s="119" t="str">
        <f>E35</f>
        <v>Harmonic Mean</v>
      </c>
      <c r="G70" s="120" t="str">
        <f>F35</f>
        <v>Sum of Digits</v>
      </c>
      <c r="H70" s="119" t="str">
        <f>D70</f>
        <v>Simple Average</v>
      </c>
      <c r="I70" s="119" t="str">
        <f>E70</f>
        <v>Remove High/
Low</v>
      </c>
      <c r="J70" s="119" t="str">
        <f>F70</f>
        <v>Harmonic Mean</v>
      </c>
      <c r="K70" s="119" t="str">
        <f>G70</f>
        <v>Sum of Digits</v>
      </c>
      <c r="O70" s="14" t="s">
        <v>9</v>
      </c>
    </row>
    <row r="71" spans="2:15" x14ac:dyDescent="0.3">
      <c r="B71" s="44" t="str">
        <f t="shared" ref="B71:B82" si="11">P12</f>
        <v>Jan 20X2</v>
      </c>
      <c r="C71" s="28">
        <f>Q12</f>
        <v>17767182</v>
      </c>
      <c r="D71" s="28">
        <f>$C71/C55</f>
        <v>17767182</v>
      </c>
      <c r="E71" s="28">
        <f>$C71/D55</f>
        <v>17767182</v>
      </c>
      <c r="F71" s="28">
        <f t="shared" ref="D71:G82" si="12">$C71/E55</f>
        <v>17767182</v>
      </c>
      <c r="G71" s="28">
        <f t="shared" si="12"/>
        <v>17767182</v>
      </c>
      <c r="H71" s="28">
        <f t="shared" ref="H71:H82" si="13">D71-$C71</f>
        <v>0</v>
      </c>
      <c r="I71" s="28">
        <f>E71-$C71</f>
        <v>0</v>
      </c>
      <c r="J71" s="28">
        <f t="shared" ref="J71:J82" si="14">F71-$C71</f>
        <v>0</v>
      </c>
      <c r="K71" s="28">
        <f t="shared" ref="K71:K82" si="15">G71-$C71</f>
        <v>0</v>
      </c>
      <c r="O71" t="s">
        <v>415</v>
      </c>
    </row>
    <row r="72" spans="2:15" x14ac:dyDescent="0.3">
      <c r="B72" s="44" t="str">
        <f t="shared" si="11"/>
        <v>Feb 20X2</v>
      </c>
      <c r="C72" s="28">
        <f t="shared" ref="C72:C82" si="16">Q13</f>
        <v>18500375</v>
      </c>
      <c r="D72" s="28">
        <f t="shared" si="12"/>
        <v>18535834.052083332</v>
      </c>
      <c r="E72" s="28">
        <f t="shared" si="12"/>
        <v>18500375</v>
      </c>
      <c r="F72" s="28">
        <f t="shared" si="12"/>
        <v>18535101.893413857</v>
      </c>
      <c r="G72" s="28">
        <f t="shared" si="12"/>
        <v>18544016.910256412</v>
      </c>
      <c r="H72" s="28">
        <f t="shared" si="13"/>
        <v>35459.052083332092</v>
      </c>
      <c r="I72" s="28">
        <f t="shared" ref="I72:I82" si="17">E72-$C72</f>
        <v>0</v>
      </c>
      <c r="J72" s="28">
        <f t="shared" si="14"/>
        <v>34726.893413856626</v>
      </c>
      <c r="K72" s="28">
        <f t="shared" si="15"/>
        <v>43641.91025641188</v>
      </c>
      <c r="O72" t="s">
        <v>414</v>
      </c>
    </row>
    <row r="73" spans="2:15" x14ac:dyDescent="0.3">
      <c r="B73" s="44" t="str">
        <f t="shared" si="11"/>
        <v>Mar 20X2</v>
      </c>
      <c r="C73" s="28">
        <f t="shared" si="16"/>
        <v>17611082</v>
      </c>
      <c r="D73" s="28">
        <f t="shared" si="12"/>
        <v>17653658.992120247</v>
      </c>
      <c r="E73" s="28">
        <f t="shared" si="12"/>
        <v>17616365.3246</v>
      </c>
      <c r="F73" s="28">
        <f t="shared" si="12"/>
        <v>17652945.53972036</v>
      </c>
      <c r="G73" s="28">
        <f t="shared" si="12"/>
        <v>17659415.562445205</v>
      </c>
      <c r="H73" s="28">
        <f t="shared" si="13"/>
        <v>42576.992120247334</v>
      </c>
      <c r="I73" s="28">
        <f t="shared" si="17"/>
        <v>5283.3245999999344</v>
      </c>
      <c r="J73" s="28">
        <f t="shared" si="14"/>
        <v>41863.53972036019</v>
      </c>
      <c r="K73" s="28">
        <f t="shared" si="15"/>
        <v>48333.562445204705</v>
      </c>
    </row>
    <row r="74" spans="2:15" x14ac:dyDescent="0.3">
      <c r="B74" s="44" t="str">
        <f t="shared" si="11"/>
        <v>Apr 20X2</v>
      </c>
      <c r="C74" s="28">
        <f t="shared" si="16"/>
        <v>18674334</v>
      </c>
      <c r="D74" s="28">
        <f t="shared" si="12"/>
        <v>18719481.536736745</v>
      </c>
      <c r="E74" s="28">
        <f t="shared" si="12"/>
        <v>18679936.3002</v>
      </c>
      <c r="F74" s="28">
        <f t="shared" si="12"/>
        <v>18718725.010339983</v>
      </c>
      <c r="G74" s="28">
        <f t="shared" si="12"/>
        <v>18725585.654413488</v>
      </c>
      <c r="H74" s="28">
        <f t="shared" si="13"/>
        <v>45147.536736745387</v>
      </c>
      <c r="I74" s="28">
        <f t="shared" si="17"/>
        <v>5602.3002000004053</v>
      </c>
      <c r="J74" s="28">
        <f t="shared" si="14"/>
        <v>44391.010339982808</v>
      </c>
      <c r="K74" s="28">
        <f t="shared" si="15"/>
        <v>51251.654413487762</v>
      </c>
    </row>
    <row r="75" spans="2:15" x14ac:dyDescent="0.3">
      <c r="B75" s="44" t="str">
        <f t="shared" si="11"/>
        <v>May 20X2</v>
      </c>
      <c r="C75" s="28">
        <f t="shared" si="16"/>
        <v>18722117</v>
      </c>
      <c r="D75" s="28">
        <f t="shared" si="12"/>
        <v>18801786.921551991</v>
      </c>
      <c r="E75" s="28">
        <f t="shared" si="12"/>
        <v>18757698.008916162</v>
      </c>
      <c r="F75" s="28">
        <f t="shared" si="12"/>
        <v>18800996.427645128</v>
      </c>
      <c r="G75" s="28">
        <f t="shared" si="12"/>
        <v>18807436.50588299</v>
      </c>
      <c r="H75" s="28">
        <f t="shared" si="13"/>
        <v>79669.921551991254</v>
      </c>
      <c r="I75" s="28">
        <f t="shared" si="17"/>
        <v>35581.008916161954</v>
      </c>
      <c r="J75" s="28">
        <f t="shared" si="14"/>
        <v>78879.42764512822</v>
      </c>
      <c r="K75" s="28">
        <f t="shared" si="15"/>
        <v>85319.505882989615</v>
      </c>
    </row>
    <row r="76" spans="2:15" x14ac:dyDescent="0.3">
      <c r="B76" s="44" t="str">
        <f t="shared" si="11"/>
        <v>Jun 20X2</v>
      </c>
      <c r="C76" s="28">
        <f t="shared" si="16"/>
        <v>18277155</v>
      </c>
      <c r="D76" s="28">
        <f t="shared" si="12"/>
        <v>18483415.954460379</v>
      </c>
      <c r="E76" s="28">
        <f t="shared" si="12"/>
        <v>18443735.978180651</v>
      </c>
      <c r="F76" s="28">
        <f t="shared" si="12"/>
        <v>18482568.895726893</v>
      </c>
      <c r="G76" s="28">
        <f t="shared" si="12"/>
        <v>18498385.48800344</v>
      </c>
      <c r="H76" s="28">
        <f t="shared" si="13"/>
        <v>206260.95446037874</v>
      </c>
      <c r="I76" s="28">
        <f t="shared" si="17"/>
        <v>166580.97818065062</v>
      </c>
      <c r="J76" s="28">
        <f t="shared" si="14"/>
        <v>205413.8957268931</v>
      </c>
      <c r="K76" s="28">
        <f t="shared" si="15"/>
        <v>221230.4880034402</v>
      </c>
    </row>
    <row r="77" spans="2:15" x14ac:dyDescent="0.3">
      <c r="B77" s="44" t="str">
        <f t="shared" si="11"/>
        <v>Jul 20X2</v>
      </c>
      <c r="C77" s="28">
        <f t="shared" si="16"/>
        <v>18127458</v>
      </c>
      <c r="D77" s="28">
        <f t="shared" si="12"/>
        <v>18562707.636209372</v>
      </c>
      <c r="E77" s="28">
        <f t="shared" si="12"/>
        <v>18519503.780482925</v>
      </c>
      <c r="F77" s="28">
        <f t="shared" si="12"/>
        <v>18561533.117439654</v>
      </c>
      <c r="G77" s="28">
        <f t="shared" si="12"/>
        <v>18590325.462856475</v>
      </c>
      <c r="H77" s="28">
        <f t="shared" si="13"/>
        <v>435249.63620937243</v>
      </c>
      <c r="I77" s="28">
        <f t="shared" si="17"/>
        <v>392045.78048292547</v>
      </c>
      <c r="J77" s="28">
        <f t="shared" si="14"/>
        <v>434075.11743965372</v>
      </c>
      <c r="K77" s="28">
        <f t="shared" si="15"/>
        <v>462867.46285647526</v>
      </c>
    </row>
    <row r="78" spans="2:15" x14ac:dyDescent="0.3">
      <c r="B78" s="44" t="str">
        <f t="shared" si="11"/>
        <v>Aug 20X2</v>
      </c>
      <c r="C78" s="28">
        <f t="shared" si="16"/>
        <v>17785564</v>
      </c>
      <c r="D78" s="28">
        <f t="shared" si="12"/>
        <v>18897094.973522369</v>
      </c>
      <c r="E78" s="28">
        <f t="shared" si="12"/>
        <v>18840696.532535352</v>
      </c>
      <c r="F78" s="28">
        <f t="shared" si="12"/>
        <v>18883743.43891</v>
      </c>
      <c r="G78" s="28">
        <f t="shared" si="12"/>
        <v>19032894.697484236</v>
      </c>
      <c r="H78" s="28">
        <f t="shared" si="13"/>
        <v>1111530.9735223688</v>
      </c>
      <c r="I78" s="28">
        <f t="shared" si="17"/>
        <v>1055132.5325353518</v>
      </c>
      <c r="J78" s="28">
        <f t="shared" si="14"/>
        <v>1098179.43891</v>
      </c>
      <c r="K78" s="28">
        <f t="shared" si="15"/>
        <v>1247330.6974842362</v>
      </c>
    </row>
    <row r="79" spans="2:15" x14ac:dyDescent="0.3">
      <c r="B79" s="44" t="str">
        <f t="shared" si="11"/>
        <v>Sep 20X2</v>
      </c>
      <c r="C79" s="28">
        <f t="shared" si="16"/>
        <v>16732532</v>
      </c>
      <c r="D79" s="28">
        <f t="shared" si="12"/>
        <v>18720499.805804964</v>
      </c>
      <c r="E79" s="28">
        <f t="shared" si="12"/>
        <v>18664628.413666412</v>
      </c>
      <c r="F79" s="28">
        <f t="shared" si="12"/>
        <v>18688564.004819635</v>
      </c>
      <c r="G79" s="28">
        <f t="shared" si="12"/>
        <v>18793736.81238557</v>
      </c>
      <c r="H79" s="28">
        <f t="shared" si="13"/>
        <v>1987967.8058049642</v>
      </c>
      <c r="I79" s="28">
        <f t="shared" si="17"/>
        <v>1932096.4136664122</v>
      </c>
      <c r="J79" s="28">
        <f t="shared" si="14"/>
        <v>1956032.0048196353</v>
      </c>
      <c r="K79" s="28">
        <f t="shared" si="15"/>
        <v>2061204.8123855703</v>
      </c>
    </row>
    <row r="80" spans="2:15" x14ac:dyDescent="0.3">
      <c r="B80" s="44" t="str">
        <f t="shared" si="11"/>
        <v>Oct 20X2</v>
      </c>
      <c r="C80" s="28">
        <f t="shared" si="16"/>
        <v>15838739</v>
      </c>
      <c r="D80" s="28">
        <f t="shared" si="12"/>
        <v>20069961.712354191</v>
      </c>
      <c r="E80" s="28">
        <f t="shared" si="12"/>
        <v>20020957.885062207</v>
      </c>
      <c r="F80" s="28">
        <f t="shared" si="12"/>
        <v>19997816.858873509</v>
      </c>
      <c r="G80" s="28">
        <f t="shared" si="12"/>
        <v>19991904.575027861</v>
      </c>
      <c r="H80" s="28">
        <f t="shared" si="13"/>
        <v>4231222.7123541906</v>
      </c>
      <c r="I80" s="28">
        <f t="shared" si="17"/>
        <v>4182218.8850622065</v>
      </c>
      <c r="J80" s="28">
        <f t="shared" si="14"/>
        <v>4159077.8588735089</v>
      </c>
      <c r="K80" s="28">
        <f t="shared" si="15"/>
        <v>4153165.5750278607</v>
      </c>
    </row>
    <row r="81" spans="1:15" x14ac:dyDescent="0.3">
      <c r="B81" s="44" t="str">
        <f t="shared" si="11"/>
        <v>Nov 20X2</v>
      </c>
      <c r="C81" s="28">
        <f t="shared" si="16"/>
        <v>11397674</v>
      </c>
      <c r="D81" s="28">
        <f t="shared" si="12"/>
        <v>19571985.409766886</v>
      </c>
      <c r="E81" s="28">
        <f t="shared" si="12"/>
        <v>19524677.707435489</v>
      </c>
      <c r="F81" s="28">
        <f t="shared" si="12"/>
        <v>19483951.752210841</v>
      </c>
      <c r="G81" s="28">
        <f t="shared" si="12"/>
        <v>19650056.897060841</v>
      </c>
      <c r="H81" s="28">
        <f t="shared" si="13"/>
        <v>8174311.4097668864</v>
      </c>
      <c r="I81" s="28">
        <f t="shared" si="17"/>
        <v>8127003.7074354887</v>
      </c>
      <c r="J81" s="28">
        <f t="shared" si="14"/>
        <v>8086277.7522108406</v>
      </c>
      <c r="K81" s="28">
        <f t="shared" si="15"/>
        <v>8252382.8970608413</v>
      </c>
    </row>
    <row r="82" spans="1:15" x14ac:dyDescent="0.3">
      <c r="B82" s="44" t="str">
        <f t="shared" si="11"/>
        <v>Dec 20X2</v>
      </c>
      <c r="C82" s="28">
        <f t="shared" si="16"/>
        <v>4371639</v>
      </c>
      <c r="D82" s="28">
        <f t="shared" si="12"/>
        <v>19863988.787504327</v>
      </c>
      <c r="E82" s="28">
        <f t="shared" si="12"/>
        <v>19736718.867658224</v>
      </c>
      <c r="F82" s="28">
        <f t="shared" si="12"/>
        <v>19676150.450928777</v>
      </c>
      <c r="G82" s="28">
        <f t="shared" si="12"/>
        <v>20047243.730820719</v>
      </c>
      <c r="H82" s="28">
        <f t="shared" si="13"/>
        <v>15492349.787504327</v>
      </c>
      <c r="I82" s="28">
        <f t="shared" si="17"/>
        <v>15365079.867658224</v>
      </c>
      <c r="J82" s="28">
        <f t="shared" si="14"/>
        <v>15304511.450928777</v>
      </c>
      <c r="K82" s="28">
        <f t="shared" si="15"/>
        <v>15675604.730820719</v>
      </c>
    </row>
    <row r="83" spans="1:15" x14ac:dyDescent="0.3">
      <c r="B83" s="44"/>
      <c r="C83" s="28"/>
      <c r="D83" s="28"/>
      <c r="E83" s="28"/>
      <c r="F83" s="28"/>
      <c r="G83" s="28"/>
      <c r="H83" s="28"/>
      <c r="I83" s="28"/>
      <c r="J83" s="28"/>
      <c r="K83" s="28"/>
    </row>
    <row r="84" spans="1:15" ht="15" thickBot="1" x14ac:dyDescent="0.35">
      <c r="C84" s="28"/>
      <c r="D84" s="28"/>
      <c r="E84" s="28"/>
      <c r="F84" s="28"/>
      <c r="G84" s="28" t="s">
        <v>8</v>
      </c>
      <c r="H84" s="28">
        <f>SUM(H71:H82)</f>
        <v>31841746.782114804</v>
      </c>
      <c r="I84" s="28">
        <f>SUM(I71:I82)</f>
        <v>31266624.798737422</v>
      </c>
      <c r="J84" s="28">
        <f>SUM(J71:J82)</f>
        <v>31443428.390028637</v>
      </c>
      <c r="K84" s="28">
        <f>SUM(K71:K82)</f>
        <v>32302333.296637237</v>
      </c>
    </row>
    <row r="85" spans="1:15" ht="15" thickBot="1" x14ac:dyDescent="0.35">
      <c r="C85" s="28"/>
      <c r="D85" s="28"/>
      <c r="E85" s="28"/>
      <c r="F85" s="28"/>
      <c r="G85" s="28" t="s">
        <v>170</v>
      </c>
      <c r="H85" s="28">
        <f>H84-$H$84</f>
        <v>0</v>
      </c>
      <c r="I85" s="113">
        <f>I84-$H$84</f>
        <v>-575121.98337738216</v>
      </c>
      <c r="J85" s="112">
        <f>J84-$H$84</f>
        <v>-398318.39208616689</v>
      </c>
      <c r="K85" s="111">
        <f>K84-$H$84</f>
        <v>460586.51452243328</v>
      </c>
      <c r="O85" t="s">
        <v>413</v>
      </c>
    </row>
    <row r="86" spans="1:15" x14ac:dyDescent="0.3">
      <c r="H86" s="2"/>
    </row>
    <row r="87" spans="1:15" x14ac:dyDescent="0.3">
      <c r="A87" t="s">
        <v>1</v>
      </c>
      <c r="B87" t="s">
        <v>389</v>
      </c>
      <c r="I87" s="2"/>
      <c r="J87" s="2"/>
    </row>
    <row r="89" spans="1:15" x14ac:dyDescent="0.3">
      <c r="F89" s="13" t="s">
        <v>412</v>
      </c>
      <c r="G89" s="32"/>
      <c r="H89" s="32"/>
      <c r="I89" s="12"/>
      <c r="J89" s="13" t="s">
        <v>411</v>
      </c>
      <c r="K89" s="32"/>
      <c r="L89" s="32"/>
      <c r="M89" s="12"/>
    </row>
    <row r="90" spans="1:15" ht="28.8" x14ac:dyDescent="0.3">
      <c r="C90" s="50" t="str">
        <f t="shared" ref="C90:C102" si="18">C70</f>
        <v>Paid Claims</v>
      </c>
      <c r="D90" s="86" t="s">
        <v>396</v>
      </c>
      <c r="E90" s="86" t="s">
        <v>177</v>
      </c>
      <c r="F90" s="119" t="str">
        <f t="shared" ref="F90:M90" si="19">D70</f>
        <v>Simple Average</v>
      </c>
      <c r="G90" s="119" t="str">
        <f t="shared" si="19"/>
        <v>Remove High/
Low</v>
      </c>
      <c r="H90" s="119" t="str">
        <f t="shared" si="19"/>
        <v>Harmonic Mean</v>
      </c>
      <c r="I90" s="119" t="str">
        <f t="shared" si="19"/>
        <v>Sum of Digits</v>
      </c>
      <c r="J90" s="119" t="str">
        <f t="shared" si="19"/>
        <v>Simple Average</v>
      </c>
      <c r="K90" s="119" t="str">
        <f t="shared" si="19"/>
        <v>Remove High/
Low</v>
      </c>
      <c r="L90" s="119" t="str">
        <f t="shared" si="19"/>
        <v>Harmonic Mean</v>
      </c>
      <c r="M90" s="119" t="str">
        <f t="shared" si="19"/>
        <v>Sum of Digits</v>
      </c>
      <c r="O90" s="14" t="s">
        <v>9</v>
      </c>
    </row>
    <row r="91" spans="1:15" x14ac:dyDescent="0.3">
      <c r="B91" s="44" t="str">
        <f t="shared" ref="B91:B102" si="20">B71</f>
        <v>Jan 20X2</v>
      </c>
      <c r="C91" s="28">
        <f t="shared" si="18"/>
        <v>17767182</v>
      </c>
      <c r="D91" s="15">
        <f t="shared" ref="D91:D102" si="21">T12</f>
        <v>40226</v>
      </c>
      <c r="E91" s="28">
        <f t="shared" ref="E91:E102" si="22">C91/D91</f>
        <v>441.68403520111372</v>
      </c>
      <c r="F91" s="28">
        <f>$E91/C55</f>
        <v>441.68403520111372</v>
      </c>
      <c r="G91" s="28">
        <f t="shared" ref="G91:G102" si="23">$E91/D55</f>
        <v>441.68403520111372</v>
      </c>
      <c r="H91" s="28">
        <f t="shared" ref="H91:H102" si="24">$E91/E55</f>
        <v>441.68403520111372</v>
      </c>
      <c r="I91" s="28">
        <f t="shared" ref="I91:I102" si="25">$E91/F55</f>
        <v>441.68403520111372</v>
      </c>
      <c r="J91" s="28">
        <f t="shared" ref="J91:J102" si="26">F91-$E91</f>
        <v>0</v>
      </c>
      <c r="K91" s="28">
        <f t="shared" ref="K91:K102" si="27">G91-$E91</f>
        <v>0</v>
      </c>
      <c r="L91" s="28">
        <f t="shared" ref="L91:L102" si="28">H91-$E91</f>
        <v>0</v>
      </c>
      <c r="M91" s="28">
        <f t="shared" ref="M91:M102" si="29">I91-$E91</f>
        <v>0</v>
      </c>
      <c r="O91" t="s">
        <v>410</v>
      </c>
    </row>
    <row r="92" spans="1:15" x14ac:dyDescent="0.3">
      <c r="B92" s="44" t="str">
        <f t="shared" si="20"/>
        <v>Feb 20X2</v>
      </c>
      <c r="C92" s="28">
        <f t="shared" si="18"/>
        <v>18500375</v>
      </c>
      <c r="D92" s="15">
        <f t="shared" si="21"/>
        <v>40654</v>
      </c>
      <c r="E92" s="28">
        <f t="shared" si="22"/>
        <v>455.06899690067399</v>
      </c>
      <c r="F92" s="28">
        <f>$E92/C56</f>
        <v>455.94121247806692</v>
      </c>
      <c r="G92" s="28">
        <f t="shared" si="23"/>
        <v>455.06899690067399</v>
      </c>
      <c r="H92" s="28">
        <f t="shared" si="24"/>
        <v>455.92320296683869</v>
      </c>
      <c r="I92" s="28">
        <f t="shared" si="25"/>
        <v>456.14249299592689</v>
      </c>
      <c r="J92" s="28">
        <f>F92-$E92</f>
        <v>0.87221557739292166</v>
      </c>
      <c r="K92" s="28">
        <f t="shared" si="27"/>
        <v>0</v>
      </c>
      <c r="L92" s="28">
        <f t="shared" si="28"/>
        <v>0.85420606616469286</v>
      </c>
      <c r="M92" s="28">
        <f t="shared" si="29"/>
        <v>1.0734960952528922</v>
      </c>
      <c r="O92" t="s">
        <v>409</v>
      </c>
    </row>
    <row r="93" spans="1:15" x14ac:dyDescent="0.3">
      <c r="B93" s="44" t="str">
        <f t="shared" si="20"/>
        <v>Mar 20X2</v>
      </c>
      <c r="C93" s="28">
        <f t="shared" si="18"/>
        <v>17611082</v>
      </c>
      <c r="D93" s="15">
        <f t="shared" si="21"/>
        <v>40966</v>
      </c>
      <c r="E93" s="28">
        <f t="shared" si="22"/>
        <v>429.89508372796956</v>
      </c>
      <c r="F93" s="28">
        <f>$E93/C57</f>
        <v>430.93440882976734</v>
      </c>
      <c r="G93" s="28">
        <f t="shared" si="23"/>
        <v>430.02405225308797</v>
      </c>
      <c r="H93" s="28">
        <f t="shared" si="24"/>
        <v>430.91699310941664</v>
      </c>
      <c r="I93" s="28">
        <f t="shared" si="25"/>
        <v>431.07492951338196</v>
      </c>
      <c r="J93" s="28">
        <f t="shared" si="26"/>
        <v>1.0393251017977718</v>
      </c>
      <c r="K93" s="28">
        <f t="shared" si="27"/>
        <v>0.12896852511840962</v>
      </c>
      <c r="L93" s="28">
        <f t="shared" si="28"/>
        <v>1.0219093814470739</v>
      </c>
      <c r="M93" s="28">
        <f t="shared" si="29"/>
        <v>1.1798457854123967</v>
      </c>
      <c r="O93" t="s">
        <v>408</v>
      </c>
    </row>
    <row r="94" spans="1:15" x14ac:dyDescent="0.3">
      <c r="B94" s="44" t="str">
        <f t="shared" si="20"/>
        <v>Apr 20X2</v>
      </c>
      <c r="C94" s="28">
        <f t="shared" si="18"/>
        <v>18674334</v>
      </c>
      <c r="D94" s="15">
        <f t="shared" si="21"/>
        <v>41140</v>
      </c>
      <c r="E94" s="28">
        <f t="shared" si="22"/>
        <v>453.92158483228002</v>
      </c>
      <c r="F94" s="28">
        <f>$E94/C58</f>
        <v>455.01899700381011</v>
      </c>
      <c r="G94" s="28">
        <f t="shared" si="23"/>
        <v>454.05776130772972</v>
      </c>
      <c r="H94" s="28">
        <f t="shared" si="24"/>
        <v>455.00060793242545</v>
      </c>
      <c r="I94" s="28">
        <f t="shared" si="25"/>
        <v>455.16737127888888</v>
      </c>
      <c r="J94" s="28">
        <f t="shared" si="26"/>
        <v>1.0974121715300953</v>
      </c>
      <c r="K94" s="28">
        <f t="shared" si="27"/>
        <v>0.13617647544970168</v>
      </c>
      <c r="L94" s="28">
        <f t="shared" si="28"/>
        <v>1.0790231001454345</v>
      </c>
      <c r="M94" s="28">
        <f t="shared" si="29"/>
        <v>1.2457864466088608</v>
      </c>
      <c r="O94" t="s">
        <v>407</v>
      </c>
    </row>
    <row r="95" spans="1:15" x14ac:dyDescent="0.3">
      <c r="B95" s="44" t="str">
        <f t="shared" si="20"/>
        <v>May 20X2</v>
      </c>
      <c r="C95" s="28">
        <f t="shared" si="18"/>
        <v>18722117</v>
      </c>
      <c r="D95" s="15">
        <f t="shared" si="21"/>
        <v>41591</v>
      </c>
      <c r="E95" s="28">
        <f t="shared" si="22"/>
        <v>450.1482772715251</v>
      </c>
      <c r="F95" s="28">
        <f t="shared" ref="F95:F102" si="30">$E95/C59</f>
        <v>452.06383403986422</v>
      </c>
      <c r="G95" s="28">
        <f t="shared" si="23"/>
        <v>451.00377506951412</v>
      </c>
      <c r="H95" s="28">
        <f t="shared" si="24"/>
        <v>452.04482767053281</v>
      </c>
      <c r="I95" s="28">
        <f t="shared" si="25"/>
        <v>452.19967074326155</v>
      </c>
      <c r="J95" s="28">
        <f t="shared" si="26"/>
        <v>1.9155567683391155</v>
      </c>
      <c r="K95" s="28">
        <f t="shared" si="27"/>
        <v>0.85549779798901682</v>
      </c>
      <c r="L95" s="28">
        <f t="shared" si="28"/>
        <v>1.8965503990077082</v>
      </c>
      <c r="M95" s="28">
        <f t="shared" si="29"/>
        <v>2.0513934717364464</v>
      </c>
    </row>
    <row r="96" spans="1:15" x14ac:dyDescent="0.3">
      <c r="B96" s="44" t="str">
        <f t="shared" si="20"/>
        <v>Jun 20X2</v>
      </c>
      <c r="C96" s="28">
        <f t="shared" si="18"/>
        <v>18277155</v>
      </c>
      <c r="D96" s="15">
        <f t="shared" si="21"/>
        <v>41791</v>
      </c>
      <c r="E96" s="28">
        <f t="shared" si="22"/>
        <v>437.34667751429731</v>
      </c>
      <c r="F96" s="28">
        <f t="shared" si="30"/>
        <v>442.28221278410132</v>
      </c>
      <c r="G96" s="28">
        <f t="shared" si="23"/>
        <v>441.3327266201012</v>
      </c>
      <c r="H96" s="28">
        <f t="shared" si="24"/>
        <v>442.26194385697619</v>
      </c>
      <c r="I96" s="28">
        <f t="shared" si="25"/>
        <v>442.64041272052452</v>
      </c>
      <c r="J96" s="28">
        <f t="shared" si="26"/>
        <v>4.9355352698040065</v>
      </c>
      <c r="K96" s="28">
        <f t="shared" si="27"/>
        <v>3.9860491058038861</v>
      </c>
      <c r="L96" s="28">
        <f t="shared" si="28"/>
        <v>4.9152663426788763</v>
      </c>
      <c r="M96" s="28">
        <f t="shared" si="29"/>
        <v>5.2937352062272112</v>
      </c>
    </row>
    <row r="97" spans="2:15" x14ac:dyDescent="0.3">
      <c r="B97" s="44" t="str">
        <f t="shared" si="20"/>
        <v>Jul 20X2</v>
      </c>
      <c r="C97" s="28">
        <f t="shared" si="18"/>
        <v>18127458</v>
      </c>
      <c r="D97" s="15">
        <f t="shared" si="21"/>
        <v>41901</v>
      </c>
      <c r="E97" s="28">
        <f t="shared" si="22"/>
        <v>432.62590391637428</v>
      </c>
      <c r="F97" s="28">
        <f t="shared" si="30"/>
        <v>443.01347548290903</v>
      </c>
      <c r="G97" s="28">
        <f t="shared" si="23"/>
        <v>441.98238181625561</v>
      </c>
      <c r="H97" s="28">
        <f t="shared" si="24"/>
        <v>442.98544467768437</v>
      </c>
      <c r="I97" s="28">
        <f t="shared" si="25"/>
        <v>443.67259642625419</v>
      </c>
      <c r="J97" s="28">
        <f t="shared" si="26"/>
        <v>10.387571566534746</v>
      </c>
      <c r="K97" s="28">
        <f t="shared" si="27"/>
        <v>9.3564778998813267</v>
      </c>
      <c r="L97" s="28">
        <f t="shared" si="28"/>
        <v>10.359540761310086</v>
      </c>
      <c r="M97" s="28">
        <f t="shared" si="29"/>
        <v>11.046692509879904</v>
      </c>
    </row>
    <row r="98" spans="2:15" x14ac:dyDescent="0.3">
      <c r="B98" s="44" t="str">
        <f t="shared" si="20"/>
        <v>Aug 20X2</v>
      </c>
      <c r="C98" s="28">
        <f t="shared" si="18"/>
        <v>17785564</v>
      </c>
      <c r="D98" s="15">
        <f t="shared" si="21"/>
        <v>42083</v>
      </c>
      <c r="E98" s="28">
        <f t="shared" si="22"/>
        <v>422.63061093553216</v>
      </c>
      <c r="F98" s="28">
        <f t="shared" si="30"/>
        <v>449.04343733864903</v>
      </c>
      <c r="G98" s="28">
        <f t="shared" si="23"/>
        <v>447.70326574947961</v>
      </c>
      <c r="H98" s="28">
        <f t="shared" si="24"/>
        <v>448.72617063683674</v>
      </c>
      <c r="I98" s="28">
        <f t="shared" si="25"/>
        <v>452.27038703239401</v>
      </c>
      <c r="J98" s="28">
        <f t="shared" si="26"/>
        <v>26.412826403116867</v>
      </c>
      <c r="K98" s="28">
        <f>G98-$E98</f>
        <v>25.072654813947452</v>
      </c>
      <c r="L98" s="28">
        <f t="shared" si="28"/>
        <v>26.09555970130458</v>
      </c>
      <c r="M98" s="28">
        <f t="shared" si="29"/>
        <v>29.639776096861851</v>
      </c>
    </row>
    <row r="99" spans="2:15" x14ac:dyDescent="0.3">
      <c r="B99" s="44" t="str">
        <f t="shared" si="20"/>
        <v>Sep 20X2</v>
      </c>
      <c r="C99" s="28">
        <f t="shared" si="18"/>
        <v>16732532</v>
      </c>
      <c r="D99" s="15">
        <f t="shared" si="21"/>
        <v>42393</v>
      </c>
      <c r="E99" s="28">
        <f t="shared" si="22"/>
        <v>394.70035147312058</v>
      </c>
      <c r="F99" s="28">
        <f t="shared" si="30"/>
        <v>441.59412652572274</v>
      </c>
      <c r="G99" s="28">
        <f t="shared" si="23"/>
        <v>440.27618742873619</v>
      </c>
      <c r="H99" s="28">
        <f t="shared" si="24"/>
        <v>440.8407993022347</v>
      </c>
      <c r="I99" s="28">
        <f t="shared" si="25"/>
        <v>443.3216996293155</v>
      </c>
      <c r="J99" s="28">
        <f t="shared" si="26"/>
        <v>46.893775052602166</v>
      </c>
      <c r="K99" s="28">
        <f t="shared" si="27"/>
        <v>45.575835955615617</v>
      </c>
      <c r="L99" s="28">
        <f t="shared" si="28"/>
        <v>46.140447829114123</v>
      </c>
      <c r="M99" s="28">
        <f t="shared" si="29"/>
        <v>48.621348156194927</v>
      </c>
    </row>
    <row r="100" spans="2:15" x14ac:dyDescent="0.3">
      <c r="B100" s="44" t="str">
        <f t="shared" si="20"/>
        <v>Oct 20X2</v>
      </c>
      <c r="C100" s="28">
        <f t="shared" si="18"/>
        <v>15838739</v>
      </c>
      <c r="D100" s="15">
        <f t="shared" si="21"/>
        <v>42705</v>
      </c>
      <c r="E100" s="28">
        <f t="shared" si="22"/>
        <v>370.88722632010303</v>
      </c>
      <c r="F100" s="28">
        <f t="shared" si="30"/>
        <v>469.96749121541245</v>
      </c>
      <c r="G100" s="28">
        <f t="shared" si="23"/>
        <v>468.81999496691736</v>
      </c>
      <c r="H100" s="28">
        <f t="shared" si="24"/>
        <v>468.27811401179042</v>
      </c>
      <c r="I100" s="28">
        <f t="shared" si="25"/>
        <v>468.13966924312984</v>
      </c>
      <c r="J100" s="28">
        <f t="shared" si="26"/>
        <v>99.080264895309426</v>
      </c>
      <c r="K100" s="28">
        <f t="shared" si="27"/>
        <v>97.932768646814338</v>
      </c>
      <c r="L100" s="28">
        <f t="shared" si="28"/>
        <v>97.390887691687396</v>
      </c>
      <c r="M100" s="28">
        <f t="shared" si="29"/>
        <v>97.25244292302682</v>
      </c>
    </row>
    <row r="101" spans="2:15" x14ac:dyDescent="0.3">
      <c r="B101" s="44" t="str">
        <f t="shared" si="20"/>
        <v>Nov 20X2</v>
      </c>
      <c r="C101" s="28">
        <f t="shared" si="18"/>
        <v>11397674</v>
      </c>
      <c r="D101" s="15">
        <f t="shared" si="21"/>
        <v>43019</v>
      </c>
      <c r="E101" s="28">
        <f t="shared" si="22"/>
        <v>264.94511727376278</v>
      </c>
      <c r="F101" s="28">
        <f t="shared" si="30"/>
        <v>454.96142192442613</v>
      </c>
      <c r="G101" s="28">
        <f t="shared" si="23"/>
        <v>453.86172871139473</v>
      </c>
      <c r="H101" s="28">
        <f t="shared" si="24"/>
        <v>452.91503178155796</v>
      </c>
      <c r="I101" s="28">
        <f t="shared" si="25"/>
        <v>456.77623601340906</v>
      </c>
      <c r="J101" s="28">
        <f t="shared" si="26"/>
        <v>190.01630465066336</v>
      </c>
      <c r="K101" s="28">
        <f t="shared" si="27"/>
        <v>188.91661143763196</v>
      </c>
      <c r="L101" s="28">
        <f t="shared" si="28"/>
        <v>187.96991450779518</v>
      </c>
      <c r="M101" s="28">
        <f t="shared" si="29"/>
        <v>191.83111873964629</v>
      </c>
    </row>
    <row r="102" spans="2:15" x14ac:dyDescent="0.3">
      <c r="B102" s="44" t="str">
        <f t="shared" si="20"/>
        <v>Dec 20X2</v>
      </c>
      <c r="C102" s="28">
        <f t="shared" si="18"/>
        <v>4371639</v>
      </c>
      <c r="D102" s="15">
        <f t="shared" si="21"/>
        <v>43335</v>
      </c>
      <c r="E102" s="28">
        <f t="shared" si="22"/>
        <v>100.88009691934926</v>
      </c>
      <c r="F102" s="28">
        <f t="shared" si="30"/>
        <v>458.38211116890102</v>
      </c>
      <c r="G102" s="28">
        <f t="shared" si="23"/>
        <v>455.44522597572916</v>
      </c>
      <c r="H102" s="28">
        <f t="shared" si="24"/>
        <v>454.04754703885493</v>
      </c>
      <c r="I102" s="28">
        <f t="shared" si="25"/>
        <v>462.61090875321844</v>
      </c>
      <c r="J102" s="28">
        <f t="shared" si="26"/>
        <v>357.50201424955173</v>
      </c>
      <c r="K102" s="28">
        <f t="shared" si="27"/>
        <v>354.56512905637987</v>
      </c>
      <c r="L102" s="28">
        <f t="shared" si="28"/>
        <v>353.1674501195057</v>
      </c>
      <c r="M102" s="28">
        <f t="shared" si="29"/>
        <v>361.73081183386921</v>
      </c>
    </row>
    <row r="103" spans="2:15" x14ac:dyDescent="0.3">
      <c r="C103" s="2"/>
    </row>
    <row r="104" spans="2:15" x14ac:dyDescent="0.3">
      <c r="C104" s="13" t="s">
        <v>406</v>
      </c>
      <c r="D104" s="32"/>
      <c r="E104" s="32"/>
      <c r="F104" s="12"/>
    </row>
    <row r="105" spans="2:15" ht="28.8" x14ac:dyDescent="0.3">
      <c r="C105" s="118" t="str">
        <f>F90</f>
        <v>Simple Average</v>
      </c>
      <c r="D105" s="118" t="str">
        <f>G90</f>
        <v>Remove High/
Low</v>
      </c>
      <c r="E105" s="118" t="str">
        <f>H90</f>
        <v>Harmonic Mean</v>
      </c>
      <c r="F105" s="118" t="str">
        <f>I90</f>
        <v>Sum of Digits</v>
      </c>
    </row>
    <row r="106" spans="2:15" x14ac:dyDescent="0.3">
      <c r="B106" s="44" t="str">
        <f t="shared" ref="B106:B117" si="31">B91</f>
        <v>Jan 20X2</v>
      </c>
      <c r="C106" s="17">
        <f t="shared" ref="C106:C117" si="32">J91*$D91</f>
        <v>0</v>
      </c>
      <c r="D106" s="17">
        <f t="shared" ref="D106:D117" si="33">K91*$D91</f>
        <v>0</v>
      </c>
      <c r="E106" s="17">
        <f t="shared" ref="E106:E117" si="34">L91*$D91</f>
        <v>0</v>
      </c>
      <c r="F106" s="17">
        <f t="shared" ref="F106:F117" si="35">M91*$D91</f>
        <v>0</v>
      </c>
      <c r="O106" t="s">
        <v>405</v>
      </c>
    </row>
    <row r="107" spans="2:15" x14ac:dyDescent="0.3">
      <c r="B107" s="44" t="str">
        <f t="shared" si="31"/>
        <v>Feb 20X2</v>
      </c>
      <c r="C107" s="17">
        <f>J92*$D92</f>
        <v>35459.052083331837</v>
      </c>
      <c r="D107" s="17">
        <f t="shared" si="33"/>
        <v>0</v>
      </c>
      <c r="E107" s="17">
        <f t="shared" si="34"/>
        <v>34726.893413859427</v>
      </c>
      <c r="F107" s="17">
        <f t="shared" si="35"/>
        <v>43641.91025641108</v>
      </c>
    </row>
    <row r="108" spans="2:15" x14ac:dyDescent="0.3">
      <c r="B108" s="44" t="str">
        <f t="shared" si="31"/>
        <v>Mar 20X2</v>
      </c>
      <c r="C108" s="17">
        <f t="shared" si="32"/>
        <v>42576.992120247523</v>
      </c>
      <c r="D108" s="17">
        <f t="shared" si="33"/>
        <v>5283.3246000007684</v>
      </c>
      <c r="E108" s="17">
        <f t="shared" si="34"/>
        <v>41863.53972036083</v>
      </c>
      <c r="F108" s="17">
        <f t="shared" si="35"/>
        <v>48333.562445204247</v>
      </c>
    </row>
    <row r="109" spans="2:15" x14ac:dyDescent="0.3">
      <c r="B109" s="44" t="str">
        <f t="shared" si="31"/>
        <v>Apr 20X2</v>
      </c>
      <c r="C109" s="17">
        <f t="shared" si="32"/>
        <v>45147.536736748123</v>
      </c>
      <c r="D109" s="17">
        <f t="shared" si="33"/>
        <v>5602.3002000007273</v>
      </c>
      <c r="E109" s="17">
        <f t="shared" si="34"/>
        <v>44391.010339983171</v>
      </c>
      <c r="F109" s="17">
        <f t="shared" si="35"/>
        <v>51251.654413488533</v>
      </c>
    </row>
    <row r="110" spans="2:15" x14ac:dyDescent="0.3">
      <c r="B110" s="44" t="str">
        <f t="shared" si="31"/>
        <v>May 20X2</v>
      </c>
      <c r="C110" s="17">
        <f t="shared" si="32"/>
        <v>79669.921551992156</v>
      </c>
      <c r="D110" s="17">
        <f>K95*$D95</f>
        <v>35581.008916161198</v>
      </c>
      <c r="E110" s="17">
        <f t="shared" si="34"/>
        <v>78879.427645129588</v>
      </c>
      <c r="F110" s="17">
        <f t="shared" si="35"/>
        <v>85319.505882990547</v>
      </c>
    </row>
    <row r="111" spans="2:15" x14ac:dyDescent="0.3">
      <c r="B111" s="44" t="str">
        <f t="shared" si="31"/>
        <v>Jun 20X2</v>
      </c>
      <c r="C111" s="17">
        <f t="shared" si="32"/>
        <v>206260.95446037923</v>
      </c>
      <c r="D111" s="17">
        <f t="shared" si="33"/>
        <v>166580.97818065021</v>
      </c>
      <c r="E111" s="17">
        <f t="shared" si="34"/>
        <v>205413.89572689292</v>
      </c>
      <c r="F111" s="17">
        <f t="shared" si="35"/>
        <v>221230.48800344139</v>
      </c>
    </row>
    <row r="112" spans="2:15" x14ac:dyDescent="0.3">
      <c r="B112" s="44" t="str">
        <f t="shared" si="31"/>
        <v>Jul 20X2</v>
      </c>
      <c r="C112" s="17">
        <f t="shared" si="32"/>
        <v>435249.63620937237</v>
      </c>
      <c r="D112" s="17">
        <f t="shared" si="33"/>
        <v>392045.78048292745</v>
      </c>
      <c r="E112" s="17">
        <f t="shared" si="34"/>
        <v>434075.1174396539</v>
      </c>
      <c r="F112" s="17">
        <f t="shared" si="35"/>
        <v>462867.46285647782</v>
      </c>
    </row>
    <row r="113" spans="1:15" x14ac:dyDescent="0.3">
      <c r="B113" s="44" t="str">
        <f t="shared" si="31"/>
        <v>Aug 20X2</v>
      </c>
      <c r="C113" s="17">
        <f t="shared" si="32"/>
        <v>1111530.9735223672</v>
      </c>
      <c r="D113" s="17">
        <f t="shared" si="33"/>
        <v>1055132.5325353506</v>
      </c>
      <c r="E113" s="17">
        <f t="shared" si="34"/>
        <v>1098179.4389100007</v>
      </c>
      <c r="F113" s="17">
        <f t="shared" si="35"/>
        <v>1247330.6974842374</v>
      </c>
    </row>
    <row r="114" spans="1:15" x14ac:dyDescent="0.3">
      <c r="B114" s="44" t="str">
        <f t="shared" si="31"/>
        <v>Sep 20X2</v>
      </c>
      <c r="C114" s="17">
        <f t="shared" si="32"/>
        <v>1987967.8058049637</v>
      </c>
      <c r="D114" s="17">
        <f>K99*$D99</f>
        <v>1932096.4136664129</v>
      </c>
      <c r="E114" s="17">
        <f t="shared" si="34"/>
        <v>1956032.0048196351</v>
      </c>
      <c r="F114" s="17">
        <f t="shared" si="35"/>
        <v>2061204.8123855714</v>
      </c>
    </row>
    <row r="115" spans="1:15" x14ac:dyDescent="0.3">
      <c r="B115" s="44" t="str">
        <f t="shared" si="31"/>
        <v>Oct 20X2</v>
      </c>
      <c r="C115" s="17">
        <f t="shared" si="32"/>
        <v>4231222.7123541888</v>
      </c>
      <c r="D115" s="17">
        <f t="shared" si="33"/>
        <v>4182218.8850622065</v>
      </c>
      <c r="E115" s="17">
        <f t="shared" si="34"/>
        <v>4159077.8588735103</v>
      </c>
      <c r="F115" s="17">
        <f t="shared" si="35"/>
        <v>4153165.5750278602</v>
      </c>
    </row>
    <row r="116" spans="1:15" x14ac:dyDescent="0.3">
      <c r="B116" s="44" t="str">
        <f t="shared" si="31"/>
        <v>Nov 20X2</v>
      </c>
      <c r="C116" s="17">
        <f t="shared" si="32"/>
        <v>8174311.4097668873</v>
      </c>
      <c r="D116" s="17">
        <f t="shared" si="33"/>
        <v>8127003.7074354887</v>
      </c>
      <c r="E116" s="17">
        <f t="shared" si="34"/>
        <v>8086277.7522108406</v>
      </c>
      <c r="F116" s="17">
        <f t="shared" si="35"/>
        <v>8252382.8970608432</v>
      </c>
    </row>
    <row r="117" spans="1:15" ht="15" thickBot="1" x14ac:dyDescent="0.35">
      <c r="B117" s="44" t="str">
        <f t="shared" si="31"/>
        <v>Dec 20X2</v>
      </c>
      <c r="C117" s="17">
        <f t="shared" si="32"/>
        <v>15492349.787504325</v>
      </c>
      <c r="D117" s="17">
        <f t="shared" si="33"/>
        <v>15365079.867658222</v>
      </c>
      <c r="E117" s="17">
        <f t="shared" si="34"/>
        <v>15304511.450928779</v>
      </c>
      <c r="F117" s="17">
        <f t="shared" si="35"/>
        <v>15675604.730820723</v>
      </c>
    </row>
    <row r="118" spans="1:15" ht="15" thickBot="1" x14ac:dyDescent="0.35">
      <c r="B118" s="10" t="s">
        <v>404</v>
      </c>
      <c r="C118" s="117">
        <f>SUM(C106:C117)</f>
        <v>31841746.782114804</v>
      </c>
      <c r="D118" s="116">
        <f>SUM(D106:D117)</f>
        <v>31266624.798737422</v>
      </c>
      <c r="E118" s="116">
        <f>SUM(E106:E117)</f>
        <v>31443428.390028648</v>
      </c>
      <c r="F118" s="115">
        <f>SUM(F106:F117)</f>
        <v>32302333.296637248</v>
      </c>
    </row>
    <row r="119" spans="1:15" x14ac:dyDescent="0.3">
      <c r="I119" s="2"/>
      <c r="J119" s="2"/>
    </row>
    <row r="120" spans="1:15" x14ac:dyDescent="0.3">
      <c r="A120" t="s">
        <v>0</v>
      </c>
      <c r="B120" t="s">
        <v>388</v>
      </c>
      <c r="I120" s="2"/>
      <c r="J120" s="2"/>
    </row>
    <row r="121" spans="1:15" x14ac:dyDescent="0.3">
      <c r="B121" s="44"/>
    </row>
    <row r="122" spans="1:15" x14ac:dyDescent="0.3">
      <c r="B122" s="10" t="s">
        <v>404</v>
      </c>
      <c r="C122" s="17">
        <f>C118</f>
        <v>31841746.782114804</v>
      </c>
      <c r="D122" s="17">
        <f>D118</f>
        <v>31266624.798737422</v>
      </c>
      <c r="E122" s="17">
        <f>E118</f>
        <v>31443428.390028648</v>
      </c>
      <c r="F122" s="17">
        <f>F118</f>
        <v>32302333.296637248</v>
      </c>
      <c r="O122" t="s">
        <v>403</v>
      </c>
    </row>
    <row r="123" spans="1:15" ht="15" thickBot="1" x14ac:dyDescent="0.35">
      <c r="B123" s="10" t="s">
        <v>402</v>
      </c>
      <c r="C123" s="17">
        <f>H84</f>
        <v>31841746.782114804</v>
      </c>
      <c r="D123" s="17">
        <f>I84</f>
        <v>31266624.798737422</v>
      </c>
      <c r="E123" s="17">
        <f>J84</f>
        <v>31443428.390028637</v>
      </c>
      <c r="F123" s="17">
        <f>K84</f>
        <v>32302333.296637237</v>
      </c>
      <c r="O123" t="s">
        <v>401</v>
      </c>
    </row>
    <row r="124" spans="1:15" ht="15" thickBot="1" x14ac:dyDescent="0.35">
      <c r="B124" t="s">
        <v>400</v>
      </c>
      <c r="C124" s="117">
        <f>C122-C123</f>
        <v>0</v>
      </c>
      <c r="D124" s="116">
        <f>D122-D123</f>
        <v>0</v>
      </c>
      <c r="E124" s="116">
        <f>E122-E123</f>
        <v>0</v>
      </c>
      <c r="F124" s="115">
        <f>F122-F123</f>
        <v>0</v>
      </c>
      <c r="O124" t="s">
        <v>399</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A57A8-699D-4A97-80C8-01872D8CF318}">
  <sheetPr>
    <tabColor theme="5" tint="0.39997558519241921"/>
  </sheetPr>
  <dimension ref="A1:U51"/>
  <sheetViews>
    <sheetView zoomScale="115" zoomScaleNormal="115" workbookViewId="0"/>
  </sheetViews>
  <sheetFormatPr defaultRowHeight="14.4" x14ac:dyDescent="0.3"/>
  <cols>
    <col min="2" max="2" width="17.6640625" customWidth="1"/>
    <col min="3" max="4" width="14.6640625" customWidth="1"/>
    <col min="5" max="5" width="13.33203125" customWidth="1"/>
    <col min="7" max="7" width="17.6640625" customWidth="1"/>
    <col min="8" max="8" width="11.33203125" customWidth="1"/>
    <col min="9" max="10" width="13.6640625" customWidth="1"/>
    <col min="12" max="12" width="11.33203125" customWidth="1"/>
    <col min="13" max="13" width="14.88671875" bestFit="1" customWidth="1"/>
    <col min="16" max="21" width="12.33203125" bestFit="1" customWidth="1"/>
    <col min="22" max="22" width="12" bestFit="1" customWidth="1"/>
    <col min="23" max="24" width="10" bestFit="1" customWidth="1"/>
    <col min="26" max="28" width="12" bestFit="1" customWidth="1"/>
  </cols>
  <sheetData>
    <row r="1" spans="1:14" x14ac:dyDescent="0.3">
      <c r="A1" s="135" t="s">
        <v>507</v>
      </c>
    </row>
    <row r="3" spans="1:14" x14ac:dyDescent="0.3">
      <c r="A3" s="9" t="s">
        <v>7</v>
      </c>
    </row>
    <row r="4" spans="1:14" x14ac:dyDescent="0.3">
      <c r="A4" t="s">
        <v>508</v>
      </c>
    </row>
    <row r="5" spans="1:14" x14ac:dyDescent="0.3">
      <c r="A5" s="9"/>
    </row>
    <row r="8" spans="1:14" x14ac:dyDescent="0.3">
      <c r="B8" s="8" t="s">
        <v>6</v>
      </c>
      <c r="C8" s="7"/>
      <c r="D8" s="7"/>
      <c r="E8" s="6"/>
      <c r="G8" s="8" t="s">
        <v>5</v>
      </c>
      <c r="H8" s="7"/>
      <c r="I8" s="7"/>
      <c r="J8" s="6"/>
      <c r="L8" s="8" t="s">
        <v>4</v>
      </c>
      <c r="M8" s="7"/>
      <c r="N8" s="6"/>
    </row>
    <row r="9" spans="1:14" x14ac:dyDescent="0.3">
      <c r="B9" s="5" t="s">
        <v>466</v>
      </c>
      <c r="C9" s="4"/>
      <c r="D9" s="4"/>
      <c r="E9" s="3"/>
      <c r="G9" s="5" t="s">
        <v>465</v>
      </c>
      <c r="H9" s="4"/>
      <c r="I9" s="4"/>
      <c r="J9" s="3"/>
      <c r="L9" s="5" t="s">
        <v>464</v>
      </c>
      <c r="M9" s="4"/>
      <c r="N9" s="3"/>
    </row>
    <row r="10" spans="1:14" x14ac:dyDescent="0.3">
      <c r="B10" s="22"/>
      <c r="C10" s="22"/>
      <c r="D10" s="22"/>
      <c r="F10" s="22"/>
      <c r="G10" s="22"/>
      <c r="H10" s="22"/>
      <c r="I10" s="22"/>
    </row>
    <row r="11" spans="1:14" ht="28.8" x14ac:dyDescent="0.3">
      <c r="B11" s="28" t="s">
        <v>463</v>
      </c>
      <c r="C11" s="28" t="s">
        <v>18</v>
      </c>
      <c r="D11" s="28" t="s">
        <v>17</v>
      </c>
      <c r="E11" s="28" t="s">
        <v>242</v>
      </c>
      <c r="H11" s="76" t="s">
        <v>462</v>
      </c>
      <c r="I11" s="76" t="s">
        <v>461</v>
      </c>
      <c r="J11" s="76" t="s">
        <v>460</v>
      </c>
      <c r="K11" s="76"/>
      <c r="L11" s="76" t="s">
        <v>459</v>
      </c>
      <c r="M11" s="18">
        <v>25588540</v>
      </c>
      <c r="N11" s="76"/>
    </row>
    <row r="12" spans="1:14" ht="28.8" x14ac:dyDescent="0.3">
      <c r="B12" s="28" t="s">
        <v>386</v>
      </c>
      <c r="C12" s="29">
        <v>895251</v>
      </c>
      <c r="D12" s="29">
        <v>1037221</v>
      </c>
      <c r="E12" s="29">
        <v>408270</v>
      </c>
      <c r="G12" s="76" t="s">
        <v>458</v>
      </c>
      <c r="H12" s="72">
        <v>340</v>
      </c>
      <c r="I12" s="134">
        <v>1200</v>
      </c>
      <c r="J12" s="71" t="s">
        <v>457</v>
      </c>
      <c r="L12" s="76" t="s">
        <v>456</v>
      </c>
      <c r="M12" s="18">
        <v>849265</v>
      </c>
    </row>
    <row r="13" spans="1:14" ht="28.8" x14ac:dyDescent="0.3">
      <c r="B13" s="28" t="s">
        <v>385</v>
      </c>
      <c r="C13" s="29">
        <v>834656</v>
      </c>
      <c r="D13" s="29">
        <v>1388507</v>
      </c>
      <c r="E13" s="29">
        <v>437101</v>
      </c>
      <c r="G13" s="76" t="s">
        <v>455</v>
      </c>
      <c r="H13" s="72">
        <v>668</v>
      </c>
      <c r="I13" s="134">
        <v>1000</v>
      </c>
      <c r="J13" s="71" t="s">
        <v>454</v>
      </c>
    </row>
    <row r="14" spans="1:14" x14ac:dyDescent="0.3">
      <c r="B14" s="28" t="s">
        <v>384</v>
      </c>
      <c r="C14" s="29">
        <v>723570</v>
      </c>
      <c r="D14" s="29">
        <v>1659746</v>
      </c>
      <c r="E14" s="29">
        <v>504464</v>
      </c>
    </row>
    <row r="15" spans="1:14" x14ac:dyDescent="0.3">
      <c r="B15" s="28" t="s">
        <v>383</v>
      </c>
      <c r="C15" s="29">
        <v>675405</v>
      </c>
      <c r="D15" s="29">
        <v>2020153</v>
      </c>
      <c r="E15" s="29">
        <v>533711</v>
      </c>
      <c r="H15" s="123"/>
    </row>
    <row r="16" spans="1:14" x14ac:dyDescent="0.3">
      <c r="B16" s="28" t="s">
        <v>453</v>
      </c>
      <c r="C16" s="29">
        <v>593829</v>
      </c>
      <c r="D16" s="29">
        <v>2355547</v>
      </c>
      <c r="E16" s="29">
        <v>528085</v>
      </c>
      <c r="H16" s="123"/>
    </row>
    <row r="17" spans="2:5" x14ac:dyDescent="0.3">
      <c r="B17" s="28" t="s">
        <v>452</v>
      </c>
      <c r="C17" s="29">
        <v>503199</v>
      </c>
      <c r="D17" s="29">
        <v>2594219</v>
      </c>
      <c r="E17" s="29">
        <v>535544</v>
      </c>
    </row>
    <row r="18" spans="2:5" x14ac:dyDescent="0.3">
      <c r="B18" s="28" t="s">
        <v>451</v>
      </c>
      <c r="C18" s="29">
        <v>447351</v>
      </c>
      <c r="D18" s="29">
        <v>2932691</v>
      </c>
      <c r="E18" s="29">
        <v>586924</v>
      </c>
    </row>
    <row r="19" spans="2:5" x14ac:dyDescent="0.3">
      <c r="B19" s="28" t="s">
        <v>450</v>
      </c>
      <c r="C19" s="29">
        <v>382380</v>
      </c>
      <c r="D19" s="29">
        <v>2996045</v>
      </c>
      <c r="E19" s="29">
        <v>550988</v>
      </c>
    </row>
    <row r="20" spans="2:5" x14ac:dyDescent="0.3">
      <c r="B20" s="28" t="s">
        <v>449</v>
      </c>
      <c r="C20" s="29">
        <v>313965</v>
      </c>
      <c r="D20" s="29">
        <v>3247735</v>
      </c>
      <c r="E20" s="29">
        <v>563904</v>
      </c>
    </row>
    <row r="21" spans="2:5" x14ac:dyDescent="0.3">
      <c r="B21" s="28" t="s">
        <v>448</v>
      </c>
      <c r="C21" s="29">
        <v>251736</v>
      </c>
      <c r="D21" s="29">
        <v>3129492</v>
      </c>
      <c r="E21" s="29">
        <v>552016</v>
      </c>
    </row>
    <row r="22" spans="2:5" x14ac:dyDescent="0.3">
      <c r="B22" s="28" t="s">
        <v>447</v>
      </c>
      <c r="C22" s="29">
        <v>214279</v>
      </c>
      <c r="D22" s="29">
        <v>2909919</v>
      </c>
      <c r="E22" s="29">
        <v>511318</v>
      </c>
    </row>
    <row r="23" spans="2:5" x14ac:dyDescent="0.3">
      <c r="B23" s="28" t="s">
        <v>446</v>
      </c>
      <c r="C23" s="29">
        <v>164901</v>
      </c>
      <c r="D23" s="29">
        <v>2863572</v>
      </c>
      <c r="E23" s="29">
        <v>436039</v>
      </c>
    </row>
    <row r="24" spans="2:5" x14ac:dyDescent="0.3">
      <c r="B24" s="28" t="s">
        <v>445</v>
      </c>
      <c r="C24" s="29">
        <v>131112</v>
      </c>
      <c r="D24" s="29">
        <v>2593688</v>
      </c>
      <c r="E24" s="29">
        <v>391505</v>
      </c>
    </row>
    <row r="25" spans="2:5" x14ac:dyDescent="0.3">
      <c r="B25" s="28" t="s">
        <v>444</v>
      </c>
      <c r="C25" s="29">
        <v>96115</v>
      </c>
      <c r="D25" s="29">
        <v>2261287</v>
      </c>
      <c r="E25" s="29">
        <v>335960</v>
      </c>
    </row>
    <row r="26" spans="2:5" x14ac:dyDescent="0.3">
      <c r="B26" s="28" t="s">
        <v>443</v>
      </c>
      <c r="C26" s="29">
        <v>72542</v>
      </c>
      <c r="D26" s="29">
        <v>1975941</v>
      </c>
      <c r="E26" s="29">
        <v>287009</v>
      </c>
    </row>
    <row r="27" spans="2:5" x14ac:dyDescent="0.3">
      <c r="B27" s="28" t="s">
        <v>442</v>
      </c>
      <c r="C27" s="29">
        <v>53418</v>
      </c>
      <c r="D27" s="29">
        <v>1809710</v>
      </c>
      <c r="E27" s="29">
        <v>251606</v>
      </c>
    </row>
    <row r="28" spans="2:5" x14ac:dyDescent="0.3">
      <c r="B28" s="28" t="s">
        <v>441</v>
      </c>
      <c r="C28" s="29">
        <v>39818</v>
      </c>
      <c r="D28" s="29">
        <v>1435102</v>
      </c>
      <c r="E28" s="29">
        <v>214211</v>
      </c>
    </row>
    <row r="29" spans="2:5" x14ac:dyDescent="0.3">
      <c r="B29" s="28" t="s">
        <v>440</v>
      </c>
      <c r="C29" s="29">
        <v>26486</v>
      </c>
      <c r="D29" s="29">
        <v>1197116</v>
      </c>
      <c r="E29" s="29">
        <v>166122</v>
      </c>
    </row>
    <row r="30" spans="2:5" x14ac:dyDescent="0.3">
      <c r="B30" s="28" t="s">
        <v>439</v>
      </c>
      <c r="C30" s="29">
        <v>19573</v>
      </c>
      <c r="D30" s="29">
        <v>961042</v>
      </c>
      <c r="E30" s="29">
        <v>132346</v>
      </c>
    </row>
    <row r="31" spans="2:5" x14ac:dyDescent="0.3">
      <c r="B31" s="28" t="s">
        <v>438</v>
      </c>
      <c r="C31" s="29">
        <v>13003</v>
      </c>
      <c r="D31" s="29">
        <v>739558</v>
      </c>
      <c r="E31" s="29">
        <v>103519</v>
      </c>
    </row>
    <row r="32" spans="2:5" x14ac:dyDescent="0.3">
      <c r="B32" s="28" t="s">
        <v>437</v>
      </c>
      <c r="C32" s="29">
        <v>7737</v>
      </c>
      <c r="D32" s="29">
        <v>541753</v>
      </c>
      <c r="E32" s="29">
        <v>70325</v>
      </c>
    </row>
    <row r="33" spans="1:21" x14ac:dyDescent="0.3">
      <c r="B33" s="28" t="s">
        <v>436</v>
      </c>
      <c r="C33" s="29">
        <v>5309</v>
      </c>
      <c r="D33" s="29">
        <v>385721</v>
      </c>
      <c r="E33" s="29">
        <v>50746</v>
      </c>
    </row>
    <row r="34" spans="1:21" x14ac:dyDescent="0.3">
      <c r="B34" s="28" t="s">
        <v>435</v>
      </c>
      <c r="C34" s="29">
        <v>3031</v>
      </c>
      <c r="D34" s="29">
        <v>247136</v>
      </c>
      <c r="E34" s="29">
        <v>33954</v>
      </c>
    </row>
    <row r="35" spans="1:21" x14ac:dyDescent="0.3">
      <c r="B35" s="28" t="s">
        <v>434</v>
      </c>
      <c r="C35" s="29">
        <v>1752</v>
      </c>
      <c r="D35" s="29">
        <v>166366</v>
      </c>
      <c r="E35" s="29">
        <v>21056</v>
      </c>
    </row>
    <row r="36" spans="1:21" x14ac:dyDescent="0.3">
      <c r="B36" s="28" t="s">
        <v>433</v>
      </c>
      <c r="C36" s="29">
        <v>947</v>
      </c>
      <c r="D36" s="29">
        <v>93977</v>
      </c>
      <c r="E36" s="29">
        <v>11836</v>
      </c>
    </row>
    <row r="37" spans="1:21" x14ac:dyDescent="0.3">
      <c r="B37" s="28" t="s">
        <v>432</v>
      </c>
      <c r="C37" s="29">
        <v>540</v>
      </c>
      <c r="D37" s="29">
        <v>54154</v>
      </c>
      <c r="E37" s="29">
        <v>6995</v>
      </c>
    </row>
    <row r="38" spans="1:21" x14ac:dyDescent="0.3">
      <c r="B38" s="28" t="s">
        <v>431</v>
      </c>
      <c r="C38" s="29">
        <v>271</v>
      </c>
      <c r="D38" s="29">
        <v>26054</v>
      </c>
      <c r="E38" s="29">
        <v>3652</v>
      </c>
    </row>
    <row r="40" spans="1:21" x14ac:dyDescent="0.3">
      <c r="B40" t="s">
        <v>430</v>
      </c>
      <c r="C40" s="2"/>
    </row>
    <row r="41" spans="1:21" x14ac:dyDescent="0.3">
      <c r="B41" t="s">
        <v>429</v>
      </c>
      <c r="C41" s="2"/>
    </row>
    <row r="42" spans="1:21" x14ac:dyDescent="0.3">
      <c r="C42" s="2"/>
    </row>
    <row r="43" spans="1:21" x14ac:dyDescent="0.3">
      <c r="A43" t="s">
        <v>2</v>
      </c>
      <c r="B43" t="s">
        <v>428</v>
      </c>
      <c r="C43" s="2"/>
    </row>
    <row r="44" spans="1:21" x14ac:dyDescent="0.3">
      <c r="C44" s="2"/>
    </row>
    <row r="45" spans="1:21" x14ac:dyDescent="0.3">
      <c r="P45" s="2"/>
      <c r="Q45" s="2"/>
      <c r="R45" s="2"/>
      <c r="S45" s="2"/>
      <c r="T45" s="2"/>
      <c r="U45" s="2"/>
    </row>
    <row r="46" spans="1:21" x14ac:dyDescent="0.3">
      <c r="P46" s="2"/>
      <c r="Q46" s="2"/>
      <c r="R46" s="2"/>
      <c r="S46" s="2"/>
      <c r="T46" s="2"/>
      <c r="U46" s="2"/>
    </row>
    <row r="47" spans="1:21" x14ac:dyDescent="0.3">
      <c r="P47" s="2"/>
      <c r="Q47" s="2"/>
      <c r="R47" s="2"/>
      <c r="S47" s="2"/>
      <c r="T47" s="2"/>
      <c r="U47" s="2"/>
    </row>
    <row r="48" spans="1:21" x14ac:dyDescent="0.3">
      <c r="P48" s="2"/>
      <c r="Q48" s="2"/>
      <c r="R48" s="2"/>
      <c r="S48" s="2"/>
      <c r="T48" s="2"/>
      <c r="U48" s="2"/>
    </row>
    <row r="49" spans="16:21" x14ac:dyDescent="0.3">
      <c r="P49" s="2"/>
      <c r="Q49" s="2"/>
      <c r="R49" s="2"/>
      <c r="S49" s="2"/>
      <c r="T49" s="2"/>
      <c r="U49" s="2"/>
    </row>
    <row r="50" spans="16:21" x14ac:dyDescent="0.3">
      <c r="P50" s="2"/>
      <c r="Q50" s="2"/>
      <c r="R50" s="2"/>
      <c r="S50" s="2"/>
      <c r="T50" s="2"/>
      <c r="U50" s="2"/>
    </row>
    <row r="51" spans="16:21" x14ac:dyDescent="0.3">
      <c r="P51" s="2"/>
      <c r="Q51" s="2"/>
      <c r="R51" s="2"/>
      <c r="S51" s="2"/>
      <c r="T51" s="2"/>
      <c r="U51" s="2"/>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AA097-9C7B-4493-B17B-5B9FC04CCA22}">
  <sheetPr>
    <tabColor theme="9" tint="0.59999389629810485"/>
  </sheetPr>
  <dimension ref="A1:U86"/>
  <sheetViews>
    <sheetView zoomScale="115" zoomScaleNormal="115" workbookViewId="0"/>
  </sheetViews>
  <sheetFormatPr defaultRowHeight="14.4" x14ac:dyDescent="0.3"/>
  <cols>
    <col min="2" max="2" width="17.6640625" customWidth="1"/>
    <col min="3" max="3" width="18.6640625" customWidth="1"/>
    <col min="4" max="4" width="14.6640625" customWidth="1"/>
    <col min="5" max="5" width="11.33203125" customWidth="1"/>
    <col min="7" max="7" width="17.6640625" customWidth="1"/>
    <col min="8" max="8" width="11.33203125" customWidth="1"/>
    <col min="9" max="10" width="13.6640625" customWidth="1"/>
    <col min="12" max="12" width="11.33203125" customWidth="1"/>
    <col min="13" max="13" width="13" bestFit="1" customWidth="1"/>
    <col min="16" max="21" width="12.33203125" bestFit="1" customWidth="1"/>
    <col min="22" max="22" width="12" bestFit="1" customWidth="1"/>
    <col min="23" max="24" width="10" bestFit="1" customWidth="1"/>
    <col min="26" max="28" width="12" bestFit="1" customWidth="1"/>
  </cols>
  <sheetData>
    <row r="1" spans="1:14" x14ac:dyDescent="0.3">
      <c r="A1" s="135" t="s">
        <v>507</v>
      </c>
    </row>
    <row r="3" spans="1:14" x14ac:dyDescent="0.3">
      <c r="A3" s="9" t="s">
        <v>7</v>
      </c>
    </row>
    <row r="4" spans="1:14" x14ac:dyDescent="0.3">
      <c r="A4" t="s">
        <v>508</v>
      </c>
    </row>
    <row r="5" spans="1:14" x14ac:dyDescent="0.3">
      <c r="A5" s="9"/>
    </row>
    <row r="8" spans="1:14" x14ac:dyDescent="0.3">
      <c r="B8" s="8" t="s">
        <v>6</v>
      </c>
      <c r="C8" s="7"/>
      <c r="D8" s="7"/>
      <c r="E8" s="6"/>
      <c r="G8" s="8" t="s">
        <v>5</v>
      </c>
      <c r="H8" s="7"/>
      <c r="I8" s="7"/>
      <c r="J8" s="6"/>
      <c r="L8" s="8" t="s">
        <v>4</v>
      </c>
      <c r="M8" s="7"/>
      <c r="N8" s="6"/>
    </row>
    <row r="9" spans="1:14" x14ac:dyDescent="0.3">
      <c r="B9" s="5" t="s">
        <v>466</v>
      </c>
      <c r="C9" s="4"/>
      <c r="D9" s="4"/>
      <c r="E9" s="3"/>
      <c r="G9" s="5" t="s">
        <v>465</v>
      </c>
      <c r="H9" s="4"/>
      <c r="I9" s="4"/>
      <c r="J9" s="3"/>
      <c r="L9" s="5" t="s">
        <v>464</v>
      </c>
      <c r="M9" s="4"/>
      <c r="N9" s="3"/>
    </row>
    <row r="10" spans="1:14" x14ac:dyDescent="0.3">
      <c r="B10" s="22"/>
      <c r="C10" s="22"/>
      <c r="D10" s="22"/>
      <c r="F10" s="22"/>
      <c r="G10" s="22"/>
      <c r="H10" s="22"/>
      <c r="I10" s="22"/>
    </row>
    <row r="11" spans="1:14" ht="28.8" x14ac:dyDescent="0.3">
      <c r="B11" s="29" t="s">
        <v>463</v>
      </c>
      <c r="C11" s="29" t="s">
        <v>18</v>
      </c>
      <c r="D11" s="29" t="s">
        <v>17</v>
      </c>
      <c r="E11" s="29" t="s">
        <v>242</v>
      </c>
      <c r="H11" s="86" t="s">
        <v>462</v>
      </c>
      <c r="I11" s="86" t="s">
        <v>461</v>
      </c>
      <c r="J11" s="86" t="s">
        <v>460</v>
      </c>
      <c r="K11" s="76"/>
      <c r="L11" s="76" t="s">
        <v>459</v>
      </c>
      <c r="M11" s="18">
        <v>25588540</v>
      </c>
      <c r="N11" s="76"/>
    </row>
    <row r="12" spans="1:14" ht="28.8" x14ac:dyDescent="0.3">
      <c r="B12" s="29" t="s">
        <v>386</v>
      </c>
      <c r="C12" s="29">
        <v>895251</v>
      </c>
      <c r="D12" s="29">
        <v>1037221</v>
      </c>
      <c r="E12" s="29">
        <v>408270</v>
      </c>
      <c r="G12" s="76" t="s">
        <v>458</v>
      </c>
      <c r="H12" s="15">
        <v>340</v>
      </c>
      <c r="I12" s="29">
        <v>1200</v>
      </c>
      <c r="J12" s="11" t="s">
        <v>457</v>
      </c>
      <c r="L12" s="76" t="s">
        <v>456</v>
      </c>
      <c r="M12" s="18">
        <v>849265</v>
      </c>
    </row>
    <row r="13" spans="1:14" ht="28.8" x14ac:dyDescent="0.3">
      <c r="B13" s="29" t="s">
        <v>385</v>
      </c>
      <c r="C13" s="29">
        <v>834656</v>
      </c>
      <c r="D13" s="29">
        <v>1388507</v>
      </c>
      <c r="E13" s="29">
        <v>437101</v>
      </c>
      <c r="G13" s="76" t="s">
        <v>455</v>
      </c>
      <c r="H13" s="15">
        <v>668</v>
      </c>
      <c r="I13" s="29">
        <v>1000</v>
      </c>
      <c r="J13" s="11" t="s">
        <v>454</v>
      </c>
    </row>
    <row r="14" spans="1:14" x14ac:dyDescent="0.3">
      <c r="B14" s="29" t="s">
        <v>384</v>
      </c>
      <c r="C14" s="29">
        <v>723570</v>
      </c>
      <c r="D14" s="29">
        <v>1659746</v>
      </c>
      <c r="E14" s="29">
        <v>504464</v>
      </c>
    </row>
    <row r="15" spans="1:14" x14ac:dyDescent="0.3">
      <c r="B15" s="29" t="s">
        <v>383</v>
      </c>
      <c r="C15" s="29">
        <v>675405</v>
      </c>
      <c r="D15" s="29">
        <v>2020153</v>
      </c>
      <c r="E15" s="29">
        <v>533711</v>
      </c>
      <c r="H15" s="123"/>
    </row>
    <row r="16" spans="1:14" x14ac:dyDescent="0.3">
      <c r="B16" s="29" t="s">
        <v>453</v>
      </c>
      <c r="C16" s="29">
        <v>593829</v>
      </c>
      <c r="D16" s="29">
        <v>2355547</v>
      </c>
      <c r="E16" s="29">
        <v>528085</v>
      </c>
      <c r="H16" s="123"/>
    </row>
    <row r="17" spans="2:5" x14ac:dyDescent="0.3">
      <c r="B17" s="29" t="s">
        <v>452</v>
      </c>
      <c r="C17" s="29">
        <v>503199</v>
      </c>
      <c r="D17" s="29">
        <v>2594219</v>
      </c>
      <c r="E17" s="29">
        <v>535544</v>
      </c>
    </row>
    <row r="18" spans="2:5" x14ac:dyDescent="0.3">
      <c r="B18" s="29" t="s">
        <v>451</v>
      </c>
      <c r="C18" s="29">
        <v>447351</v>
      </c>
      <c r="D18" s="29">
        <v>2932691</v>
      </c>
      <c r="E18" s="29">
        <v>586924</v>
      </c>
    </row>
    <row r="19" spans="2:5" x14ac:dyDescent="0.3">
      <c r="B19" s="29" t="s">
        <v>450</v>
      </c>
      <c r="C19" s="29">
        <v>382380</v>
      </c>
      <c r="D19" s="29">
        <v>2996045</v>
      </c>
      <c r="E19" s="29">
        <v>550988</v>
      </c>
    </row>
    <row r="20" spans="2:5" x14ac:dyDescent="0.3">
      <c r="B20" s="29" t="s">
        <v>449</v>
      </c>
      <c r="C20" s="29">
        <v>313965</v>
      </c>
      <c r="D20" s="29">
        <v>3247735</v>
      </c>
      <c r="E20" s="29">
        <v>563904</v>
      </c>
    </row>
    <row r="21" spans="2:5" x14ac:dyDescent="0.3">
      <c r="B21" s="29" t="s">
        <v>448</v>
      </c>
      <c r="C21" s="29">
        <v>251736</v>
      </c>
      <c r="D21" s="29">
        <v>3129492</v>
      </c>
      <c r="E21" s="29">
        <v>552016</v>
      </c>
    </row>
    <row r="22" spans="2:5" x14ac:dyDescent="0.3">
      <c r="B22" s="29" t="s">
        <v>447</v>
      </c>
      <c r="C22" s="29">
        <v>214279</v>
      </c>
      <c r="D22" s="29">
        <v>2909919</v>
      </c>
      <c r="E22" s="29">
        <v>511318</v>
      </c>
    </row>
    <row r="23" spans="2:5" x14ac:dyDescent="0.3">
      <c r="B23" s="29" t="s">
        <v>446</v>
      </c>
      <c r="C23" s="29">
        <v>164901</v>
      </c>
      <c r="D23" s="29">
        <v>2863572</v>
      </c>
      <c r="E23" s="29">
        <v>436039</v>
      </c>
    </row>
    <row r="24" spans="2:5" x14ac:dyDescent="0.3">
      <c r="B24" s="29" t="s">
        <v>445</v>
      </c>
      <c r="C24" s="29">
        <v>131112</v>
      </c>
      <c r="D24" s="29">
        <v>2593688</v>
      </c>
      <c r="E24" s="29">
        <v>391505</v>
      </c>
    </row>
    <row r="25" spans="2:5" x14ac:dyDescent="0.3">
      <c r="B25" s="29" t="s">
        <v>444</v>
      </c>
      <c r="C25" s="29">
        <v>96115</v>
      </c>
      <c r="D25" s="29">
        <v>2261287</v>
      </c>
      <c r="E25" s="29">
        <v>335960</v>
      </c>
    </row>
    <row r="26" spans="2:5" x14ac:dyDescent="0.3">
      <c r="B26" s="29" t="s">
        <v>443</v>
      </c>
      <c r="C26" s="29">
        <v>72542</v>
      </c>
      <c r="D26" s="29">
        <v>1975941</v>
      </c>
      <c r="E26" s="29">
        <v>287009</v>
      </c>
    </row>
    <row r="27" spans="2:5" x14ac:dyDescent="0.3">
      <c r="B27" s="29" t="s">
        <v>442</v>
      </c>
      <c r="C27" s="29">
        <v>53418</v>
      </c>
      <c r="D27" s="29">
        <v>1809710</v>
      </c>
      <c r="E27" s="29">
        <v>251606</v>
      </c>
    </row>
    <row r="28" spans="2:5" x14ac:dyDescent="0.3">
      <c r="B28" s="29" t="s">
        <v>441</v>
      </c>
      <c r="C28" s="29">
        <v>39818</v>
      </c>
      <c r="D28" s="29">
        <v>1435102</v>
      </c>
      <c r="E28" s="29">
        <v>214211</v>
      </c>
    </row>
    <row r="29" spans="2:5" x14ac:dyDescent="0.3">
      <c r="B29" s="29" t="s">
        <v>440</v>
      </c>
      <c r="C29" s="29">
        <v>26486</v>
      </c>
      <c r="D29" s="29">
        <v>1197116</v>
      </c>
      <c r="E29" s="29">
        <v>166122</v>
      </c>
    </row>
    <row r="30" spans="2:5" x14ac:dyDescent="0.3">
      <c r="B30" s="29" t="s">
        <v>439</v>
      </c>
      <c r="C30" s="29">
        <v>19573</v>
      </c>
      <c r="D30" s="29">
        <v>961042</v>
      </c>
      <c r="E30" s="29">
        <v>132346</v>
      </c>
    </row>
    <row r="31" spans="2:5" x14ac:dyDescent="0.3">
      <c r="B31" s="29" t="s">
        <v>438</v>
      </c>
      <c r="C31" s="29">
        <v>13003</v>
      </c>
      <c r="D31" s="29">
        <v>739558</v>
      </c>
      <c r="E31" s="29">
        <v>103519</v>
      </c>
    </row>
    <row r="32" spans="2:5" x14ac:dyDescent="0.3">
      <c r="B32" s="29" t="s">
        <v>437</v>
      </c>
      <c r="C32" s="29">
        <v>7737</v>
      </c>
      <c r="D32" s="29">
        <v>541753</v>
      </c>
      <c r="E32" s="29">
        <v>70325</v>
      </c>
    </row>
    <row r="33" spans="1:7" x14ac:dyDescent="0.3">
      <c r="B33" s="29" t="s">
        <v>436</v>
      </c>
      <c r="C33" s="29">
        <v>5309</v>
      </c>
      <c r="D33" s="29">
        <v>385721</v>
      </c>
      <c r="E33" s="29">
        <v>50746</v>
      </c>
    </row>
    <row r="34" spans="1:7" x14ac:dyDescent="0.3">
      <c r="B34" s="29" t="s">
        <v>435</v>
      </c>
      <c r="C34" s="29">
        <v>3031</v>
      </c>
      <c r="D34" s="29">
        <v>247136</v>
      </c>
      <c r="E34" s="29">
        <v>33954</v>
      </c>
    </row>
    <row r="35" spans="1:7" x14ac:dyDescent="0.3">
      <c r="B35" s="29" t="s">
        <v>434</v>
      </c>
      <c r="C35" s="29">
        <v>1752</v>
      </c>
      <c r="D35" s="29">
        <v>166366</v>
      </c>
      <c r="E35" s="29">
        <v>21056</v>
      </c>
    </row>
    <row r="36" spans="1:7" x14ac:dyDescent="0.3">
      <c r="B36" s="29" t="s">
        <v>433</v>
      </c>
      <c r="C36" s="29">
        <v>947</v>
      </c>
      <c r="D36" s="29">
        <v>93977</v>
      </c>
      <c r="E36" s="29">
        <v>11836</v>
      </c>
    </row>
    <row r="37" spans="1:7" x14ac:dyDescent="0.3">
      <c r="B37" s="29" t="s">
        <v>432</v>
      </c>
      <c r="C37" s="29">
        <v>540</v>
      </c>
      <c r="D37" s="29">
        <v>54154</v>
      </c>
      <c r="E37" s="29">
        <v>6995</v>
      </c>
    </row>
    <row r="38" spans="1:7" x14ac:dyDescent="0.3">
      <c r="B38" s="29" t="s">
        <v>431</v>
      </c>
      <c r="C38" s="29">
        <v>271</v>
      </c>
      <c r="D38" s="29">
        <v>26054</v>
      </c>
      <c r="E38" s="29">
        <v>3652</v>
      </c>
    </row>
    <row r="40" spans="1:7" x14ac:dyDescent="0.3">
      <c r="B40" t="s">
        <v>430</v>
      </c>
      <c r="C40" s="2"/>
    </row>
    <row r="41" spans="1:7" x14ac:dyDescent="0.3">
      <c r="B41" t="s">
        <v>429</v>
      </c>
      <c r="C41" s="2"/>
    </row>
    <row r="42" spans="1:7" x14ac:dyDescent="0.3">
      <c r="C42" s="2"/>
    </row>
    <row r="43" spans="1:7" x14ac:dyDescent="0.3">
      <c r="A43" t="s">
        <v>2</v>
      </c>
      <c r="B43" t="s">
        <v>428</v>
      </c>
      <c r="C43" s="2"/>
    </row>
    <row r="44" spans="1:7" x14ac:dyDescent="0.3">
      <c r="C44" s="2"/>
    </row>
    <row r="45" spans="1:7" x14ac:dyDescent="0.3">
      <c r="C45" s="2"/>
      <c r="G45" s="14" t="s">
        <v>9</v>
      </c>
    </row>
    <row r="46" spans="1:7" x14ac:dyDescent="0.3">
      <c r="B46" t="s">
        <v>489</v>
      </c>
      <c r="C46" s="77">
        <v>0.05</v>
      </c>
      <c r="G46" t="s">
        <v>488</v>
      </c>
    </row>
    <row r="47" spans="1:7" x14ac:dyDescent="0.3">
      <c r="C47" s="2"/>
    </row>
    <row r="48" spans="1:7" ht="28.8" x14ac:dyDescent="0.3">
      <c r="B48" s="76" t="s">
        <v>487</v>
      </c>
      <c r="C48" s="17">
        <f>NPV($C$46,$D$12:$D$38)</f>
        <v>27135209.750293329</v>
      </c>
      <c r="G48" t="s">
        <v>486</v>
      </c>
    </row>
    <row r="49" spans="2:7" ht="28.8" x14ac:dyDescent="0.3">
      <c r="B49" s="76" t="s">
        <v>485</v>
      </c>
      <c r="C49" s="17">
        <f>NPV($C$46,$E$12:$E$38)</f>
        <v>5458861.3167139068</v>
      </c>
      <c r="G49" t="s">
        <v>484</v>
      </c>
    </row>
    <row r="50" spans="2:7" ht="28.8" x14ac:dyDescent="0.3">
      <c r="B50" s="76" t="s">
        <v>483</v>
      </c>
      <c r="C50" s="17">
        <f>NPV($C$46,$C$12:$C$38)</f>
        <v>5007019.3697919892</v>
      </c>
    </row>
    <row r="51" spans="2:7" x14ac:dyDescent="0.3">
      <c r="C51" s="17"/>
    </row>
    <row r="52" spans="2:7" x14ac:dyDescent="0.3">
      <c r="B52" s="76" t="s">
        <v>482</v>
      </c>
      <c r="C52" s="17">
        <f>C48+C49-C50</f>
        <v>27587051.697215248</v>
      </c>
      <c r="G52" t="s">
        <v>481</v>
      </c>
    </row>
    <row r="53" spans="2:7" x14ac:dyDescent="0.3">
      <c r="B53" s="76"/>
      <c r="C53" s="2"/>
    </row>
    <row r="54" spans="2:7" ht="28.8" x14ac:dyDescent="0.3">
      <c r="C54" s="58" t="s">
        <v>458</v>
      </c>
      <c r="D54" s="58" t="s">
        <v>455</v>
      </c>
    </row>
    <row r="55" spans="2:7" x14ac:dyDescent="0.3">
      <c r="B55" t="s">
        <v>480</v>
      </c>
      <c r="C55" s="28">
        <f>H12*I12/12</f>
        <v>34000</v>
      </c>
      <c r="D55" s="28">
        <f>H13*I13/12</f>
        <v>55666.666666666664</v>
      </c>
      <c r="G55" t="s">
        <v>479</v>
      </c>
    </row>
    <row r="56" spans="2:7" x14ac:dyDescent="0.3">
      <c r="B56" t="s">
        <v>478</v>
      </c>
      <c r="C56" s="28">
        <v>0</v>
      </c>
      <c r="D56" s="28">
        <v>4</v>
      </c>
      <c r="G56" t="s">
        <v>477</v>
      </c>
    </row>
    <row r="57" spans="2:7" x14ac:dyDescent="0.3">
      <c r="B57" t="s">
        <v>476</v>
      </c>
      <c r="C57" s="28">
        <f>C55*C56</f>
        <v>0</v>
      </c>
      <c r="D57" s="28">
        <f>D55*D56</f>
        <v>222666.66666666666</v>
      </c>
      <c r="E57" s="2"/>
      <c r="G57" t="s">
        <v>475</v>
      </c>
    </row>
    <row r="59" spans="2:7" x14ac:dyDescent="0.3">
      <c r="B59" s="76" t="s">
        <v>459</v>
      </c>
      <c r="C59" s="17">
        <f>M11</f>
        <v>25588540</v>
      </c>
      <c r="G59" t="s">
        <v>474</v>
      </c>
    </row>
    <row r="60" spans="2:7" x14ac:dyDescent="0.3">
      <c r="B60" s="76" t="s">
        <v>456</v>
      </c>
      <c r="C60" s="17">
        <f>M12</f>
        <v>849265</v>
      </c>
      <c r="G60" t="s">
        <v>473</v>
      </c>
    </row>
    <row r="61" spans="2:7" x14ac:dyDescent="0.3">
      <c r="B61" s="76"/>
      <c r="C61" s="17"/>
    </row>
    <row r="62" spans="2:7" x14ac:dyDescent="0.3">
      <c r="B62" s="76" t="s">
        <v>472</v>
      </c>
      <c r="C62" s="17">
        <f>SUM(C57:D57)+C59+C60</f>
        <v>26660471.666666668</v>
      </c>
      <c r="G62" t="s">
        <v>471</v>
      </c>
    </row>
    <row r="63" spans="2:7" x14ac:dyDescent="0.3">
      <c r="C63" s="17"/>
    </row>
    <row r="64" spans="2:7" ht="29.4" thickBot="1" x14ac:dyDescent="0.35">
      <c r="B64" s="76" t="s">
        <v>470</v>
      </c>
      <c r="C64" s="17">
        <f>C52-C62</f>
        <v>926580.03054857999</v>
      </c>
      <c r="G64" t="s">
        <v>469</v>
      </c>
    </row>
    <row r="65" spans="2:21" ht="29.4" thickBot="1" x14ac:dyDescent="0.35">
      <c r="B65" s="76" t="s">
        <v>468</v>
      </c>
      <c r="C65" s="124" t="str">
        <f>IF(C64&gt;0,"Yes","No")</f>
        <v>Yes</v>
      </c>
      <c r="G65" t="s">
        <v>467</v>
      </c>
    </row>
    <row r="74" spans="2:21" x14ac:dyDescent="0.3">
      <c r="P74" s="2"/>
      <c r="Q74" s="2"/>
      <c r="R74" s="2"/>
      <c r="S74" s="2"/>
      <c r="T74" s="2"/>
      <c r="U74" s="2"/>
    </row>
    <row r="75" spans="2:21" x14ac:dyDescent="0.3">
      <c r="P75" s="2"/>
      <c r="Q75" s="2"/>
      <c r="R75" s="2"/>
      <c r="S75" s="2"/>
      <c r="T75" s="2"/>
      <c r="U75" s="2"/>
    </row>
    <row r="76" spans="2:21" x14ac:dyDescent="0.3">
      <c r="P76" s="2"/>
      <c r="Q76" s="2"/>
      <c r="R76" s="2"/>
      <c r="S76" s="2"/>
      <c r="T76" s="2"/>
      <c r="U76" s="2"/>
    </row>
    <row r="77" spans="2:21" x14ac:dyDescent="0.3">
      <c r="P77" s="2"/>
      <c r="Q77" s="2"/>
      <c r="R77" s="2"/>
      <c r="S77" s="2"/>
      <c r="T77" s="2"/>
      <c r="U77" s="2"/>
    </row>
    <row r="78" spans="2:21" x14ac:dyDescent="0.3">
      <c r="P78" s="2"/>
      <c r="Q78" s="2"/>
      <c r="R78" s="2"/>
      <c r="S78" s="2"/>
      <c r="T78" s="2"/>
      <c r="U78" s="2"/>
    </row>
    <row r="79" spans="2:21" x14ac:dyDescent="0.3">
      <c r="P79" s="2"/>
      <c r="Q79" s="2"/>
      <c r="R79" s="2"/>
      <c r="S79" s="2"/>
      <c r="T79" s="2"/>
      <c r="U79" s="2"/>
    </row>
    <row r="80" spans="2:21" x14ac:dyDescent="0.3">
      <c r="P80" s="2"/>
      <c r="Q80" s="2"/>
      <c r="R80" s="2"/>
      <c r="S80" s="2"/>
      <c r="T80" s="2"/>
      <c r="U80" s="2"/>
    </row>
    <row r="81" spans="16:21" x14ac:dyDescent="0.3">
      <c r="P81" s="2"/>
      <c r="Q81" s="2"/>
      <c r="R81" s="2"/>
      <c r="S81" s="2"/>
      <c r="T81" s="2"/>
      <c r="U81" s="2"/>
    </row>
    <row r="82" spans="16:21" x14ac:dyDescent="0.3">
      <c r="P82" s="2"/>
      <c r="Q82" s="2"/>
      <c r="R82" s="2"/>
      <c r="S82" s="2"/>
      <c r="T82" s="2"/>
      <c r="U82" s="2"/>
    </row>
    <row r="83" spans="16:21" x14ac:dyDescent="0.3">
      <c r="P83" s="2"/>
      <c r="Q83" s="2"/>
      <c r="R83" s="2"/>
      <c r="S83" s="2"/>
      <c r="T83" s="2"/>
      <c r="U83" s="2"/>
    </row>
    <row r="84" spans="16:21" x14ac:dyDescent="0.3">
      <c r="P84" s="2"/>
      <c r="Q84" s="2"/>
      <c r="R84" s="2"/>
      <c r="S84" s="2"/>
      <c r="T84" s="2"/>
      <c r="U84" s="2"/>
    </row>
    <row r="85" spans="16:21" x14ac:dyDescent="0.3">
      <c r="P85" s="2"/>
      <c r="Q85" s="2"/>
      <c r="R85" s="2"/>
      <c r="S85" s="2"/>
      <c r="T85" s="2"/>
      <c r="U85" s="2"/>
    </row>
    <row r="86" spans="16:21" x14ac:dyDescent="0.3">
      <c r="P86" s="2"/>
      <c r="Q86" s="2"/>
      <c r="R86" s="2"/>
      <c r="S86" s="2"/>
      <c r="T86" s="2"/>
      <c r="U86" s="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A246B-2000-4560-8232-B580EB541944}">
  <sheetPr>
    <tabColor theme="5" tint="0.39997558519241921"/>
  </sheetPr>
  <dimension ref="A1:Y41"/>
  <sheetViews>
    <sheetView zoomScale="115" zoomScaleNormal="115" workbookViewId="0"/>
  </sheetViews>
  <sheetFormatPr defaultRowHeight="14.4" x14ac:dyDescent="0.3"/>
  <cols>
    <col min="2" max="2" width="17.5546875" customWidth="1"/>
    <col min="3" max="20" width="12.6640625" customWidth="1"/>
  </cols>
  <sheetData>
    <row r="1" spans="1:20" x14ac:dyDescent="0.3">
      <c r="A1" s="135" t="s">
        <v>507</v>
      </c>
    </row>
    <row r="3" spans="1:20" x14ac:dyDescent="0.3">
      <c r="A3" s="9" t="s">
        <v>7</v>
      </c>
    </row>
    <row r="4" spans="1:20" x14ac:dyDescent="0.3">
      <c r="A4" t="s">
        <v>46</v>
      </c>
    </row>
    <row r="5" spans="1:20" x14ac:dyDescent="0.3">
      <c r="A5" s="9"/>
    </row>
    <row r="7" spans="1:20" x14ac:dyDescent="0.3">
      <c r="B7" s="8" t="s">
        <v>6</v>
      </c>
      <c r="C7" s="7"/>
      <c r="D7" s="7"/>
      <c r="E7" s="7"/>
      <c r="F7" s="7"/>
      <c r="G7" s="7"/>
      <c r="H7" s="7"/>
      <c r="I7" s="7"/>
      <c r="J7" s="7"/>
      <c r="K7" s="7"/>
      <c r="L7" s="7"/>
      <c r="M7" s="7"/>
      <c r="N7" s="7"/>
      <c r="O7" s="7"/>
      <c r="P7" s="7"/>
      <c r="Q7" s="7"/>
      <c r="R7" s="7"/>
      <c r="S7" s="7"/>
      <c r="T7" s="6"/>
    </row>
    <row r="8" spans="1:20" x14ac:dyDescent="0.3">
      <c r="B8" s="5" t="s">
        <v>45</v>
      </c>
      <c r="C8" s="4"/>
      <c r="D8" s="4"/>
      <c r="E8" s="4"/>
      <c r="F8" s="4"/>
      <c r="G8" s="4"/>
      <c r="H8" s="4"/>
      <c r="I8" s="4"/>
      <c r="J8" s="4"/>
      <c r="K8" s="4"/>
      <c r="L8" s="4"/>
      <c r="M8" s="4"/>
      <c r="N8" s="4"/>
      <c r="O8" s="4"/>
      <c r="P8" s="4"/>
      <c r="Q8" s="4"/>
      <c r="R8" s="4"/>
      <c r="S8" s="4"/>
      <c r="T8" s="3"/>
    </row>
    <row r="9" spans="1:20" x14ac:dyDescent="0.3">
      <c r="B9" s="22"/>
      <c r="C9" s="22"/>
      <c r="D9" s="22"/>
      <c r="E9" s="22"/>
      <c r="F9" s="22"/>
      <c r="G9" s="22"/>
      <c r="H9" s="22"/>
      <c r="I9" s="22"/>
      <c r="J9" s="22"/>
    </row>
    <row r="10" spans="1:20" x14ac:dyDescent="0.3">
      <c r="B10" t="s">
        <v>44</v>
      </c>
      <c r="C10" s="33" t="s">
        <v>43</v>
      </c>
      <c r="D10" s="33" t="s">
        <v>42</v>
      </c>
      <c r="E10" s="33" t="s">
        <v>41</v>
      </c>
      <c r="F10" s="33" t="s">
        <v>40</v>
      </c>
      <c r="G10" s="33" t="s">
        <v>39</v>
      </c>
      <c r="H10" s="33" t="s">
        <v>38</v>
      </c>
      <c r="I10" s="33" t="s">
        <v>37</v>
      </c>
      <c r="J10" s="33" t="s">
        <v>36</v>
      </c>
      <c r="K10" s="33" t="s">
        <v>35</v>
      </c>
      <c r="L10" s="33" t="s">
        <v>34</v>
      </c>
      <c r="M10" s="33" t="s">
        <v>33</v>
      </c>
      <c r="N10" s="33" t="s">
        <v>32</v>
      </c>
      <c r="O10" s="33" t="s">
        <v>31</v>
      </c>
      <c r="P10" s="33" t="s">
        <v>30</v>
      </c>
      <c r="Q10" s="33" t="s">
        <v>29</v>
      </c>
      <c r="R10" s="33" t="s">
        <v>28</v>
      </c>
      <c r="S10" s="33" t="s">
        <v>27</v>
      </c>
      <c r="T10" s="33" t="s">
        <v>26</v>
      </c>
    </row>
    <row r="11" spans="1:20" x14ac:dyDescent="0.3">
      <c r="B11" s="33" t="s">
        <v>43</v>
      </c>
      <c r="C11" s="18">
        <v>22350</v>
      </c>
      <c r="D11" s="18">
        <v>59200</v>
      </c>
      <c r="E11" s="18">
        <v>51900</v>
      </c>
      <c r="F11" s="18">
        <v>24800</v>
      </c>
      <c r="G11" s="18">
        <v>5875</v>
      </c>
      <c r="H11" s="18">
        <v>5300</v>
      </c>
      <c r="I11" s="18">
        <v>300</v>
      </c>
      <c r="J11" s="18">
        <v>575</v>
      </c>
      <c r="K11" s="18">
        <v>0</v>
      </c>
      <c r="L11" s="18">
        <v>0</v>
      </c>
      <c r="M11" s="18">
        <v>0</v>
      </c>
      <c r="N11" s="18">
        <v>0</v>
      </c>
      <c r="O11" s="18">
        <v>0</v>
      </c>
      <c r="P11" s="18">
        <v>0</v>
      </c>
      <c r="Q11" s="18">
        <v>0</v>
      </c>
      <c r="R11" s="18">
        <v>0</v>
      </c>
      <c r="S11" s="18">
        <v>0</v>
      </c>
      <c r="T11" s="18">
        <v>0</v>
      </c>
    </row>
    <row r="12" spans="1:20" x14ac:dyDescent="0.3">
      <c r="B12" s="33" t="s">
        <v>42</v>
      </c>
      <c r="C12" s="18">
        <v>0</v>
      </c>
      <c r="D12" s="18">
        <v>29600</v>
      </c>
      <c r="E12" s="18">
        <v>50700</v>
      </c>
      <c r="F12" s="18">
        <v>41300</v>
      </c>
      <c r="G12" s="18">
        <v>28150</v>
      </c>
      <c r="H12" s="18">
        <v>5775</v>
      </c>
      <c r="I12" s="18">
        <v>3075</v>
      </c>
      <c r="J12" s="18">
        <v>3975</v>
      </c>
      <c r="K12" s="18">
        <v>0</v>
      </c>
      <c r="L12" s="18">
        <v>0</v>
      </c>
      <c r="M12" s="18">
        <v>0</v>
      </c>
      <c r="N12" s="18">
        <v>0</v>
      </c>
      <c r="O12" s="18">
        <v>0</v>
      </c>
      <c r="P12" s="18">
        <f ca="1">MAX(ROUND(RANDBETWEEN(-500,75)/5,0)*5,0)</f>
        <v>25</v>
      </c>
      <c r="Q12" s="18">
        <v>0</v>
      </c>
      <c r="R12" s="18">
        <v>0</v>
      </c>
      <c r="S12" s="18">
        <v>0</v>
      </c>
      <c r="T12" s="18">
        <v>0</v>
      </c>
    </row>
    <row r="13" spans="1:20" x14ac:dyDescent="0.3">
      <c r="B13" s="33" t="s">
        <v>41</v>
      </c>
      <c r="C13" s="18">
        <v>0</v>
      </c>
      <c r="D13" s="18">
        <v>0</v>
      </c>
      <c r="E13" s="18">
        <v>23550</v>
      </c>
      <c r="F13" s="18">
        <v>58300</v>
      </c>
      <c r="G13" s="18">
        <v>48600</v>
      </c>
      <c r="H13" s="18">
        <v>21350</v>
      </c>
      <c r="I13" s="18">
        <v>6275</v>
      </c>
      <c r="J13" s="18">
        <v>7325</v>
      </c>
      <c r="K13" s="18">
        <v>300</v>
      </c>
      <c r="L13" s="18">
        <v>75</v>
      </c>
      <c r="M13" s="18">
        <v>0</v>
      </c>
      <c r="N13" s="18">
        <v>0</v>
      </c>
      <c r="O13" s="18">
        <v>0</v>
      </c>
      <c r="P13" s="18">
        <v>0</v>
      </c>
      <c r="Q13" s="18">
        <v>0</v>
      </c>
      <c r="R13" s="18">
        <v>0</v>
      </c>
      <c r="S13" s="18">
        <v>0</v>
      </c>
      <c r="T13" s="18">
        <v>0</v>
      </c>
    </row>
    <row r="14" spans="1:20" x14ac:dyDescent="0.3">
      <c r="B14" s="33" t="s">
        <v>40</v>
      </c>
      <c r="C14" s="18">
        <v>0</v>
      </c>
      <c r="D14" s="18">
        <v>0</v>
      </c>
      <c r="E14" s="18">
        <v>0</v>
      </c>
      <c r="F14" s="18">
        <v>28000</v>
      </c>
      <c r="G14" s="18">
        <v>40800</v>
      </c>
      <c r="H14" s="18">
        <v>48800</v>
      </c>
      <c r="I14" s="18">
        <v>15650</v>
      </c>
      <c r="J14" s="18">
        <v>15725</v>
      </c>
      <c r="K14" s="18">
        <v>5900</v>
      </c>
      <c r="L14" s="18">
        <v>800</v>
      </c>
      <c r="M14" s="18">
        <v>0</v>
      </c>
      <c r="N14" s="18">
        <v>0</v>
      </c>
      <c r="O14" s="18">
        <v>0</v>
      </c>
      <c r="P14" s="18">
        <v>0</v>
      </c>
      <c r="Q14" s="18">
        <v>0</v>
      </c>
      <c r="R14" s="18">
        <v>0</v>
      </c>
      <c r="S14" s="18">
        <v>0</v>
      </c>
      <c r="T14" s="18">
        <v>0</v>
      </c>
    </row>
    <row r="15" spans="1:20" x14ac:dyDescent="0.3">
      <c r="B15" s="33" t="s">
        <v>39</v>
      </c>
      <c r="C15" s="18">
        <v>0</v>
      </c>
      <c r="D15" s="18">
        <v>0</v>
      </c>
      <c r="E15" s="18">
        <v>0</v>
      </c>
      <c r="F15" s="18">
        <v>0</v>
      </c>
      <c r="G15" s="18">
        <v>28100</v>
      </c>
      <c r="H15" s="18">
        <v>42800</v>
      </c>
      <c r="I15" s="18">
        <v>39000</v>
      </c>
      <c r="J15" s="18">
        <v>40550</v>
      </c>
      <c r="K15" s="18">
        <v>5700</v>
      </c>
      <c r="L15" s="18">
        <v>6150</v>
      </c>
      <c r="M15" s="18">
        <v>700</v>
      </c>
      <c r="N15" s="18">
        <v>75</v>
      </c>
      <c r="O15" s="18">
        <v>0</v>
      </c>
      <c r="P15" s="18">
        <v>0</v>
      </c>
      <c r="Q15" s="18">
        <v>0</v>
      </c>
      <c r="R15" s="18">
        <v>0</v>
      </c>
      <c r="S15" s="18">
        <v>0</v>
      </c>
      <c r="T15" s="18">
        <v>0</v>
      </c>
    </row>
    <row r="16" spans="1:20" x14ac:dyDescent="0.3">
      <c r="B16" s="33" t="s">
        <v>38</v>
      </c>
      <c r="C16" s="18">
        <v>0</v>
      </c>
      <c r="D16" s="18">
        <v>0</v>
      </c>
      <c r="E16" s="18">
        <v>0</v>
      </c>
      <c r="F16" s="18">
        <v>0</v>
      </c>
      <c r="G16" s="18">
        <v>0</v>
      </c>
      <c r="H16" s="18">
        <v>24850</v>
      </c>
      <c r="I16" s="18">
        <v>25400</v>
      </c>
      <c r="J16" s="18">
        <v>56800</v>
      </c>
      <c r="K16" s="18">
        <v>21350</v>
      </c>
      <c r="L16" s="18">
        <v>6175</v>
      </c>
      <c r="M16" s="18">
        <v>6650</v>
      </c>
      <c r="N16" s="18">
        <v>300</v>
      </c>
      <c r="O16" s="18">
        <v>0</v>
      </c>
      <c r="P16" s="18">
        <v>25</v>
      </c>
      <c r="Q16" s="18">
        <v>0</v>
      </c>
      <c r="R16" s="18">
        <v>0</v>
      </c>
      <c r="S16" s="18">
        <v>0</v>
      </c>
      <c r="T16" s="18">
        <v>0</v>
      </c>
    </row>
    <row r="17" spans="1:25" x14ac:dyDescent="0.3">
      <c r="B17" s="33" t="s">
        <v>37</v>
      </c>
      <c r="C17" s="18">
        <v>0</v>
      </c>
      <c r="D17" s="18">
        <v>0</v>
      </c>
      <c r="E17" s="18">
        <v>0</v>
      </c>
      <c r="F17" s="18">
        <v>0</v>
      </c>
      <c r="G17" s="18">
        <v>0</v>
      </c>
      <c r="H17" s="18">
        <v>0</v>
      </c>
      <c r="I17" s="18">
        <v>13450</v>
      </c>
      <c r="J17" s="18">
        <v>68800</v>
      </c>
      <c r="K17" s="18">
        <v>50800</v>
      </c>
      <c r="L17" s="18">
        <v>28950</v>
      </c>
      <c r="M17" s="18">
        <v>6225</v>
      </c>
      <c r="N17" s="18">
        <v>5500</v>
      </c>
      <c r="O17" s="18">
        <v>325</v>
      </c>
      <c r="P17" s="18">
        <v>0</v>
      </c>
      <c r="Q17" s="18">
        <v>0</v>
      </c>
      <c r="R17" s="18">
        <v>0</v>
      </c>
      <c r="S17" s="18">
        <v>0</v>
      </c>
      <c r="T17" s="18">
        <v>0</v>
      </c>
    </row>
    <row r="18" spans="1:25" x14ac:dyDescent="0.3">
      <c r="B18" s="33" t="s">
        <v>36</v>
      </c>
      <c r="C18" s="18">
        <v>0</v>
      </c>
      <c r="D18" s="18">
        <v>0</v>
      </c>
      <c r="E18" s="18">
        <v>0</v>
      </c>
      <c r="F18" s="18">
        <v>0</v>
      </c>
      <c r="G18" s="18">
        <v>0</v>
      </c>
      <c r="H18" s="18">
        <v>0</v>
      </c>
      <c r="I18" s="18">
        <v>0</v>
      </c>
      <c r="J18" s="18">
        <v>21250</v>
      </c>
      <c r="K18" s="18">
        <v>46600</v>
      </c>
      <c r="L18" s="18">
        <v>42700</v>
      </c>
      <c r="M18" s="18">
        <v>27650</v>
      </c>
      <c r="N18" s="18">
        <v>5300</v>
      </c>
      <c r="O18" s="18">
        <v>7300</v>
      </c>
      <c r="P18" s="18">
        <v>800</v>
      </c>
      <c r="Q18" s="18">
        <v>0</v>
      </c>
      <c r="R18" s="18">
        <v>0</v>
      </c>
      <c r="S18" s="18">
        <v>0</v>
      </c>
      <c r="T18" s="18">
        <v>0</v>
      </c>
    </row>
    <row r="19" spans="1:25" x14ac:dyDescent="0.3">
      <c r="B19" s="33" t="s">
        <v>35</v>
      </c>
      <c r="C19" s="18">
        <v>0</v>
      </c>
      <c r="D19" s="18">
        <v>0</v>
      </c>
      <c r="E19" s="18">
        <v>0</v>
      </c>
      <c r="F19" s="18">
        <v>0</v>
      </c>
      <c r="G19" s="18">
        <v>0</v>
      </c>
      <c r="H19" s="18">
        <v>0</v>
      </c>
      <c r="I19" s="18">
        <v>0</v>
      </c>
      <c r="J19" s="18">
        <v>0</v>
      </c>
      <c r="K19" s="18">
        <v>24200</v>
      </c>
      <c r="L19" s="18">
        <v>56700</v>
      </c>
      <c r="M19" s="18">
        <v>51100</v>
      </c>
      <c r="N19" s="18">
        <v>29400</v>
      </c>
      <c r="O19" s="18">
        <v>6225</v>
      </c>
      <c r="P19" s="18">
        <v>5100</v>
      </c>
      <c r="Q19" s="18">
        <v>875</v>
      </c>
      <c r="R19" s="18">
        <v>0</v>
      </c>
      <c r="S19" s="18">
        <v>0</v>
      </c>
      <c r="T19" s="18">
        <v>0</v>
      </c>
    </row>
    <row r="20" spans="1:25" x14ac:dyDescent="0.3">
      <c r="B20" s="33" t="s">
        <v>34</v>
      </c>
      <c r="C20" s="18">
        <v>0</v>
      </c>
      <c r="D20" s="18">
        <v>0</v>
      </c>
      <c r="E20" s="18">
        <v>0</v>
      </c>
      <c r="F20" s="18">
        <v>0</v>
      </c>
      <c r="G20" s="18">
        <v>0</v>
      </c>
      <c r="H20" s="18">
        <v>0</v>
      </c>
      <c r="I20" s="18">
        <v>0</v>
      </c>
      <c r="J20" s="18">
        <v>0</v>
      </c>
      <c r="K20" s="18">
        <v>0</v>
      </c>
      <c r="L20" s="18">
        <v>21500</v>
      </c>
      <c r="M20" s="18">
        <v>57700</v>
      </c>
      <c r="N20" s="18">
        <v>40700</v>
      </c>
      <c r="O20" s="18">
        <v>29350</v>
      </c>
      <c r="P20" s="18">
        <v>5700</v>
      </c>
      <c r="Q20" s="18">
        <v>7325</v>
      </c>
      <c r="R20" s="18">
        <v>250</v>
      </c>
      <c r="S20" s="18">
        <v>0</v>
      </c>
      <c r="T20" s="18">
        <v>50</v>
      </c>
    </row>
    <row r="21" spans="1:25" x14ac:dyDescent="0.3">
      <c r="B21" s="33" t="s">
        <v>33</v>
      </c>
      <c r="C21" s="18">
        <v>0</v>
      </c>
      <c r="D21" s="18">
        <v>0</v>
      </c>
      <c r="E21" s="18">
        <v>0</v>
      </c>
      <c r="F21" s="18">
        <v>0</v>
      </c>
      <c r="G21" s="18">
        <v>0</v>
      </c>
      <c r="H21" s="18">
        <v>0</v>
      </c>
      <c r="I21" s="18">
        <v>0</v>
      </c>
      <c r="J21" s="18">
        <v>0</v>
      </c>
      <c r="K21" s="18">
        <v>0</v>
      </c>
      <c r="L21" s="18">
        <v>0</v>
      </c>
      <c r="M21" s="18">
        <v>29550</v>
      </c>
      <c r="N21" s="18">
        <v>46800</v>
      </c>
      <c r="O21" s="18">
        <v>43100</v>
      </c>
      <c r="P21" s="18">
        <v>22050</v>
      </c>
      <c r="Q21" s="18">
        <v>5225</v>
      </c>
      <c r="R21" s="18">
        <v>6250</v>
      </c>
      <c r="S21" s="18">
        <v>1000</v>
      </c>
      <c r="T21" s="18">
        <v>0</v>
      </c>
    </row>
    <row r="22" spans="1:25" x14ac:dyDescent="0.3">
      <c r="B22" s="33" t="s">
        <v>32</v>
      </c>
      <c r="C22" s="18">
        <v>0</v>
      </c>
      <c r="D22" s="18">
        <v>0</v>
      </c>
      <c r="E22" s="18">
        <v>0</v>
      </c>
      <c r="F22" s="18">
        <v>0</v>
      </c>
      <c r="G22" s="18">
        <v>0</v>
      </c>
      <c r="H22" s="18">
        <v>0</v>
      </c>
      <c r="I22" s="18">
        <v>0</v>
      </c>
      <c r="J22" s="18">
        <v>0</v>
      </c>
      <c r="K22" s="18">
        <v>0</v>
      </c>
      <c r="L22" s="18">
        <v>0</v>
      </c>
      <c r="M22" s="18">
        <v>0</v>
      </c>
      <c r="N22" s="18">
        <v>23700</v>
      </c>
      <c r="O22" s="18">
        <v>51900</v>
      </c>
      <c r="P22" s="18">
        <v>43300</v>
      </c>
      <c r="Q22" s="18">
        <v>28950</v>
      </c>
      <c r="R22" s="18">
        <v>5650</v>
      </c>
      <c r="S22" s="18">
        <v>6475</v>
      </c>
      <c r="T22" s="18">
        <v>725</v>
      </c>
    </row>
    <row r="23" spans="1:25" x14ac:dyDescent="0.3">
      <c r="B23" s="33" t="s">
        <v>31</v>
      </c>
      <c r="C23" s="18">
        <v>0</v>
      </c>
      <c r="D23" s="18">
        <v>0</v>
      </c>
      <c r="E23" s="18">
        <v>0</v>
      </c>
      <c r="F23" s="18">
        <v>0</v>
      </c>
      <c r="G23" s="18">
        <v>0</v>
      </c>
      <c r="H23" s="18">
        <v>0</v>
      </c>
      <c r="I23" s="18">
        <v>0</v>
      </c>
      <c r="J23" s="18">
        <v>0</v>
      </c>
      <c r="K23" s="18">
        <v>0</v>
      </c>
      <c r="L23" s="18">
        <v>0</v>
      </c>
      <c r="M23" s="18">
        <v>0</v>
      </c>
      <c r="N23" s="18">
        <v>0</v>
      </c>
      <c r="O23" s="18">
        <v>27650</v>
      </c>
      <c r="P23" s="18">
        <v>50800</v>
      </c>
      <c r="Q23" s="18">
        <v>44900</v>
      </c>
      <c r="R23" s="18">
        <v>21550</v>
      </c>
      <c r="S23" s="18">
        <v>5400</v>
      </c>
      <c r="T23" s="18">
        <v>6100</v>
      </c>
    </row>
    <row r="24" spans="1:25" x14ac:dyDescent="0.3">
      <c r="B24" s="33" t="s">
        <v>30</v>
      </c>
      <c r="C24" s="18">
        <v>0</v>
      </c>
      <c r="D24" s="18">
        <v>0</v>
      </c>
      <c r="E24" s="18">
        <v>0</v>
      </c>
      <c r="F24" s="18">
        <v>0</v>
      </c>
      <c r="G24" s="18">
        <v>0</v>
      </c>
      <c r="H24" s="18">
        <v>0</v>
      </c>
      <c r="I24" s="18">
        <v>0</v>
      </c>
      <c r="J24" s="18">
        <v>0</v>
      </c>
      <c r="K24" s="18">
        <v>0</v>
      </c>
      <c r="L24" s="18">
        <v>0</v>
      </c>
      <c r="M24" s="18">
        <v>0</v>
      </c>
      <c r="N24" s="18">
        <v>0</v>
      </c>
      <c r="O24" s="18">
        <v>0</v>
      </c>
      <c r="P24" s="18">
        <v>25050</v>
      </c>
      <c r="Q24" s="18">
        <v>40500</v>
      </c>
      <c r="R24" s="18">
        <v>50200</v>
      </c>
      <c r="S24" s="18">
        <v>21100</v>
      </c>
      <c r="T24" s="18">
        <v>6100</v>
      </c>
      <c r="U24" s="2"/>
    </row>
    <row r="25" spans="1:25" x14ac:dyDescent="0.3">
      <c r="B25" s="33" t="s">
        <v>29</v>
      </c>
      <c r="C25" s="18">
        <v>0</v>
      </c>
      <c r="D25" s="18">
        <v>0</v>
      </c>
      <c r="E25" s="18">
        <v>0</v>
      </c>
      <c r="F25" s="18">
        <v>0</v>
      </c>
      <c r="G25" s="18">
        <v>0</v>
      </c>
      <c r="H25" s="18">
        <v>0</v>
      </c>
      <c r="I25" s="18">
        <v>0</v>
      </c>
      <c r="J25" s="18">
        <v>0</v>
      </c>
      <c r="K25" s="18">
        <v>0</v>
      </c>
      <c r="L25" s="18">
        <v>0</v>
      </c>
      <c r="M25" s="18">
        <v>0</v>
      </c>
      <c r="N25" s="18">
        <v>0</v>
      </c>
      <c r="O25" s="18">
        <v>0</v>
      </c>
      <c r="P25" s="18">
        <v>0</v>
      </c>
      <c r="Q25" s="18">
        <v>29950</v>
      </c>
      <c r="R25" s="18">
        <v>43300</v>
      </c>
      <c r="S25" s="18">
        <v>59500</v>
      </c>
      <c r="T25" s="18">
        <v>27800</v>
      </c>
      <c r="U25" s="2"/>
      <c r="V25" s="2"/>
    </row>
    <row r="26" spans="1:25" x14ac:dyDescent="0.3">
      <c r="B26" s="33" t="s">
        <v>28</v>
      </c>
      <c r="C26" s="18">
        <v>0</v>
      </c>
      <c r="D26" s="18">
        <v>0</v>
      </c>
      <c r="E26" s="18">
        <v>0</v>
      </c>
      <c r="F26" s="18">
        <v>0</v>
      </c>
      <c r="G26" s="18">
        <v>0</v>
      </c>
      <c r="H26" s="18">
        <v>0</v>
      </c>
      <c r="I26" s="18">
        <v>0</v>
      </c>
      <c r="J26" s="18">
        <v>0</v>
      </c>
      <c r="K26" s="18">
        <v>0</v>
      </c>
      <c r="L26" s="18">
        <v>0</v>
      </c>
      <c r="M26" s="18">
        <v>0</v>
      </c>
      <c r="N26" s="18">
        <v>0</v>
      </c>
      <c r="O26" s="18">
        <v>0</v>
      </c>
      <c r="P26" s="18">
        <v>0</v>
      </c>
      <c r="Q26" s="18">
        <v>0</v>
      </c>
      <c r="R26" s="18">
        <v>27400</v>
      </c>
      <c r="S26" s="18">
        <v>48800</v>
      </c>
      <c r="T26" s="18">
        <v>43800</v>
      </c>
      <c r="U26" s="2"/>
      <c r="V26" s="2"/>
      <c r="W26" s="2"/>
    </row>
    <row r="27" spans="1:25" x14ac:dyDescent="0.3">
      <c r="B27" s="33" t="s">
        <v>27</v>
      </c>
      <c r="C27" s="18">
        <v>0</v>
      </c>
      <c r="D27" s="18">
        <v>0</v>
      </c>
      <c r="E27" s="18">
        <v>0</v>
      </c>
      <c r="F27" s="18">
        <v>0</v>
      </c>
      <c r="G27" s="18">
        <v>0</v>
      </c>
      <c r="H27" s="18">
        <v>0</v>
      </c>
      <c r="I27" s="18">
        <v>0</v>
      </c>
      <c r="J27" s="18">
        <v>0</v>
      </c>
      <c r="K27" s="18">
        <v>0</v>
      </c>
      <c r="L27" s="18">
        <v>0</v>
      </c>
      <c r="M27" s="18">
        <v>0</v>
      </c>
      <c r="N27" s="18">
        <v>0</v>
      </c>
      <c r="O27" s="18">
        <v>0</v>
      </c>
      <c r="P27" s="18">
        <v>0</v>
      </c>
      <c r="Q27" s="18">
        <v>0</v>
      </c>
      <c r="R27" s="18">
        <v>0</v>
      </c>
      <c r="S27" s="18">
        <v>21450</v>
      </c>
      <c r="T27" s="18">
        <v>51400</v>
      </c>
      <c r="U27" s="2"/>
      <c r="V27" s="2"/>
      <c r="W27" s="2"/>
      <c r="X27" s="2"/>
    </row>
    <row r="28" spans="1:25" x14ac:dyDescent="0.3">
      <c r="B28" s="33" t="s">
        <v>26</v>
      </c>
      <c r="C28" s="18">
        <v>0</v>
      </c>
      <c r="D28" s="18">
        <v>0</v>
      </c>
      <c r="E28" s="18">
        <v>0</v>
      </c>
      <c r="F28" s="18">
        <v>0</v>
      </c>
      <c r="G28" s="18">
        <v>0</v>
      </c>
      <c r="H28" s="18">
        <v>0</v>
      </c>
      <c r="I28" s="18">
        <v>0</v>
      </c>
      <c r="J28" s="18">
        <v>0</v>
      </c>
      <c r="K28" s="18">
        <v>0</v>
      </c>
      <c r="L28" s="18">
        <v>0</v>
      </c>
      <c r="M28" s="18">
        <v>0</v>
      </c>
      <c r="N28" s="18">
        <v>0</v>
      </c>
      <c r="O28" s="18">
        <v>0</v>
      </c>
      <c r="P28" s="18">
        <v>0</v>
      </c>
      <c r="Q28" s="18">
        <v>0</v>
      </c>
      <c r="R28" s="18">
        <v>0</v>
      </c>
      <c r="S28" s="18">
        <v>0</v>
      </c>
      <c r="T28" s="18">
        <v>25100</v>
      </c>
      <c r="U28" s="2"/>
      <c r="V28" s="2"/>
      <c r="W28" s="2"/>
      <c r="X28" s="2"/>
      <c r="Y28" s="2"/>
    </row>
    <row r="29" spans="1:25" x14ac:dyDescent="0.3">
      <c r="E29" s="2"/>
      <c r="F29" s="2"/>
      <c r="G29" s="2"/>
      <c r="R29" s="2"/>
    </row>
    <row r="30" spans="1:25" x14ac:dyDescent="0.3">
      <c r="B30" t="s">
        <v>25</v>
      </c>
      <c r="E30" s="2"/>
      <c r="F30" s="2"/>
      <c r="G30" s="2"/>
      <c r="R30" s="2"/>
    </row>
    <row r="31" spans="1:25" x14ac:dyDescent="0.3">
      <c r="E31" s="2"/>
      <c r="F31" s="2"/>
      <c r="G31" s="2"/>
      <c r="R31" s="2"/>
    </row>
    <row r="32" spans="1:25" x14ac:dyDescent="0.3">
      <c r="A32" t="s">
        <v>2</v>
      </c>
      <c r="B32" t="s">
        <v>24</v>
      </c>
      <c r="E32" s="2"/>
      <c r="F32" s="2"/>
      <c r="G32" s="2"/>
      <c r="R32" s="2"/>
    </row>
    <row r="33" spans="1:18" x14ac:dyDescent="0.3">
      <c r="E33" s="2"/>
      <c r="F33" s="2"/>
      <c r="G33" s="2"/>
      <c r="R33" s="2"/>
    </row>
    <row r="34" spans="1:18" x14ac:dyDescent="0.3">
      <c r="A34" t="s">
        <v>1</v>
      </c>
      <c r="B34" t="s">
        <v>23</v>
      </c>
      <c r="E34" s="2"/>
      <c r="F34" s="2"/>
      <c r="G34" s="2"/>
      <c r="R34" s="2"/>
    </row>
    <row r="35" spans="1:18" x14ac:dyDescent="0.3">
      <c r="E35" s="2"/>
      <c r="F35" s="2"/>
      <c r="G35" s="2"/>
      <c r="R35" s="2"/>
    </row>
    <row r="36" spans="1:18" x14ac:dyDescent="0.3">
      <c r="B36" t="s">
        <v>22</v>
      </c>
      <c r="E36" s="2"/>
      <c r="F36" s="2"/>
      <c r="G36" s="2"/>
      <c r="R36" s="2"/>
    </row>
    <row r="37" spans="1:18" x14ac:dyDescent="0.3">
      <c r="E37" s="2"/>
      <c r="F37" s="2"/>
      <c r="G37" s="2"/>
      <c r="R37" s="2"/>
    </row>
    <row r="38" spans="1:18" x14ac:dyDescent="0.3">
      <c r="A38" t="s">
        <v>0</v>
      </c>
      <c r="B38" t="s">
        <v>21</v>
      </c>
      <c r="E38" s="2"/>
      <c r="F38" s="2"/>
      <c r="G38" s="2"/>
      <c r="R38" s="2"/>
    </row>
    <row r="39" spans="1:18" x14ac:dyDescent="0.3">
      <c r="E39" s="2"/>
      <c r="F39" s="2"/>
      <c r="G39" s="2"/>
      <c r="R39" s="2"/>
    </row>
    <row r="40" spans="1:18" x14ac:dyDescent="0.3">
      <c r="A40" t="s">
        <v>16</v>
      </c>
      <c r="B40" t="s">
        <v>20</v>
      </c>
      <c r="E40" s="2"/>
      <c r="F40" s="2"/>
      <c r="G40" s="2"/>
      <c r="R40" s="2"/>
    </row>
    <row r="41" spans="1:18" x14ac:dyDescent="0.3">
      <c r="E41" s="2"/>
      <c r="F41" s="2"/>
      <c r="G41" s="2"/>
      <c r="R41" s="2"/>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1F0FF-7277-4715-8AD0-573F0F6B334D}">
  <sheetPr>
    <tabColor theme="9" tint="0.59999389629810485"/>
  </sheetPr>
  <dimension ref="A1:Y192"/>
  <sheetViews>
    <sheetView zoomScale="115" zoomScaleNormal="115" workbookViewId="0"/>
  </sheetViews>
  <sheetFormatPr defaultRowHeight="14.4" x14ac:dyDescent="0.3"/>
  <cols>
    <col min="2" max="2" width="17.5546875" customWidth="1"/>
    <col min="3" max="20" width="12.6640625" customWidth="1"/>
  </cols>
  <sheetData>
    <row r="1" spans="1:20" x14ac:dyDescent="0.3">
      <c r="A1" s="135" t="s">
        <v>507</v>
      </c>
    </row>
    <row r="3" spans="1:20" x14ac:dyDescent="0.3">
      <c r="A3" s="9" t="s">
        <v>7</v>
      </c>
    </row>
    <row r="4" spans="1:20" x14ac:dyDescent="0.3">
      <c r="A4" t="s">
        <v>46</v>
      </c>
    </row>
    <row r="5" spans="1:20" x14ac:dyDescent="0.3">
      <c r="A5" s="9"/>
    </row>
    <row r="7" spans="1:20" x14ac:dyDescent="0.3">
      <c r="B7" s="8" t="s">
        <v>6</v>
      </c>
      <c r="C7" s="7"/>
      <c r="D7" s="7"/>
      <c r="E7" s="7"/>
      <c r="F7" s="7"/>
      <c r="G7" s="7"/>
      <c r="H7" s="7"/>
      <c r="I7" s="7"/>
      <c r="J7" s="7"/>
      <c r="K7" s="7"/>
      <c r="L7" s="7"/>
      <c r="M7" s="7"/>
      <c r="N7" s="7"/>
      <c r="O7" s="7"/>
      <c r="P7" s="7"/>
      <c r="Q7" s="7"/>
      <c r="R7" s="7"/>
      <c r="S7" s="7"/>
      <c r="T7" s="6"/>
    </row>
    <row r="8" spans="1:20" x14ac:dyDescent="0.3">
      <c r="B8" s="5" t="s">
        <v>45</v>
      </c>
      <c r="C8" s="4"/>
      <c r="D8" s="4"/>
      <c r="E8" s="4"/>
      <c r="F8" s="4"/>
      <c r="G8" s="4"/>
      <c r="H8" s="4"/>
      <c r="I8" s="4"/>
      <c r="J8" s="4"/>
      <c r="K8" s="4"/>
      <c r="L8" s="4"/>
      <c r="M8" s="4"/>
      <c r="N8" s="4"/>
      <c r="O8" s="4"/>
      <c r="P8" s="4"/>
      <c r="Q8" s="4"/>
      <c r="R8" s="4"/>
      <c r="S8" s="4"/>
      <c r="T8" s="3"/>
    </row>
    <row r="9" spans="1:20" x14ac:dyDescent="0.3">
      <c r="B9" s="22"/>
      <c r="C9" s="34"/>
      <c r="D9" s="34"/>
      <c r="E9" s="34"/>
      <c r="F9" s="34"/>
      <c r="G9" s="34"/>
      <c r="H9" s="34"/>
      <c r="I9" s="34"/>
      <c r="J9" s="34"/>
      <c r="K9" s="34"/>
      <c r="L9" s="34"/>
      <c r="M9" s="34"/>
      <c r="N9" s="34"/>
      <c r="O9" s="34"/>
      <c r="P9" s="34"/>
      <c r="Q9" s="34"/>
      <c r="R9" s="34"/>
      <c r="S9" s="34"/>
      <c r="T9" s="34"/>
    </row>
    <row r="10" spans="1:20" x14ac:dyDescent="0.3">
      <c r="B10" s="11" t="s">
        <v>44</v>
      </c>
      <c r="C10" s="26" t="s">
        <v>43</v>
      </c>
      <c r="D10" s="26" t="s">
        <v>42</v>
      </c>
      <c r="E10" s="26" t="s">
        <v>41</v>
      </c>
      <c r="F10" s="26" t="s">
        <v>40</v>
      </c>
      <c r="G10" s="26" t="s">
        <v>39</v>
      </c>
      <c r="H10" s="26" t="s">
        <v>38</v>
      </c>
      <c r="I10" s="26" t="s">
        <v>37</v>
      </c>
      <c r="J10" s="26" t="s">
        <v>36</v>
      </c>
      <c r="K10" s="26" t="s">
        <v>35</v>
      </c>
      <c r="L10" s="26" t="s">
        <v>34</v>
      </c>
      <c r="M10" s="26" t="s">
        <v>33</v>
      </c>
      <c r="N10" s="26" t="s">
        <v>32</v>
      </c>
      <c r="O10" s="26" t="s">
        <v>31</v>
      </c>
      <c r="P10" s="26" t="s">
        <v>30</v>
      </c>
      <c r="Q10" s="26" t="s">
        <v>29</v>
      </c>
      <c r="R10" s="26" t="s">
        <v>28</v>
      </c>
      <c r="S10" s="26" t="s">
        <v>27</v>
      </c>
      <c r="T10" s="26" t="s">
        <v>26</v>
      </c>
    </row>
    <row r="11" spans="1:20" x14ac:dyDescent="0.3">
      <c r="B11" s="49" t="s">
        <v>43</v>
      </c>
      <c r="C11" s="26">
        <v>22350</v>
      </c>
      <c r="D11" s="26">
        <v>59200</v>
      </c>
      <c r="E11" s="26">
        <v>51900</v>
      </c>
      <c r="F11" s="26">
        <v>24800</v>
      </c>
      <c r="G11" s="26">
        <v>5875</v>
      </c>
      <c r="H11" s="26">
        <v>5300</v>
      </c>
      <c r="I11" s="26">
        <v>300</v>
      </c>
      <c r="J11" s="26">
        <v>575</v>
      </c>
      <c r="K11" s="26">
        <v>0</v>
      </c>
      <c r="L11" s="26">
        <v>0</v>
      </c>
      <c r="M11" s="26">
        <v>0</v>
      </c>
      <c r="N11" s="26">
        <v>0</v>
      </c>
      <c r="O11" s="26">
        <v>0</v>
      </c>
      <c r="P11" s="26">
        <v>0</v>
      </c>
      <c r="Q11" s="26">
        <v>0</v>
      </c>
      <c r="R11" s="26">
        <v>0</v>
      </c>
      <c r="S11" s="26">
        <v>0</v>
      </c>
      <c r="T11" s="26">
        <v>0</v>
      </c>
    </row>
    <row r="12" spans="1:20" x14ac:dyDescent="0.3">
      <c r="B12" s="49" t="s">
        <v>42</v>
      </c>
      <c r="C12" s="26">
        <v>0</v>
      </c>
      <c r="D12" s="26">
        <v>29600</v>
      </c>
      <c r="E12" s="26">
        <v>50700</v>
      </c>
      <c r="F12" s="26">
        <v>41300</v>
      </c>
      <c r="G12" s="26">
        <v>28150</v>
      </c>
      <c r="H12" s="26">
        <v>5775</v>
      </c>
      <c r="I12" s="26">
        <v>3075</v>
      </c>
      <c r="J12" s="26">
        <v>3975</v>
      </c>
      <c r="K12" s="26">
        <v>0</v>
      </c>
      <c r="L12" s="26">
        <v>0</v>
      </c>
      <c r="M12" s="26">
        <v>0</v>
      </c>
      <c r="N12" s="26">
        <v>0</v>
      </c>
      <c r="O12" s="26">
        <v>0</v>
      </c>
      <c r="P12" s="26">
        <f ca="1">MAX(ROUND(RANDBETWEEN(-500,75)/5,0)*5,0)</f>
        <v>0</v>
      </c>
      <c r="Q12" s="26">
        <v>0</v>
      </c>
      <c r="R12" s="26">
        <v>0</v>
      </c>
      <c r="S12" s="26">
        <v>0</v>
      </c>
      <c r="T12" s="26">
        <v>0</v>
      </c>
    </row>
    <row r="13" spans="1:20" x14ac:dyDescent="0.3">
      <c r="B13" s="49" t="s">
        <v>41</v>
      </c>
      <c r="C13" s="26">
        <v>0</v>
      </c>
      <c r="D13" s="26">
        <v>0</v>
      </c>
      <c r="E13" s="26">
        <v>23550</v>
      </c>
      <c r="F13" s="26">
        <v>58300</v>
      </c>
      <c r="G13" s="26">
        <v>48600</v>
      </c>
      <c r="H13" s="26">
        <v>21350</v>
      </c>
      <c r="I13" s="26">
        <v>6275</v>
      </c>
      <c r="J13" s="26">
        <v>7325</v>
      </c>
      <c r="K13" s="26">
        <v>300</v>
      </c>
      <c r="L13" s="26">
        <v>75</v>
      </c>
      <c r="M13" s="26">
        <v>0</v>
      </c>
      <c r="N13" s="26">
        <v>0</v>
      </c>
      <c r="O13" s="26">
        <v>0</v>
      </c>
      <c r="P13" s="26">
        <v>0</v>
      </c>
      <c r="Q13" s="26">
        <v>0</v>
      </c>
      <c r="R13" s="26">
        <v>0</v>
      </c>
      <c r="S13" s="26">
        <v>0</v>
      </c>
      <c r="T13" s="26">
        <v>0</v>
      </c>
    </row>
    <row r="14" spans="1:20" x14ac:dyDescent="0.3">
      <c r="B14" s="49" t="s">
        <v>40</v>
      </c>
      <c r="C14" s="26">
        <v>0</v>
      </c>
      <c r="D14" s="26">
        <v>0</v>
      </c>
      <c r="E14" s="26">
        <v>0</v>
      </c>
      <c r="F14" s="26">
        <v>28000</v>
      </c>
      <c r="G14" s="26">
        <v>40800</v>
      </c>
      <c r="H14" s="26">
        <v>48800</v>
      </c>
      <c r="I14" s="26">
        <v>15650</v>
      </c>
      <c r="J14" s="26">
        <v>15725</v>
      </c>
      <c r="K14" s="26">
        <v>5900</v>
      </c>
      <c r="L14" s="26">
        <v>800</v>
      </c>
      <c r="M14" s="26">
        <v>0</v>
      </c>
      <c r="N14" s="26">
        <v>0</v>
      </c>
      <c r="O14" s="26">
        <v>0</v>
      </c>
      <c r="P14" s="26">
        <v>0</v>
      </c>
      <c r="Q14" s="26">
        <v>0</v>
      </c>
      <c r="R14" s="26">
        <v>0</v>
      </c>
      <c r="S14" s="26">
        <v>0</v>
      </c>
      <c r="T14" s="26">
        <v>0</v>
      </c>
    </row>
    <row r="15" spans="1:20" x14ac:dyDescent="0.3">
      <c r="B15" s="49" t="s">
        <v>39</v>
      </c>
      <c r="C15" s="26">
        <v>0</v>
      </c>
      <c r="D15" s="26">
        <v>0</v>
      </c>
      <c r="E15" s="26">
        <v>0</v>
      </c>
      <c r="F15" s="26">
        <v>0</v>
      </c>
      <c r="G15" s="26">
        <v>28100</v>
      </c>
      <c r="H15" s="26">
        <v>42800</v>
      </c>
      <c r="I15" s="26">
        <v>39000</v>
      </c>
      <c r="J15" s="26">
        <v>40550</v>
      </c>
      <c r="K15" s="26">
        <v>5700</v>
      </c>
      <c r="L15" s="26">
        <v>6150</v>
      </c>
      <c r="M15" s="26">
        <v>700</v>
      </c>
      <c r="N15" s="26">
        <v>75</v>
      </c>
      <c r="O15" s="26">
        <v>0</v>
      </c>
      <c r="P15" s="26">
        <v>0</v>
      </c>
      <c r="Q15" s="26">
        <v>0</v>
      </c>
      <c r="R15" s="26">
        <v>0</v>
      </c>
      <c r="S15" s="26">
        <v>0</v>
      </c>
      <c r="T15" s="26">
        <v>0</v>
      </c>
    </row>
    <row r="16" spans="1:20" x14ac:dyDescent="0.3">
      <c r="B16" s="49" t="s">
        <v>38</v>
      </c>
      <c r="C16" s="26">
        <v>0</v>
      </c>
      <c r="D16" s="26">
        <v>0</v>
      </c>
      <c r="E16" s="26">
        <v>0</v>
      </c>
      <c r="F16" s="26">
        <v>0</v>
      </c>
      <c r="G16" s="26">
        <v>0</v>
      </c>
      <c r="H16" s="26">
        <v>24850</v>
      </c>
      <c r="I16" s="26">
        <v>25400</v>
      </c>
      <c r="J16" s="26">
        <v>56800</v>
      </c>
      <c r="K16" s="26">
        <v>21350</v>
      </c>
      <c r="L16" s="26">
        <v>6175</v>
      </c>
      <c r="M16" s="26">
        <v>6650</v>
      </c>
      <c r="N16" s="26">
        <v>300</v>
      </c>
      <c r="O16" s="26">
        <v>0</v>
      </c>
      <c r="P16" s="26">
        <v>25</v>
      </c>
      <c r="Q16" s="26">
        <v>0</v>
      </c>
      <c r="R16" s="26">
        <v>0</v>
      </c>
      <c r="S16" s="26">
        <v>0</v>
      </c>
      <c r="T16" s="26">
        <v>0</v>
      </c>
    </row>
    <row r="17" spans="1:25" x14ac:dyDescent="0.3">
      <c r="B17" s="49" t="s">
        <v>37</v>
      </c>
      <c r="C17" s="26">
        <v>0</v>
      </c>
      <c r="D17" s="26">
        <v>0</v>
      </c>
      <c r="E17" s="26">
        <v>0</v>
      </c>
      <c r="F17" s="26">
        <v>0</v>
      </c>
      <c r="G17" s="26">
        <v>0</v>
      </c>
      <c r="H17" s="26">
        <v>0</v>
      </c>
      <c r="I17" s="26">
        <v>13450</v>
      </c>
      <c r="J17" s="26">
        <v>68800</v>
      </c>
      <c r="K17" s="26">
        <v>50800</v>
      </c>
      <c r="L17" s="26">
        <v>28950</v>
      </c>
      <c r="M17" s="26">
        <v>6225</v>
      </c>
      <c r="N17" s="26">
        <v>5500</v>
      </c>
      <c r="O17" s="26">
        <v>325</v>
      </c>
      <c r="P17" s="26">
        <v>0</v>
      </c>
      <c r="Q17" s="26">
        <v>0</v>
      </c>
      <c r="R17" s="26">
        <v>0</v>
      </c>
      <c r="S17" s="26">
        <v>0</v>
      </c>
      <c r="T17" s="26">
        <v>0</v>
      </c>
    </row>
    <row r="18" spans="1:25" x14ac:dyDescent="0.3">
      <c r="B18" s="49" t="s">
        <v>36</v>
      </c>
      <c r="C18" s="26">
        <v>0</v>
      </c>
      <c r="D18" s="26">
        <v>0</v>
      </c>
      <c r="E18" s="26">
        <v>0</v>
      </c>
      <c r="F18" s="26">
        <v>0</v>
      </c>
      <c r="G18" s="26">
        <v>0</v>
      </c>
      <c r="H18" s="26">
        <v>0</v>
      </c>
      <c r="I18" s="26">
        <v>0</v>
      </c>
      <c r="J18" s="26">
        <v>21250</v>
      </c>
      <c r="K18" s="26">
        <v>46600</v>
      </c>
      <c r="L18" s="26">
        <v>42700</v>
      </c>
      <c r="M18" s="26">
        <v>27650</v>
      </c>
      <c r="N18" s="26">
        <v>5300</v>
      </c>
      <c r="O18" s="26">
        <v>7300</v>
      </c>
      <c r="P18" s="26">
        <v>800</v>
      </c>
      <c r="Q18" s="26">
        <v>0</v>
      </c>
      <c r="R18" s="26">
        <v>0</v>
      </c>
      <c r="S18" s="26">
        <v>0</v>
      </c>
      <c r="T18" s="26">
        <v>0</v>
      </c>
    </row>
    <row r="19" spans="1:25" x14ac:dyDescent="0.3">
      <c r="B19" s="49" t="s">
        <v>35</v>
      </c>
      <c r="C19" s="26">
        <v>0</v>
      </c>
      <c r="D19" s="26">
        <v>0</v>
      </c>
      <c r="E19" s="26">
        <v>0</v>
      </c>
      <c r="F19" s="26">
        <v>0</v>
      </c>
      <c r="G19" s="26">
        <v>0</v>
      </c>
      <c r="H19" s="26">
        <v>0</v>
      </c>
      <c r="I19" s="26">
        <v>0</v>
      </c>
      <c r="J19" s="26">
        <v>0</v>
      </c>
      <c r="K19" s="26">
        <v>24200</v>
      </c>
      <c r="L19" s="26">
        <v>56700</v>
      </c>
      <c r="M19" s="26">
        <v>51100</v>
      </c>
      <c r="N19" s="26">
        <v>29400</v>
      </c>
      <c r="O19" s="26">
        <v>6225</v>
      </c>
      <c r="P19" s="26">
        <v>5100</v>
      </c>
      <c r="Q19" s="26">
        <v>875</v>
      </c>
      <c r="R19" s="26">
        <v>0</v>
      </c>
      <c r="S19" s="26">
        <v>0</v>
      </c>
      <c r="T19" s="26">
        <v>0</v>
      </c>
    </row>
    <row r="20" spans="1:25" x14ac:dyDescent="0.3">
      <c r="B20" s="49" t="s">
        <v>34</v>
      </c>
      <c r="C20" s="26">
        <v>0</v>
      </c>
      <c r="D20" s="26">
        <v>0</v>
      </c>
      <c r="E20" s="26">
        <v>0</v>
      </c>
      <c r="F20" s="26">
        <v>0</v>
      </c>
      <c r="G20" s="26">
        <v>0</v>
      </c>
      <c r="H20" s="26">
        <v>0</v>
      </c>
      <c r="I20" s="26">
        <v>0</v>
      </c>
      <c r="J20" s="26">
        <v>0</v>
      </c>
      <c r="K20" s="26">
        <v>0</v>
      </c>
      <c r="L20" s="26">
        <v>21500</v>
      </c>
      <c r="M20" s="26">
        <v>57700</v>
      </c>
      <c r="N20" s="26">
        <v>40700</v>
      </c>
      <c r="O20" s="26">
        <v>29350</v>
      </c>
      <c r="P20" s="26">
        <v>5700</v>
      </c>
      <c r="Q20" s="26">
        <v>7325</v>
      </c>
      <c r="R20" s="26">
        <v>250</v>
      </c>
      <c r="S20" s="26">
        <v>0</v>
      </c>
      <c r="T20" s="26">
        <v>50</v>
      </c>
    </row>
    <row r="21" spans="1:25" x14ac:dyDescent="0.3">
      <c r="B21" s="49" t="s">
        <v>33</v>
      </c>
      <c r="C21" s="26">
        <v>0</v>
      </c>
      <c r="D21" s="26">
        <v>0</v>
      </c>
      <c r="E21" s="26">
        <v>0</v>
      </c>
      <c r="F21" s="26">
        <v>0</v>
      </c>
      <c r="G21" s="26">
        <v>0</v>
      </c>
      <c r="H21" s="26">
        <v>0</v>
      </c>
      <c r="I21" s="26">
        <v>0</v>
      </c>
      <c r="J21" s="26">
        <v>0</v>
      </c>
      <c r="K21" s="26">
        <v>0</v>
      </c>
      <c r="L21" s="26">
        <v>0</v>
      </c>
      <c r="M21" s="26">
        <v>29550</v>
      </c>
      <c r="N21" s="26">
        <v>46800</v>
      </c>
      <c r="O21" s="26">
        <v>43100</v>
      </c>
      <c r="P21" s="26">
        <v>22050</v>
      </c>
      <c r="Q21" s="26">
        <v>5225</v>
      </c>
      <c r="R21" s="26">
        <v>6250</v>
      </c>
      <c r="S21" s="26">
        <v>1000</v>
      </c>
      <c r="T21" s="26">
        <v>0</v>
      </c>
    </row>
    <row r="22" spans="1:25" x14ac:dyDescent="0.3">
      <c r="B22" s="49" t="s">
        <v>32</v>
      </c>
      <c r="C22" s="26">
        <v>0</v>
      </c>
      <c r="D22" s="26">
        <v>0</v>
      </c>
      <c r="E22" s="26">
        <v>0</v>
      </c>
      <c r="F22" s="26">
        <v>0</v>
      </c>
      <c r="G22" s="26">
        <v>0</v>
      </c>
      <c r="H22" s="26">
        <v>0</v>
      </c>
      <c r="I22" s="26">
        <v>0</v>
      </c>
      <c r="J22" s="26">
        <v>0</v>
      </c>
      <c r="K22" s="26">
        <v>0</v>
      </c>
      <c r="L22" s="26">
        <v>0</v>
      </c>
      <c r="M22" s="26">
        <v>0</v>
      </c>
      <c r="N22" s="26">
        <v>23700</v>
      </c>
      <c r="O22" s="26">
        <v>51900</v>
      </c>
      <c r="P22" s="26">
        <v>43300</v>
      </c>
      <c r="Q22" s="26">
        <v>28950</v>
      </c>
      <c r="R22" s="26">
        <v>5650</v>
      </c>
      <c r="S22" s="26">
        <v>6475</v>
      </c>
      <c r="T22" s="26">
        <v>725</v>
      </c>
    </row>
    <row r="23" spans="1:25" x14ac:dyDescent="0.3">
      <c r="B23" s="49" t="s">
        <v>31</v>
      </c>
      <c r="C23" s="26">
        <v>0</v>
      </c>
      <c r="D23" s="26">
        <v>0</v>
      </c>
      <c r="E23" s="26">
        <v>0</v>
      </c>
      <c r="F23" s="26">
        <v>0</v>
      </c>
      <c r="G23" s="26">
        <v>0</v>
      </c>
      <c r="H23" s="26">
        <v>0</v>
      </c>
      <c r="I23" s="26">
        <v>0</v>
      </c>
      <c r="J23" s="26">
        <v>0</v>
      </c>
      <c r="K23" s="26">
        <v>0</v>
      </c>
      <c r="L23" s="26">
        <v>0</v>
      </c>
      <c r="M23" s="26">
        <v>0</v>
      </c>
      <c r="N23" s="26">
        <v>0</v>
      </c>
      <c r="O23" s="26">
        <v>27650</v>
      </c>
      <c r="P23" s="26">
        <v>50800</v>
      </c>
      <c r="Q23" s="26">
        <v>44900</v>
      </c>
      <c r="R23" s="26">
        <v>21550</v>
      </c>
      <c r="S23" s="26">
        <v>5400</v>
      </c>
      <c r="T23" s="26">
        <v>6100</v>
      </c>
    </row>
    <row r="24" spans="1:25" x14ac:dyDescent="0.3">
      <c r="B24" s="49" t="s">
        <v>30</v>
      </c>
      <c r="C24" s="26">
        <v>0</v>
      </c>
      <c r="D24" s="26">
        <v>0</v>
      </c>
      <c r="E24" s="26">
        <v>0</v>
      </c>
      <c r="F24" s="26">
        <v>0</v>
      </c>
      <c r="G24" s="26">
        <v>0</v>
      </c>
      <c r="H24" s="26">
        <v>0</v>
      </c>
      <c r="I24" s="26">
        <v>0</v>
      </c>
      <c r="J24" s="26">
        <v>0</v>
      </c>
      <c r="K24" s="26">
        <v>0</v>
      </c>
      <c r="L24" s="26">
        <v>0</v>
      </c>
      <c r="M24" s="26">
        <v>0</v>
      </c>
      <c r="N24" s="26">
        <v>0</v>
      </c>
      <c r="O24" s="26">
        <v>0</v>
      </c>
      <c r="P24" s="26">
        <v>25050</v>
      </c>
      <c r="Q24" s="26">
        <v>40500</v>
      </c>
      <c r="R24" s="26">
        <v>50200</v>
      </c>
      <c r="S24" s="26">
        <v>21100</v>
      </c>
      <c r="T24" s="26">
        <v>6100</v>
      </c>
      <c r="U24" s="2"/>
    </row>
    <row r="25" spans="1:25" x14ac:dyDescent="0.3">
      <c r="B25" s="49" t="s">
        <v>29</v>
      </c>
      <c r="C25" s="26">
        <v>0</v>
      </c>
      <c r="D25" s="26">
        <v>0</v>
      </c>
      <c r="E25" s="26">
        <v>0</v>
      </c>
      <c r="F25" s="26">
        <v>0</v>
      </c>
      <c r="G25" s="26">
        <v>0</v>
      </c>
      <c r="H25" s="26">
        <v>0</v>
      </c>
      <c r="I25" s="26">
        <v>0</v>
      </c>
      <c r="J25" s="26">
        <v>0</v>
      </c>
      <c r="K25" s="26">
        <v>0</v>
      </c>
      <c r="L25" s="26">
        <v>0</v>
      </c>
      <c r="M25" s="26">
        <v>0</v>
      </c>
      <c r="N25" s="26">
        <v>0</v>
      </c>
      <c r="O25" s="26">
        <v>0</v>
      </c>
      <c r="P25" s="26">
        <v>0</v>
      </c>
      <c r="Q25" s="26">
        <v>29950</v>
      </c>
      <c r="R25" s="26">
        <v>43300</v>
      </c>
      <c r="S25" s="26">
        <v>59500</v>
      </c>
      <c r="T25" s="26">
        <v>27800</v>
      </c>
      <c r="U25" s="2"/>
      <c r="V25" s="2"/>
    </row>
    <row r="26" spans="1:25" x14ac:dyDescent="0.3">
      <c r="B26" s="49" t="s">
        <v>28</v>
      </c>
      <c r="C26" s="26">
        <v>0</v>
      </c>
      <c r="D26" s="26">
        <v>0</v>
      </c>
      <c r="E26" s="26">
        <v>0</v>
      </c>
      <c r="F26" s="26">
        <v>0</v>
      </c>
      <c r="G26" s="26">
        <v>0</v>
      </c>
      <c r="H26" s="26">
        <v>0</v>
      </c>
      <c r="I26" s="26">
        <v>0</v>
      </c>
      <c r="J26" s="26">
        <v>0</v>
      </c>
      <c r="K26" s="26">
        <v>0</v>
      </c>
      <c r="L26" s="26">
        <v>0</v>
      </c>
      <c r="M26" s="26">
        <v>0</v>
      </c>
      <c r="N26" s="26">
        <v>0</v>
      </c>
      <c r="O26" s="26">
        <v>0</v>
      </c>
      <c r="P26" s="26">
        <v>0</v>
      </c>
      <c r="Q26" s="26">
        <v>0</v>
      </c>
      <c r="R26" s="26">
        <v>27400</v>
      </c>
      <c r="S26" s="26">
        <v>48800</v>
      </c>
      <c r="T26" s="26">
        <v>43800</v>
      </c>
      <c r="U26" s="2"/>
      <c r="V26" s="2"/>
      <c r="W26" s="2"/>
    </row>
    <row r="27" spans="1:25" x14ac:dyDescent="0.3">
      <c r="B27" s="49" t="s">
        <v>27</v>
      </c>
      <c r="C27" s="26">
        <v>0</v>
      </c>
      <c r="D27" s="26">
        <v>0</v>
      </c>
      <c r="E27" s="26">
        <v>0</v>
      </c>
      <c r="F27" s="26">
        <v>0</v>
      </c>
      <c r="G27" s="26">
        <v>0</v>
      </c>
      <c r="H27" s="26">
        <v>0</v>
      </c>
      <c r="I27" s="26">
        <v>0</v>
      </c>
      <c r="J27" s="26">
        <v>0</v>
      </c>
      <c r="K27" s="26">
        <v>0</v>
      </c>
      <c r="L27" s="26">
        <v>0</v>
      </c>
      <c r="M27" s="26">
        <v>0</v>
      </c>
      <c r="N27" s="26">
        <v>0</v>
      </c>
      <c r="O27" s="26">
        <v>0</v>
      </c>
      <c r="P27" s="26">
        <v>0</v>
      </c>
      <c r="Q27" s="26">
        <v>0</v>
      </c>
      <c r="R27" s="26">
        <v>0</v>
      </c>
      <c r="S27" s="26">
        <v>21450</v>
      </c>
      <c r="T27" s="26">
        <v>51400</v>
      </c>
      <c r="U27" s="2"/>
      <c r="V27" s="2"/>
      <c r="W27" s="2"/>
      <c r="X27" s="2"/>
    </row>
    <row r="28" spans="1:25" x14ac:dyDescent="0.3">
      <c r="B28" s="49" t="s">
        <v>26</v>
      </c>
      <c r="C28" s="26">
        <v>0</v>
      </c>
      <c r="D28" s="26">
        <v>0</v>
      </c>
      <c r="E28" s="26">
        <v>0</v>
      </c>
      <c r="F28" s="26">
        <v>0</v>
      </c>
      <c r="G28" s="26">
        <v>0</v>
      </c>
      <c r="H28" s="26">
        <v>0</v>
      </c>
      <c r="I28" s="26">
        <v>0</v>
      </c>
      <c r="J28" s="26">
        <v>0</v>
      </c>
      <c r="K28" s="26">
        <v>0</v>
      </c>
      <c r="L28" s="26">
        <v>0</v>
      </c>
      <c r="M28" s="26">
        <v>0</v>
      </c>
      <c r="N28" s="26">
        <v>0</v>
      </c>
      <c r="O28" s="26">
        <v>0</v>
      </c>
      <c r="P28" s="26">
        <v>0</v>
      </c>
      <c r="Q28" s="26">
        <v>0</v>
      </c>
      <c r="R28" s="26">
        <v>0</v>
      </c>
      <c r="S28" s="26">
        <v>0</v>
      </c>
      <c r="T28" s="26">
        <v>25100</v>
      </c>
      <c r="U28" s="2"/>
      <c r="V28" s="2"/>
      <c r="W28" s="2"/>
      <c r="X28" s="2"/>
      <c r="Y28" s="2"/>
    </row>
    <row r="29" spans="1:25" x14ac:dyDescent="0.3">
      <c r="E29" s="2"/>
      <c r="F29" s="2"/>
      <c r="G29" s="2"/>
      <c r="R29" s="2"/>
    </row>
    <row r="30" spans="1:25" x14ac:dyDescent="0.3">
      <c r="B30" t="s">
        <v>25</v>
      </c>
      <c r="E30" s="2"/>
      <c r="F30" s="2"/>
      <c r="G30" s="2"/>
      <c r="R30" s="2"/>
    </row>
    <row r="31" spans="1:25" x14ac:dyDescent="0.3">
      <c r="E31" s="2"/>
      <c r="F31" s="2"/>
      <c r="G31" s="2"/>
      <c r="R31" s="2"/>
    </row>
    <row r="32" spans="1:25" x14ac:dyDescent="0.3">
      <c r="A32" t="s">
        <v>2</v>
      </c>
      <c r="B32" t="s">
        <v>24</v>
      </c>
      <c r="P32" s="14" t="s">
        <v>9</v>
      </c>
    </row>
    <row r="33" spans="2:16" x14ac:dyDescent="0.3">
      <c r="B33" s="11"/>
    </row>
    <row r="34" spans="2:16" x14ac:dyDescent="0.3">
      <c r="B34" s="11" t="s">
        <v>44</v>
      </c>
      <c r="C34" s="26" t="s">
        <v>43</v>
      </c>
      <c r="D34" s="26" t="s">
        <v>42</v>
      </c>
      <c r="E34" s="26" t="s">
        <v>41</v>
      </c>
      <c r="F34" s="26" t="s">
        <v>40</v>
      </c>
      <c r="G34" s="26" t="s">
        <v>39</v>
      </c>
      <c r="H34" s="26" t="s">
        <v>38</v>
      </c>
      <c r="I34" s="26" t="s">
        <v>37</v>
      </c>
      <c r="J34" s="26" t="s">
        <v>36</v>
      </c>
      <c r="K34" s="26" t="s">
        <v>35</v>
      </c>
      <c r="L34" s="26" t="s">
        <v>34</v>
      </c>
      <c r="M34" s="26" t="s">
        <v>33</v>
      </c>
      <c r="N34" s="26" t="s">
        <v>32</v>
      </c>
      <c r="P34" t="s">
        <v>79</v>
      </c>
    </row>
    <row r="35" spans="2:16" x14ac:dyDescent="0.3">
      <c r="B35" s="49" t="str">
        <f t="shared" ref="B35:B46" si="0">B11</f>
        <v>Jul 20X1</v>
      </c>
      <c r="C35" s="26">
        <f>SUM($C11:C11)</f>
        <v>22350</v>
      </c>
      <c r="D35" s="26">
        <f>SUM($C11:D11)</f>
        <v>81550</v>
      </c>
      <c r="E35" s="26">
        <f>SUM($C11:E11)</f>
        <v>133450</v>
      </c>
      <c r="F35" s="26">
        <f>SUM($C11:F11)</f>
        <v>158250</v>
      </c>
      <c r="G35" s="26">
        <f>SUM($C11:G11)</f>
        <v>164125</v>
      </c>
      <c r="H35" s="26">
        <f>SUM($C11:H11)</f>
        <v>169425</v>
      </c>
      <c r="I35" s="26">
        <f>SUM($C11:I11)</f>
        <v>169725</v>
      </c>
      <c r="J35" s="26">
        <f>SUM($C11:J11)</f>
        <v>170300</v>
      </c>
      <c r="K35" s="26">
        <f>SUM($C11:K11)</f>
        <v>170300</v>
      </c>
      <c r="L35" s="26">
        <f>SUM($C11:L11)</f>
        <v>170300</v>
      </c>
      <c r="M35" s="26">
        <f>SUM($C11:M11)</f>
        <v>170300</v>
      </c>
      <c r="N35" s="26">
        <f>SUM($C11:N11)</f>
        <v>170300</v>
      </c>
      <c r="O35" s="2"/>
    </row>
    <row r="36" spans="2:16" x14ac:dyDescent="0.3">
      <c r="B36" s="49" t="str">
        <f t="shared" si="0"/>
        <v>Aug 20X1</v>
      </c>
      <c r="C36" s="26">
        <f>SUM($C12:C12)</f>
        <v>0</v>
      </c>
      <c r="D36" s="26">
        <f>SUM($C12:D12)</f>
        <v>29600</v>
      </c>
      <c r="E36" s="26">
        <f>SUM($C12:E12)</f>
        <v>80300</v>
      </c>
      <c r="F36" s="26">
        <f>SUM($C12:F12)</f>
        <v>121600</v>
      </c>
      <c r="G36" s="26">
        <f>SUM($C12:G12)</f>
        <v>149750</v>
      </c>
      <c r="H36" s="26">
        <f>SUM($C12:H12)</f>
        <v>155525</v>
      </c>
      <c r="I36" s="26">
        <f>SUM($C12:I12)</f>
        <v>158600</v>
      </c>
      <c r="J36" s="26">
        <f>SUM($C12:J12)</f>
        <v>162575</v>
      </c>
      <c r="K36" s="26">
        <f>SUM($C12:K12)</f>
        <v>162575</v>
      </c>
      <c r="L36" s="26">
        <f>SUM($C12:L12)</f>
        <v>162575</v>
      </c>
      <c r="M36" s="26">
        <f>SUM($C12:M12)</f>
        <v>162575</v>
      </c>
      <c r="N36" s="26">
        <f>SUM($C12:N12)</f>
        <v>162575</v>
      </c>
      <c r="O36" s="2"/>
    </row>
    <row r="37" spans="2:16" x14ac:dyDescent="0.3">
      <c r="B37" s="49" t="str">
        <f t="shared" si="0"/>
        <v>Sep 20X1</v>
      </c>
      <c r="C37" s="26">
        <f>SUM($C13:C13)</f>
        <v>0</v>
      </c>
      <c r="D37" s="26">
        <f>SUM($C13:D13)</f>
        <v>0</v>
      </c>
      <c r="E37" s="26">
        <f>SUM($C13:E13)</f>
        <v>23550</v>
      </c>
      <c r="F37" s="26">
        <f>SUM($C13:F13)</f>
        <v>81850</v>
      </c>
      <c r="G37" s="26">
        <f>SUM($C13:G13)</f>
        <v>130450</v>
      </c>
      <c r="H37" s="26">
        <f>SUM($C13:H13)</f>
        <v>151800</v>
      </c>
      <c r="I37" s="26">
        <f>SUM($C13:I13)</f>
        <v>158075</v>
      </c>
      <c r="J37" s="26">
        <f>SUM($C13:J13)</f>
        <v>165400</v>
      </c>
      <c r="K37" s="26">
        <f>SUM($C13:K13)</f>
        <v>165700</v>
      </c>
      <c r="L37" s="26">
        <f>SUM($C13:L13)</f>
        <v>165775</v>
      </c>
      <c r="M37" s="26">
        <f>SUM($C13:M13)</f>
        <v>165775</v>
      </c>
      <c r="N37" s="26">
        <f>SUM($C13:N13)</f>
        <v>165775</v>
      </c>
      <c r="O37" s="2"/>
    </row>
    <row r="38" spans="2:16" x14ac:dyDescent="0.3">
      <c r="B38" s="49" t="str">
        <f t="shared" si="0"/>
        <v>Oct 20X1</v>
      </c>
      <c r="C38" s="26">
        <f>SUM($C14:C14)</f>
        <v>0</v>
      </c>
      <c r="D38" s="26">
        <f>SUM($C14:D14)</f>
        <v>0</v>
      </c>
      <c r="E38" s="26">
        <f>SUM($C14:E14)</f>
        <v>0</v>
      </c>
      <c r="F38" s="26">
        <f>SUM($C14:F14)</f>
        <v>28000</v>
      </c>
      <c r="G38" s="26">
        <f>SUM($C14:G14)</f>
        <v>68800</v>
      </c>
      <c r="H38" s="26">
        <f>SUM($C14:H14)</f>
        <v>117600</v>
      </c>
      <c r="I38" s="26">
        <f>SUM($C14:I14)</f>
        <v>133250</v>
      </c>
      <c r="J38" s="26">
        <f>SUM($C14:J14)</f>
        <v>148975</v>
      </c>
      <c r="K38" s="26">
        <f>SUM($C14:K14)</f>
        <v>154875</v>
      </c>
      <c r="L38" s="26">
        <f>SUM($C14:L14)</f>
        <v>155675</v>
      </c>
      <c r="M38" s="26">
        <f>SUM($C14:M14)</f>
        <v>155675</v>
      </c>
      <c r="N38" s="26">
        <f>SUM($C14:N14)</f>
        <v>155675</v>
      </c>
      <c r="O38" s="2"/>
    </row>
    <row r="39" spans="2:16" x14ac:dyDescent="0.3">
      <c r="B39" s="49" t="str">
        <f t="shared" si="0"/>
        <v>Nov 20X1</v>
      </c>
      <c r="C39" s="26">
        <f>SUM($C15:C15)</f>
        <v>0</v>
      </c>
      <c r="D39" s="26">
        <f>SUM($C15:D15)</f>
        <v>0</v>
      </c>
      <c r="E39" s="26">
        <f>SUM($C15:E15)</f>
        <v>0</v>
      </c>
      <c r="F39" s="26">
        <f>SUM($C15:F15)</f>
        <v>0</v>
      </c>
      <c r="G39" s="26">
        <f>SUM($C15:G15)</f>
        <v>28100</v>
      </c>
      <c r="H39" s="26">
        <f>SUM($C15:H15)</f>
        <v>70900</v>
      </c>
      <c r="I39" s="26">
        <f>SUM($C15:I15)</f>
        <v>109900</v>
      </c>
      <c r="J39" s="26">
        <f>SUM($C15:J15)</f>
        <v>150450</v>
      </c>
      <c r="K39" s="26">
        <f>SUM($C15:K15)</f>
        <v>156150</v>
      </c>
      <c r="L39" s="26">
        <f>SUM($C15:L15)</f>
        <v>162300</v>
      </c>
      <c r="M39" s="26">
        <f>SUM($C15:M15)</f>
        <v>163000</v>
      </c>
      <c r="N39" s="26">
        <f>SUM($C15:N15)</f>
        <v>163075</v>
      </c>
      <c r="O39" s="2"/>
    </row>
    <row r="40" spans="2:16" x14ac:dyDescent="0.3">
      <c r="B40" s="49" t="str">
        <f t="shared" si="0"/>
        <v>Dec 20X1</v>
      </c>
      <c r="C40" s="26">
        <f>SUM($C16:C16)</f>
        <v>0</v>
      </c>
      <c r="D40" s="26">
        <f>SUM($C16:D16)</f>
        <v>0</v>
      </c>
      <c r="E40" s="26">
        <f>SUM($C16:E16)</f>
        <v>0</v>
      </c>
      <c r="F40" s="26">
        <f>SUM($C16:F16)</f>
        <v>0</v>
      </c>
      <c r="G40" s="26">
        <f>SUM($C16:G16)</f>
        <v>0</v>
      </c>
      <c r="H40" s="26">
        <f>SUM($C16:H16)</f>
        <v>24850</v>
      </c>
      <c r="I40" s="26">
        <f>SUM($C16:I16)</f>
        <v>50250</v>
      </c>
      <c r="J40" s="26">
        <f>SUM($C16:J16)</f>
        <v>107050</v>
      </c>
      <c r="K40" s="26">
        <f>SUM($C16:K16)</f>
        <v>128400</v>
      </c>
      <c r="L40" s="26">
        <f>SUM($C16:L16)</f>
        <v>134575</v>
      </c>
      <c r="M40" s="26">
        <f>SUM($C16:M16)</f>
        <v>141225</v>
      </c>
      <c r="N40" s="26">
        <f>SUM($C16:N16)</f>
        <v>141525</v>
      </c>
      <c r="O40" s="2"/>
    </row>
    <row r="41" spans="2:16" x14ac:dyDescent="0.3">
      <c r="B41" s="49" t="str">
        <f t="shared" si="0"/>
        <v>Jan 20X2</v>
      </c>
      <c r="C41" s="26">
        <f>SUM($C17:C17)</f>
        <v>0</v>
      </c>
      <c r="D41" s="26">
        <f>SUM($C17:D17)</f>
        <v>0</v>
      </c>
      <c r="E41" s="26">
        <f>SUM($C17:E17)</f>
        <v>0</v>
      </c>
      <c r="F41" s="26">
        <f>SUM($C17:F17)</f>
        <v>0</v>
      </c>
      <c r="G41" s="26">
        <f>SUM($C17:G17)</f>
        <v>0</v>
      </c>
      <c r="H41" s="26">
        <f>SUM($C17:H17)</f>
        <v>0</v>
      </c>
      <c r="I41" s="26">
        <f>SUM($C17:I17)</f>
        <v>13450</v>
      </c>
      <c r="J41" s="26">
        <f>SUM($C17:J17)</f>
        <v>82250</v>
      </c>
      <c r="K41" s="26">
        <f>SUM($C17:K17)</f>
        <v>133050</v>
      </c>
      <c r="L41" s="26">
        <f>SUM($C17:L17)</f>
        <v>162000</v>
      </c>
      <c r="M41" s="26">
        <f>SUM($C17:M17)</f>
        <v>168225</v>
      </c>
      <c r="N41" s="26">
        <f>SUM($C17:N17)</f>
        <v>173725</v>
      </c>
      <c r="O41" s="2"/>
    </row>
    <row r="42" spans="2:16" x14ac:dyDescent="0.3">
      <c r="B42" s="49" t="str">
        <f t="shared" si="0"/>
        <v>Feb 20X2</v>
      </c>
      <c r="C42" s="26">
        <f>SUM($C18:C18)</f>
        <v>0</v>
      </c>
      <c r="D42" s="26">
        <f>SUM($C18:D18)</f>
        <v>0</v>
      </c>
      <c r="E42" s="26">
        <f>SUM($C18:E18)</f>
        <v>0</v>
      </c>
      <c r="F42" s="26">
        <f>SUM($C18:F18)</f>
        <v>0</v>
      </c>
      <c r="G42" s="26">
        <f>SUM($C18:G18)</f>
        <v>0</v>
      </c>
      <c r="H42" s="26">
        <f>SUM($C18:H18)</f>
        <v>0</v>
      </c>
      <c r="I42" s="26">
        <f>SUM($C18:I18)</f>
        <v>0</v>
      </c>
      <c r="J42" s="26">
        <f>SUM($C18:J18)</f>
        <v>21250</v>
      </c>
      <c r="K42" s="26">
        <f>SUM($C18:K18)</f>
        <v>67850</v>
      </c>
      <c r="L42" s="26">
        <f>SUM($C18:L18)</f>
        <v>110550</v>
      </c>
      <c r="M42" s="26">
        <f>SUM($C18:M18)</f>
        <v>138200</v>
      </c>
      <c r="N42" s="26">
        <f>SUM($C18:N18)</f>
        <v>143500</v>
      </c>
      <c r="O42" s="2"/>
    </row>
    <row r="43" spans="2:16" x14ac:dyDescent="0.3">
      <c r="B43" s="49" t="str">
        <f t="shared" si="0"/>
        <v>Mar 20X2</v>
      </c>
      <c r="C43" s="26">
        <f>SUM($C19:C19)</f>
        <v>0</v>
      </c>
      <c r="D43" s="26">
        <f>SUM($C19:D19)</f>
        <v>0</v>
      </c>
      <c r="E43" s="26">
        <f>SUM($C19:E19)</f>
        <v>0</v>
      </c>
      <c r="F43" s="26">
        <f>SUM($C19:F19)</f>
        <v>0</v>
      </c>
      <c r="G43" s="26">
        <f>SUM($C19:G19)</f>
        <v>0</v>
      </c>
      <c r="H43" s="26">
        <f>SUM($C19:H19)</f>
        <v>0</v>
      </c>
      <c r="I43" s="26">
        <f>SUM($C19:I19)</f>
        <v>0</v>
      </c>
      <c r="J43" s="26">
        <f>SUM($C19:J19)</f>
        <v>0</v>
      </c>
      <c r="K43" s="26">
        <f>SUM($C19:K19)</f>
        <v>24200</v>
      </c>
      <c r="L43" s="26">
        <f>SUM($C19:L19)</f>
        <v>80900</v>
      </c>
      <c r="M43" s="26">
        <f>SUM($C19:M19)</f>
        <v>132000</v>
      </c>
      <c r="N43" s="26">
        <f>SUM($C19:N19)</f>
        <v>161400</v>
      </c>
      <c r="O43" s="2"/>
    </row>
    <row r="44" spans="2:16" x14ac:dyDescent="0.3">
      <c r="B44" s="49" t="str">
        <f t="shared" si="0"/>
        <v>Apr 20X2</v>
      </c>
      <c r="C44" s="26">
        <f>SUM($C20:C20)</f>
        <v>0</v>
      </c>
      <c r="D44" s="26">
        <f>SUM($C20:D20)</f>
        <v>0</v>
      </c>
      <c r="E44" s="26">
        <f>SUM($C20:E20)</f>
        <v>0</v>
      </c>
      <c r="F44" s="26">
        <f>SUM($C20:F20)</f>
        <v>0</v>
      </c>
      <c r="G44" s="26">
        <f>SUM($C20:G20)</f>
        <v>0</v>
      </c>
      <c r="H44" s="26">
        <f>SUM($C20:H20)</f>
        <v>0</v>
      </c>
      <c r="I44" s="26">
        <f>SUM($C20:I20)</f>
        <v>0</v>
      </c>
      <c r="J44" s="26">
        <f>SUM($C20:J20)</f>
        <v>0</v>
      </c>
      <c r="K44" s="26">
        <f>SUM($C20:K20)</f>
        <v>0</v>
      </c>
      <c r="L44" s="26">
        <f>SUM($C20:L20)</f>
        <v>21500</v>
      </c>
      <c r="M44" s="26">
        <f>SUM($C20:M20)</f>
        <v>79200</v>
      </c>
      <c r="N44" s="26">
        <f>SUM($C20:N20)</f>
        <v>119900</v>
      </c>
      <c r="O44" s="2"/>
    </row>
    <row r="45" spans="2:16" x14ac:dyDescent="0.3">
      <c r="B45" s="49" t="str">
        <f t="shared" si="0"/>
        <v>May 20X2</v>
      </c>
      <c r="C45" s="26">
        <f>SUM($C21:C21)</f>
        <v>0</v>
      </c>
      <c r="D45" s="26">
        <f>SUM($C21:D21)</f>
        <v>0</v>
      </c>
      <c r="E45" s="26">
        <f>SUM($C21:E21)</f>
        <v>0</v>
      </c>
      <c r="F45" s="26">
        <f>SUM($C21:F21)</f>
        <v>0</v>
      </c>
      <c r="G45" s="26">
        <f>SUM($C21:G21)</f>
        <v>0</v>
      </c>
      <c r="H45" s="26">
        <f>SUM($C21:H21)</f>
        <v>0</v>
      </c>
      <c r="I45" s="26">
        <f>SUM($C21:I21)</f>
        <v>0</v>
      </c>
      <c r="J45" s="26">
        <f>SUM($C21:J21)</f>
        <v>0</v>
      </c>
      <c r="K45" s="26">
        <f>SUM($C21:K21)</f>
        <v>0</v>
      </c>
      <c r="L45" s="26">
        <f>SUM($C21:L21)</f>
        <v>0</v>
      </c>
      <c r="M45" s="26">
        <f>SUM($C21:M21)</f>
        <v>29550</v>
      </c>
      <c r="N45" s="26">
        <f>SUM($C21:N21)</f>
        <v>76350</v>
      </c>
      <c r="O45" s="2"/>
    </row>
    <row r="46" spans="2:16" x14ac:dyDescent="0.3">
      <c r="B46" s="49" t="str">
        <f t="shared" si="0"/>
        <v>Jun 20X2</v>
      </c>
      <c r="C46" s="26">
        <f>SUM($C22:C22)</f>
        <v>0</v>
      </c>
      <c r="D46" s="26">
        <f>SUM($C22:D22)</f>
        <v>0</v>
      </c>
      <c r="E46" s="26">
        <f>SUM($C22:E22)</f>
        <v>0</v>
      </c>
      <c r="F46" s="26">
        <f>SUM($C22:F22)</f>
        <v>0</v>
      </c>
      <c r="G46" s="26">
        <f>SUM($C22:G22)</f>
        <v>0</v>
      </c>
      <c r="H46" s="26">
        <f>SUM($C22:H22)</f>
        <v>0</v>
      </c>
      <c r="I46" s="26">
        <f>SUM($C22:I22)</f>
        <v>0</v>
      </c>
      <c r="J46" s="26">
        <f>SUM($C22:J22)</f>
        <v>0</v>
      </c>
      <c r="K46" s="26">
        <f>SUM($C22:K22)</f>
        <v>0</v>
      </c>
      <c r="L46" s="26">
        <f>SUM($C22:L22)</f>
        <v>0</v>
      </c>
      <c r="M46" s="26">
        <f>SUM($C22:M22)</f>
        <v>0</v>
      </c>
      <c r="N46" s="26">
        <f>SUM($C22:N22)</f>
        <v>23700</v>
      </c>
      <c r="O46" s="2"/>
    </row>
    <row r="47" spans="2:16" x14ac:dyDescent="0.3">
      <c r="B47" s="11"/>
    </row>
    <row r="48" spans="2:16" x14ac:dyDescent="0.3">
      <c r="B48" s="11" t="s">
        <v>44</v>
      </c>
      <c r="C48" s="33" t="s">
        <v>43</v>
      </c>
      <c r="D48" s="33" t="s">
        <v>42</v>
      </c>
      <c r="E48" s="33" t="s">
        <v>41</v>
      </c>
      <c r="F48" s="33" t="s">
        <v>40</v>
      </c>
      <c r="G48" s="33" t="s">
        <v>39</v>
      </c>
      <c r="H48" s="33" t="s">
        <v>38</v>
      </c>
      <c r="I48" s="33" t="s">
        <v>37</v>
      </c>
      <c r="J48" s="33" t="s">
        <v>36</v>
      </c>
      <c r="K48" s="33" t="s">
        <v>35</v>
      </c>
      <c r="L48" s="33" t="s">
        <v>34</v>
      </c>
      <c r="M48" s="33" t="s">
        <v>33</v>
      </c>
      <c r="N48" s="33" t="s">
        <v>32</v>
      </c>
    </row>
    <row r="49" spans="1:16" x14ac:dyDescent="0.3">
      <c r="B49" s="49" t="str">
        <f t="shared" ref="B49:B60" si="1">B35</f>
        <v>Jul 20X1</v>
      </c>
      <c r="C49" s="36"/>
      <c r="D49" s="36">
        <f t="shared" ref="D49:N49" si="2">D35/C35</f>
        <v>3.6487695749440716</v>
      </c>
      <c r="E49" s="36">
        <f t="shared" si="2"/>
        <v>1.6364193746167994</v>
      </c>
      <c r="F49" s="36">
        <f t="shared" si="2"/>
        <v>1.1858373922817536</v>
      </c>
      <c r="G49" s="36">
        <f t="shared" si="2"/>
        <v>1.0371248025276461</v>
      </c>
      <c r="H49" s="36">
        <f t="shared" si="2"/>
        <v>1.0322924600152323</v>
      </c>
      <c r="I49" s="36">
        <f t="shared" si="2"/>
        <v>1.0017706949977867</v>
      </c>
      <c r="J49" s="36">
        <f t="shared" si="2"/>
        <v>1.0033878332596848</v>
      </c>
      <c r="K49" s="36">
        <f t="shared" si="2"/>
        <v>1</v>
      </c>
      <c r="L49" s="36">
        <f t="shared" si="2"/>
        <v>1</v>
      </c>
      <c r="M49" s="36">
        <f t="shared" si="2"/>
        <v>1</v>
      </c>
      <c r="N49" s="36">
        <f t="shared" si="2"/>
        <v>1</v>
      </c>
      <c r="P49" t="s">
        <v>78</v>
      </c>
    </row>
    <row r="50" spans="1:16" x14ac:dyDescent="0.3">
      <c r="B50" s="49" t="str">
        <f t="shared" si="1"/>
        <v>Aug 20X1</v>
      </c>
      <c r="C50" s="36"/>
      <c r="D50" s="36"/>
      <c r="E50" s="36">
        <f t="shared" ref="E50:N50" si="3">E36/D36</f>
        <v>2.7128378378378377</v>
      </c>
      <c r="F50" s="36">
        <f t="shared" si="3"/>
        <v>1.514321295143213</v>
      </c>
      <c r="G50" s="36">
        <f t="shared" si="3"/>
        <v>1.2314967105263157</v>
      </c>
      <c r="H50" s="36">
        <f t="shared" si="3"/>
        <v>1.0385642737896494</v>
      </c>
      <c r="I50" s="36">
        <f t="shared" si="3"/>
        <v>1.0197717408776723</v>
      </c>
      <c r="J50" s="36">
        <f t="shared" si="3"/>
        <v>1.025063051702396</v>
      </c>
      <c r="K50" s="36">
        <f t="shared" si="3"/>
        <v>1</v>
      </c>
      <c r="L50" s="36">
        <f t="shared" si="3"/>
        <v>1</v>
      </c>
      <c r="M50" s="36">
        <f t="shared" si="3"/>
        <v>1</v>
      </c>
      <c r="N50" s="36">
        <f t="shared" si="3"/>
        <v>1</v>
      </c>
    </row>
    <row r="51" spans="1:16" x14ac:dyDescent="0.3">
      <c r="B51" s="49" t="str">
        <f t="shared" si="1"/>
        <v>Sep 20X1</v>
      </c>
      <c r="C51" s="36"/>
      <c r="D51" s="36"/>
      <c r="E51" s="36"/>
      <c r="F51" s="36">
        <f t="shared" ref="F51:N51" si="4">F37/E37</f>
        <v>3.4755838641188959</v>
      </c>
      <c r="G51" s="36">
        <f t="shared" si="4"/>
        <v>1.5937690897984118</v>
      </c>
      <c r="H51" s="36">
        <f t="shared" si="4"/>
        <v>1.1636642391720966</v>
      </c>
      <c r="I51" s="36">
        <f t="shared" si="4"/>
        <v>1.0413372859025032</v>
      </c>
      <c r="J51" s="36">
        <f t="shared" si="4"/>
        <v>1.046338763245295</v>
      </c>
      <c r="K51" s="36">
        <f t="shared" si="4"/>
        <v>1.0018137847642079</v>
      </c>
      <c r="L51" s="36">
        <f t="shared" si="4"/>
        <v>1.0004526252263126</v>
      </c>
      <c r="M51" s="36">
        <f t="shared" si="4"/>
        <v>1</v>
      </c>
      <c r="N51" s="36">
        <f t="shared" si="4"/>
        <v>1</v>
      </c>
    </row>
    <row r="52" spans="1:16" x14ac:dyDescent="0.3">
      <c r="B52" s="49" t="str">
        <f t="shared" si="1"/>
        <v>Oct 20X1</v>
      </c>
      <c r="C52" s="36"/>
      <c r="D52" s="36"/>
      <c r="E52" s="36"/>
      <c r="F52" s="36"/>
      <c r="G52" s="36">
        <f t="shared" ref="G52:N52" si="5">G38/F38</f>
        <v>2.4571428571428573</v>
      </c>
      <c r="H52" s="36">
        <f t="shared" si="5"/>
        <v>1.7093023255813953</v>
      </c>
      <c r="I52" s="36">
        <f t="shared" si="5"/>
        <v>1.1330782312925169</v>
      </c>
      <c r="J52" s="36">
        <f t="shared" si="5"/>
        <v>1.1180112570356473</v>
      </c>
      <c r="K52" s="36">
        <f t="shared" si="5"/>
        <v>1.0396039603960396</v>
      </c>
      <c r="L52" s="36">
        <f t="shared" si="5"/>
        <v>1.0051654560129137</v>
      </c>
      <c r="M52" s="36">
        <f t="shared" si="5"/>
        <v>1</v>
      </c>
      <c r="N52" s="36">
        <f t="shared" si="5"/>
        <v>1</v>
      </c>
    </row>
    <row r="53" spans="1:16" x14ac:dyDescent="0.3">
      <c r="B53" s="49" t="str">
        <f t="shared" si="1"/>
        <v>Nov 20X1</v>
      </c>
      <c r="C53" s="36"/>
      <c r="D53" s="36"/>
      <c r="E53" s="36"/>
      <c r="F53" s="36"/>
      <c r="G53" s="36"/>
      <c r="H53" s="36">
        <f t="shared" ref="H53:N53" si="6">H39/G39</f>
        <v>2.5231316725978647</v>
      </c>
      <c r="I53" s="36">
        <f t="shared" si="6"/>
        <v>1.5500705218617772</v>
      </c>
      <c r="J53" s="36">
        <f t="shared" si="6"/>
        <v>1.3689717925386715</v>
      </c>
      <c r="K53" s="36">
        <f t="shared" si="6"/>
        <v>1.0378863409770689</v>
      </c>
      <c r="L53" s="36">
        <f t="shared" si="6"/>
        <v>1.0393852065321807</v>
      </c>
      <c r="M53" s="36">
        <f t="shared" si="6"/>
        <v>1.0043130006161429</v>
      </c>
      <c r="N53" s="36">
        <f t="shared" si="6"/>
        <v>1.0004601226993866</v>
      </c>
    </row>
    <row r="54" spans="1:16" x14ac:dyDescent="0.3">
      <c r="B54" s="49" t="str">
        <f t="shared" si="1"/>
        <v>Dec 20X1</v>
      </c>
      <c r="C54" s="36"/>
      <c r="D54" s="36"/>
      <c r="E54" s="36"/>
      <c r="F54" s="36"/>
      <c r="G54" s="36"/>
      <c r="H54" s="36"/>
      <c r="I54" s="36">
        <f t="shared" ref="I54:N54" si="7">I40/H40</f>
        <v>2.0221327967806841</v>
      </c>
      <c r="J54" s="36">
        <f t="shared" si="7"/>
        <v>2.1303482587064675</v>
      </c>
      <c r="K54" s="36">
        <f t="shared" si="7"/>
        <v>1.1994395142456795</v>
      </c>
      <c r="L54" s="36">
        <f t="shared" si="7"/>
        <v>1.0480919003115265</v>
      </c>
      <c r="M54" s="36">
        <f t="shared" si="7"/>
        <v>1.0494148244473342</v>
      </c>
      <c r="N54" s="36">
        <f t="shared" si="7"/>
        <v>1.0021242697822623</v>
      </c>
    </row>
    <row r="55" spans="1:16" x14ac:dyDescent="0.3">
      <c r="B55" s="49" t="str">
        <f t="shared" si="1"/>
        <v>Jan 20X2</v>
      </c>
      <c r="C55" s="36"/>
      <c r="D55" s="36"/>
      <c r="E55" s="36"/>
      <c r="F55" s="36"/>
      <c r="G55" s="36"/>
      <c r="H55" s="36"/>
      <c r="I55" s="36"/>
      <c r="J55" s="36">
        <f>J41/I41</f>
        <v>6.1152416356877319</v>
      </c>
      <c r="K55" s="36">
        <f>K41/J41</f>
        <v>1.6176291793313069</v>
      </c>
      <c r="L55" s="36">
        <f>L41/K41</f>
        <v>1.217587373167982</v>
      </c>
      <c r="M55" s="36">
        <f>M41/L41</f>
        <v>1.0384259259259259</v>
      </c>
      <c r="N55" s="36">
        <f>N41/M41</f>
        <v>1.0326943082181601</v>
      </c>
    </row>
    <row r="56" spans="1:16" x14ac:dyDescent="0.3">
      <c r="B56" s="49" t="str">
        <f t="shared" si="1"/>
        <v>Feb 20X2</v>
      </c>
      <c r="C56" s="36"/>
      <c r="D56" s="36"/>
      <c r="E56" s="36"/>
      <c r="F56" s="36"/>
      <c r="G56" s="36"/>
      <c r="H56" s="36"/>
      <c r="I56" s="36"/>
      <c r="J56" s="36"/>
      <c r="K56" s="36">
        <f>K42/J42</f>
        <v>3.1929411764705882</v>
      </c>
      <c r="L56" s="36">
        <f>L42/K42</f>
        <v>1.6293294030950627</v>
      </c>
      <c r="M56" s="36">
        <f>M42/L42</f>
        <v>1.2501130710085935</v>
      </c>
      <c r="N56" s="36">
        <f>N42/M42</f>
        <v>1.0383502170767005</v>
      </c>
    </row>
    <row r="57" spans="1:16" x14ac:dyDescent="0.3">
      <c r="B57" s="49" t="str">
        <f t="shared" si="1"/>
        <v>Mar 20X2</v>
      </c>
      <c r="C57" s="36"/>
      <c r="D57" s="36"/>
      <c r="E57" s="36"/>
      <c r="F57" s="36"/>
      <c r="G57" s="36"/>
      <c r="H57" s="36"/>
      <c r="I57" s="36"/>
      <c r="J57" s="36"/>
      <c r="K57" s="36"/>
      <c r="L57" s="36">
        <f>L43/K43</f>
        <v>3.3429752066115701</v>
      </c>
      <c r="M57" s="36">
        <f>M43/L43</f>
        <v>1.6316440049443757</v>
      </c>
      <c r="N57" s="36">
        <f>N43/M43</f>
        <v>1.2227272727272727</v>
      </c>
    </row>
    <row r="58" spans="1:16" x14ac:dyDescent="0.3">
      <c r="B58" s="49" t="str">
        <f t="shared" si="1"/>
        <v>Apr 20X2</v>
      </c>
      <c r="C58" s="36"/>
      <c r="D58" s="36"/>
      <c r="E58" s="36"/>
      <c r="F58" s="36"/>
      <c r="G58" s="36"/>
      <c r="H58" s="36"/>
      <c r="I58" s="36"/>
      <c r="J58" s="36"/>
      <c r="K58" s="36"/>
      <c r="L58" s="36"/>
      <c r="M58" s="36">
        <f>M44/L44</f>
        <v>3.6837209302325582</v>
      </c>
      <c r="N58" s="36">
        <f>N44/M44</f>
        <v>1.5138888888888888</v>
      </c>
    </row>
    <row r="59" spans="1:16" x14ac:dyDescent="0.3">
      <c r="B59" s="49" t="str">
        <f t="shared" si="1"/>
        <v>May 20X2</v>
      </c>
      <c r="C59" s="36"/>
      <c r="D59" s="36"/>
      <c r="E59" s="36"/>
      <c r="F59" s="36"/>
      <c r="G59" s="36"/>
      <c r="H59" s="36"/>
      <c r="I59" s="36"/>
      <c r="J59" s="36"/>
      <c r="K59" s="36"/>
      <c r="L59" s="36"/>
      <c r="M59" s="36"/>
      <c r="N59" s="36">
        <f>N45/M45</f>
        <v>2.5837563451776648</v>
      </c>
    </row>
    <row r="60" spans="1:16" x14ac:dyDescent="0.3">
      <c r="B60" s="49" t="str">
        <f t="shared" si="1"/>
        <v>Jun 20X2</v>
      </c>
      <c r="C60" s="36"/>
      <c r="D60" s="36"/>
      <c r="E60" s="36"/>
      <c r="F60" s="36"/>
      <c r="G60" s="36"/>
      <c r="H60" s="36"/>
      <c r="I60" s="36"/>
      <c r="J60" s="36"/>
      <c r="K60" s="36"/>
      <c r="L60" s="36"/>
      <c r="M60" s="36"/>
      <c r="N60" s="36"/>
    </row>
    <row r="61" spans="1:16" x14ac:dyDescent="0.3">
      <c r="B61" s="34"/>
      <c r="C61" s="36"/>
      <c r="D61" s="36"/>
      <c r="E61" s="36"/>
      <c r="F61" s="36"/>
      <c r="G61" s="36"/>
      <c r="H61" s="36"/>
      <c r="I61" s="36"/>
      <c r="J61" s="36"/>
      <c r="K61" s="36"/>
      <c r="L61" s="36"/>
      <c r="M61" s="36"/>
      <c r="N61" s="36"/>
    </row>
    <row r="62" spans="1:16" x14ac:dyDescent="0.3">
      <c r="C62" s="11" t="s">
        <v>59</v>
      </c>
      <c r="D62" s="11" t="s">
        <v>59</v>
      </c>
      <c r="E62" s="11" t="s">
        <v>59</v>
      </c>
      <c r="F62" s="11" t="s">
        <v>59</v>
      </c>
      <c r="G62" s="11" t="s">
        <v>59</v>
      </c>
      <c r="H62" s="11" t="s">
        <v>59</v>
      </c>
      <c r="I62" s="11" t="s">
        <v>59</v>
      </c>
      <c r="J62" s="11" t="s">
        <v>59</v>
      </c>
      <c r="K62" s="11" t="s">
        <v>59</v>
      </c>
      <c r="L62" s="11" t="s">
        <v>59</v>
      </c>
      <c r="M62" s="11" t="s">
        <v>59</v>
      </c>
      <c r="N62" s="11" t="s">
        <v>59</v>
      </c>
    </row>
    <row r="63" spans="1:16" x14ac:dyDescent="0.3">
      <c r="B63" t="s">
        <v>44</v>
      </c>
      <c r="C63" s="11">
        <v>0</v>
      </c>
      <c r="D63" s="11">
        <v>1</v>
      </c>
      <c r="E63" s="11">
        <v>2</v>
      </c>
      <c r="F63" s="11">
        <v>3</v>
      </c>
      <c r="G63" s="11">
        <v>4</v>
      </c>
      <c r="H63" s="11">
        <v>5</v>
      </c>
      <c r="I63" s="11">
        <v>6</v>
      </c>
      <c r="J63" s="11">
        <v>7</v>
      </c>
      <c r="K63" s="11">
        <v>8</v>
      </c>
      <c r="L63" s="11">
        <v>9</v>
      </c>
      <c r="M63" s="11">
        <v>10</v>
      </c>
      <c r="N63" s="11">
        <v>11</v>
      </c>
      <c r="P63" t="s">
        <v>77</v>
      </c>
    </row>
    <row r="64" spans="1:16" x14ac:dyDescent="0.3">
      <c r="A64">
        <v>1</v>
      </c>
      <c r="B64" s="33" t="str">
        <f t="shared" ref="B64:B75" si="8">B49</f>
        <v>Jul 20X1</v>
      </c>
      <c r="D64" s="36">
        <f t="shared" ref="D64:N64" ca="1" si="9">OFFSET(D49,0,$A64-1)</f>
        <v>3.6487695749440716</v>
      </c>
      <c r="E64" s="36">
        <f t="shared" ca="1" si="9"/>
        <v>1.6364193746167994</v>
      </c>
      <c r="F64" s="36">
        <f t="shared" ca="1" si="9"/>
        <v>1.1858373922817536</v>
      </c>
      <c r="G64" s="36">
        <f t="shared" ca="1" si="9"/>
        <v>1.0371248025276461</v>
      </c>
      <c r="H64" s="36">
        <f t="shared" ca="1" si="9"/>
        <v>1.0322924600152323</v>
      </c>
      <c r="I64" s="36">
        <f t="shared" ca="1" si="9"/>
        <v>1.0017706949977867</v>
      </c>
      <c r="J64" s="36">
        <f t="shared" ca="1" si="9"/>
        <v>1.0033878332596848</v>
      </c>
      <c r="K64" s="36">
        <f t="shared" ca="1" si="9"/>
        <v>1</v>
      </c>
      <c r="L64" s="36">
        <f t="shared" ca="1" si="9"/>
        <v>1</v>
      </c>
      <c r="M64" s="36">
        <f t="shared" ca="1" si="9"/>
        <v>1</v>
      </c>
      <c r="N64" s="36">
        <f t="shared" ca="1" si="9"/>
        <v>1</v>
      </c>
      <c r="P64" t="s">
        <v>76</v>
      </c>
    </row>
    <row r="65" spans="1:16" x14ac:dyDescent="0.3">
      <c r="A65">
        <f t="shared" ref="A65:A75" si="10">A64+1</f>
        <v>2</v>
      </c>
      <c r="B65" s="33" t="str">
        <f t="shared" si="8"/>
        <v>Aug 20X1</v>
      </c>
      <c r="D65" s="36">
        <f t="shared" ref="D65:M65" ca="1" si="11">OFFSET(D50,0,$A65-1)</f>
        <v>2.7128378378378377</v>
      </c>
      <c r="E65" s="36">
        <f t="shared" ca="1" si="11"/>
        <v>1.514321295143213</v>
      </c>
      <c r="F65" s="36">
        <f t="shared" ca="1" si="11"/>
        <v>1.2314967105263157</v>
      </c>
      <c r="G65" s="36">
        <f t="shared" ca="1" si="11"/>
        <v>1.0385642737896494</v>
      </c>
      <c r="H65" s="36">
        <f t="shared" ca="1" si="11"/>
        <v>1.0197717408776723</v>
      </c>
      <c r="I65" s="36">
        <f t="shared" ca="1" si="11"/>
        <v>1.025063051702396</v>
      </c>
      <c r="J65" s="36">
        <f t="shared" ca="1" si="11"/>
        <v>1</v>
      </c>
      <c r="K65" s="36">
        <f t="shared" ca="1" si="11"/>
        <v>1</v>
      </c>
      <c r="L65" s="36">
        <f t="shared" ca="1" si="11"/>
        <v>1</v>
      </c>
      <c r="M65" s="36">
        <f t="shared" ca="1" si="11"/>
        <v>1</v>
      </c>
      <c r="N65" s="36"/>
    </row>
    <row r="66" spans="1:16" x14ac:dyDescent="0.3">
      <c r="A66">
        <f t="shared" si="10"/>
        <v>3</v>
      </c>
      <c r="B66" s="33" t="str">
        <f t="shared" si="8"/>
        <v>Sep 20X1</v>
      </c>
      <c r="D66" s="36">
        <f t="shared" ref="D66:L66" ca="1" si="12">OFFSET(D51,0,$A66-1)</f>
        <v>3.4755838641188959</v>
      </c>
      <c r="E66" s="36">
        <f t="shared" ca="1" si="12"/>
        <v>1.5937690897984118</v>
      </c>
      <c r="F66" s="36">
        <f t="shared" ca="1" si="12"/>
        <v>1.1636642391720966</v>
      </c>
      <c r="G66" s="36">
        <f t="shared" ca="1" si="12"/>
        <v>1.0413372859025032</v>
      </c>
      <c r="H66" s="36">
        <f t="shared" ca="1" si="12"/>
        <v>1.046338763245295</v>
      </c>
      <c r="I66" s="36">
        <f t="shared" ca="1" si="12"/>
        <v>1.0018137847642079</v>
      </c>
      <c r="J66" s="36">
        <f t="shared" ca="1" si="12"/>
        <v>1.0004526252263126</v>
      </c>
      <c r="K66" s="36">
        <f t="shared" ca="1" si="12"/>
        <v>1</v>
      </c>
      <c r="L66" s="36">
        <f t="shared" ca="1" si="12"/>
        <v>1</v>
      </c>
      <c r="M66" s="36"/>
      <c r="N66" s="36"/>
    </row>
    <row r="67" spans="1:16" x14ac:dyDescent="0.3">
      <c r="A67">
        <f t="shared" si="10"/>
        <v>4</v>
      </c>
      <c r="B67" s="33" t="str">
        <f t="shared" si="8"/>
        <v>Oct 20X1</v>
      </c>
      <c r="D67" s="36">
        <f t="shared" ref="D67:K67" ca="1" si="13">OFFSET(D52,0,$A67-1)</f>
        <v>2.4571428571428573</v>
      </c>
      <c r="E67" s="36">
        <f t="shared" ca="1" si="13"/>
        <v>1.7093023255813953</v>
      </c>
      <c r="F67" s="36">
        <f t="shared" ca="1" si="13"/>
        <v>1.1330782312925169</v>
      </c>
      <c r="G67" s="36">
        <f t="shared" ca="1" si="13"/>
        <v>1.1180112570356473</v>
      </c>
      <c r="H67" s="36">
        <f t="shared" ca="1" si="13"/>
        <v>1.0396039603960396</v>
      </c>
      <c r="I67" s="36">
        <f t="shared" ca="1" si="13"/>
        <v>1.0051654560129137</v>
      </c>
      <c r="J67" s="36">
        <f t="shared" ca="1" si="13"/>
        <v>1</v>
      </c>
      <c r="K67" s="36">
        <f t="shared" ca="1" si="13"/>
        <v>1</v>
      </c>
      <c r="L67" s="36"/>
      <c r="M67" s="36"/>
      <c r="N67" s="36"/>
    </row>
    <row r="68" spans="1:16" x14ac:dyDescent="0.3">
      <c r="A68">
        <f t="shared" si="10"/>
        <v>5</v>
      </c>
      <c r="B68" s="33" t="str">
        <f t="shared" si="8"/>
        <v>Nov 20X1</v>
      </c>
      <c r="D68" s="36">
        <f t="shared" ref="D68:J68" ca="1" si="14">OFFSET(D53,0,$A68-1)</f>
        <v>2.5231316725978647</v>
      </c>
      <c r="E68" s="36">
        <f t="shared" ca="1" si="14"/>
        <v>1.5500705218617772</v>
      </c>
      <c r="F68" s="36">
        <f t="shared" ca="1" si="14"/>
        <v>1.3689717925386715</v>
      </c>
      <c r="G68" s="36">
        <f t="shared" ca="1" si="14"/>
        <v>1.0378863409770689</v>
      </c>
      <c r="H68" s="36">
        <f t="shared" ca="1" si="14"/>
        <v>1.0393852065321807</v>
      </c>
      <c r="I68" s="36">
        <f t="shared" ca="1" si="14"/>
        <v>1.0043130006161429</v>
      </c>
      <c r="J68" s="36">
        <f t="shared" ca="1" si="14"/>
        <v>1.0004601226993866</v>
      </c>
      <c r="K68" s="36"/>
      <c r="L68" s="36"/>
      <c r="M68" s="36"/>
      <c r="N68" s="36"/>
    </row>
    <row r="69" spans="1:16" x14ac:dyDescent="0.3">
      <c r="A69">
        <f t="shared" si="10"/>
        <v>6</v>
      </c>
      <c r="B69" s="33" t="str">
        <f t="shared" si="8"/>
        <v>Dec 20X1</v>
      </c>
      <c r="D69" s="36">
        <f t="shared" ref="D69:I69" ca="1" si="15">OFFSET(D54,0,$A69-1)</f>
        <v>2.0221327967806841</v>
      </c>
      <c r="E69" s="36">
        <f t="shared" ca="1" si="15"/>
        <v>2.1303482587064675</v>
      </c>
      <c r="F69" s="36">
        <f t="shared" ca="1" si="15"/>
        <v>1.1994395142456795</v>
      </c>
      <c r="G69" s="36">
        <f t="shared" ca="1" si="15"/>
        <v>1.0480919003115265</v>
      </c>
      <c r="H69" s="36">
        <f t="shared" ca="1" si="15"/>
        <v>1.0494148244473342</v>
      </c>
      <c r="I69" s="36">
        <f t="shared" ca="1" si="15"/>
        <v>1.0021242697822623</v>
      </c>
      <c r="J69" s="36"/>
      <c r="K69" s="36"/>
      <c r="L69" s="36"/>
      <c r="M69" s="36"/>
      <c r="N69" s="36"/>
    </row>
    <row r="70" spans="1:16" x14ac:dyDescent="0.3">
      <c r="A70">
        <f t="shared" si="10"/>
        <v>7</v>
      </c>
      <c r="B70" s="33" t="str">
        <f t="shared" si="8"/>
        <v>Jan 20X2</v>
      </c>
      <c r="D70" s="36">
        <f ca="1">OFFSET(D55,0,$A70-1)</f>
        <v>6.1152416356877319</v>
      </c>
      <c r="E70" s="36">
        <f ca="1">OFFSET(E55,0,$A70-1)</f>
        <v>1.6176291793313069</v>
      </c>
      <c r="F70" s="36">
        <f ca="1">OFFSET(F55,0,$A70-1)</f>
        <v>1.217587373167982</v>
      </c>
      <c r="G70" s="36">
        <f ca="1">OFFSET(G55,0,$A70-1)</f>
        <v>1.0384259259259259</v>
      </c>
      <c r="H70" s="36">
        <f ca="1">OFFSET(H55,0,$A70-1)</f>
        <v>1.0326943082181601</v>
      </c>
      <c r="I70" s="36"/>
      <c r="J70" s="36"/>
      <c r="K70" s="36"/>
      <c r="L70" s="36"/>
      <c r="M70" s="36"/>
      <c r="N70" s="36"/>
    </row>
    <row r="71" spans="1:16" x14ac:dyDescent="0.3">
      <c r="A71">
        <f t="shared" si="10"/>
        <v>8</v>
      </c>
      <c r="B71" s="33" t="str">
        <f t="shared" si="8"/>
        <v>Feb 20X2</v>
      </c>
      <c r="D71" s="36">
        <f ca="1">OFFSET(D56,0,$A71-1)</f>
        <v>3.1929411764705882</v>
      </c>
      <c r="E71" s="36">
        <f ca="1">OFFSET(E56,0,$A71-1)</f>
        <v>1.6293294030950627</v>
      </c>
      <c r="F71" s="36">
        <f ca="1">OFFSET(F56,0,$A71-1)</f>
        <v>1.2501130710085935</v>
      </c>
      <c r="G71" s="36">
        <f ca="1">OFFSET(G56,0,$A71-1)</f>
        <v>1.0383502170767005</v>
      </c>
      <c r="H71" s="36"/>
      <c r="I71" s="36"/>
      <c r="J71" s="36"/>
      <c r="K71" s="36"/>
      <c r="L71" s="36"/>
      <c r="M71" s="36"/>
      <c r="N71" s="36"/>
    </row>
    <row r="72" spans="1:16" x14ac:dyDescent="0.3">
      <c r="A72">
        <f t="shared" si="10"/>
        <v>9</v>
      </c>
      <c r="B72" s="33" t="str">
        <f t="shared" si="8"/>
        <v>Mar 20X2</v>
      </c>
      <c r="D72" s="36">
        <f ca="1">OFFSET(D57,0,$A72-1)</f>
        <v>3.3429752066115701</v>
      </c>
      <c r="E72" s="36">
        <f ca="1">OFFSET(E57,0,$A72-1)</f>
        <v>1.6316440049443757</v>
      </c>
      <c r="F72" s="36">
        <f ca="1">OFFSET(F57,0,$A72-1)</f>
        <v>1.2227272727272727</v>
      </c>
      <c r="G72" s="36"/>
      <c r="H72" s="36"/>
      <c r="I72" s="36"/>
      <c r="J72" s="36"/>
      <c r="K72" s="36"/>
      <c r="L72" s="36"/>
      <c r="M72" s="36"/>
      <c r="N72" s="36"/>
    </row>
    <row r="73" spans="1:16" x14ac:dyDescent="0.3">
      <c r="A73">
        <f t="shared" si="10"/>
        <v>10</v>
      </c>
      <c r="B73" s="33" t="str">
        <f t="shared" si="8"/>
        <v>Apr 20X2</v>
      </c>
      <c r="D73" s="36">
        <f ca="1">OFFSET(D58,0,$A73-1)</f>
        <v>3.6837209302325582</v>
      </c>
      <c r="E73" s="36">
        <f ca="1">OFFSET(E58,0,$A73-1)</f>
        <v>1.5138888888888888</v>
      </c>
      <c r="F73" s="36"/>
      <c r="G73" s="36"/>
      <c r="H73" s="36"/>
      <c r="I73" s="36"/>
      <c r="J73" s="36"/>
      <c r="K73" s="36"/>
      <c r="L73" s="36"/>
      <c r="M73" s="36"/>
      <c r="N73" s="36"/>
    </row>
    <row r="74" spans="1:16" x14ac:dyDescent="0.3">
      <c r="A74">
        <f t="shared" si="10"/>
        <v>11</v>
      </c>
      <c r="B74" s="33" t="str">
        <f t="shared" si="8"/>
        <v>May 20X2</v>
      </c>
      <c r="D74" s="36">
        <f ca="1">OFFSET(D59,0,$A74-1)</f>
        <v>2.5837563451776648</v>
      </c>
      <c r="E74" s="36"/>
      <c r="F74" s="36"/>
      <c r="G74" s="36"/>
      <c r="H74" s="36"/>
      <c r="I74" s="36"/>
      <c r="J74" s="36"/>
    </row>
    <row r="75" spans="1:16" x14ac:dyDescent="0.3">
      <c r="A75">
        <f t="shared" si="10"/>
        <v>12</v>
      </c>
      <c r="B75" s="33" t="str">
        <f t="shared" si="8"/>
        <v>Jun 20X2</v>
      </c>
      <c r="D75" s="36"/>
      <c r="E75" s="36"/>
      <c r="F75" s="36"/>
      <c r="G75" s="36"/>
      <c r="H75" s="36"/>
      <c r="I75" s="36"/>
      <c r="J75" s="36"/>
    </row>
    <row r="76" spans="1:16" ht="15" thickBot="1" x14ac:dyDescent="0.35">
      <c r="B76" s="34"/>
      <c r="I76" s="2"/>
    </row>
    <row r="77" spans="1:16" ht="15" thickBot="1" x14ac:dyDescent="0.35">
      <c r="B77" s="34" t="s">
        <v>62</v>
      </c>
      <c r="C77" s="39" t="s">
        <v>3</v>
      </c>
      <c r="D77" s="38">
        <f t="shared" ref="D77:N77" ca="1" si="16">AVERAGE(D64:D75)</f>
        <v>3.2507485361456649</v>
      </c>
      <c r="E77" s="38">
        <f t="shared" ca="1" si="16"/>
        <v>1.6526722341967699</v>
      </c>
      <c r="F77" s="38">
        <f t="shared" ca="1" si="16"/>
        <v>1.2192128441067647</v>
      </c>
      <c r="G77" s="38">
        <f t="shared" ca="1" si="16"/>
        <v>1.0497240004433335</v>
      </c>
      <c r="H77" s="38">
        <f t="shared" ca="1" si="16"/>
        <v>1.0370716091045593</v>
      </c>
      <c r="I77" s="38">
        <f t="shared" ca="1" si="16"/>
        <v>1.0067083763126181</v>
      </c>
      <c r="J77" s="38">
        <f t="shared" ca="1" si="16"/>
        <v>1.0008601162370769</v>
      </c>
      <c r="K77" s="38">
        <f t="shared" ca="1" si="16"/>
        <v>1</v>
      </c>
      <c r="L77" s="38">
        <f t="shared" ca="1" si="16"/>
        <v>1</v>
      </c>
      <c r="M77" s="38">
        <f t="shared" ca="1" si="16"/>
        <v>1</v>
      </c>
      <c r="N77" s="37">
        <f t="shared" ca="1" si="16"/>
        <v>1</v>
      </c>
      <c r="P77" t="s">
        <v>75</v>
      </c>
    </row>
    <row r="78" spans="1:16" ht="15" thickBot="1" x14ac:dyDescent="0.35">
      <c r="B78" s="34"/>
      <c r="I78" s="2"/>
    </row>
    <row r="79" spans="1:16" ht="15" thickBot="1" x14ac:dyDescent="0.35">
      <c r="B79" s="33" t="s">
        <v>73</v>
      </c>
      <c r="C79" s="39" t="s">
        <v>3</v>
      </c>
      <c r="D79" s="38">
        <f ca="1">AVERAGE(D64:D68,D71:D74)</f>
        <v>3.0689843850148786</v>
      </c>
      <c r="E79" s="38">
        <f ca="1">AVERAGE(E64:E68,E70:E72)</f>
        <v>1.6103106492965427</v>
      </c>
      <c r="F79" s="38">
        <f ca="1">AVERAGE(F64:F66,F69:F72)</f>
        <v>1.2101236533042419</v>
      </c>
      <c r="G79" s="38">
        <f ca="1">AVERAGE(G65:G66,G68:G71)</f>
        <v>1.0404426573305627</v>
      </c>
      <c r="H79" s="38">
        <f ca="1">AVERAGE(H64,H66:H68,H70)</f>
        <v>1.0380629396813816</v>
      </c>
      <c r="I79" s="38">
        <f ca="1">AVERAGE(I66:I69)</f>
        <v>1.0033541277938818</v>
      </c>
      <c r="J79" s="38">
        <f ca="1">AVERAGE(J66:J69)</f>
        <v>1.0003042493085663</v>
      </c>
      <c r="K79" s="38">
        <f ca="1">AVERAGE(K64:K67)</f>
        <v>1</v>
      </c>
      <c r="L79" s="38">
        <f ca="1">AVERAGE(L64:L67)</f>
        <v>1</v>
      </c>
      <c r="M79" s="38">
        <f ca="1">AVERAGE(M64:M67)</f>
        <v>1</v>
      </c>
      <c r="N79" s="37">
        <f ca="1">AVERAGE(N64:N67)</f>
        <v>1</v>
      </c>
      <c r="P79" t="s">
        <v>74</v>
      </c>
    </row>
    <row r="80" spans="1:16" x14ac:dyDescent="0.3">
      <c r="B80" s="34"/>
    </row>
    <row r="81" spans="1:11" x14ac:dyDescent="0.3">
      <c r="A81" t="s">
        <v>1</v>
      </c>
      <c r="B81" t="s">
        <v>23</v>
      </c>
      <c r="C81" s="20"/>
    </row>
    <row r="82" spans="1:11" x14ac:dyDescent="0.3">
      <c r="C82" s="20"/>
      <c r="D82" s="20"/>
      <c r="E82" s="20"/>
      <c r="G82" s="20"/>
      <c r="H82" s="20"/>
      <c r="I82" s="2"/>
    </row>
    <row r="83" spans="1:11" x14ac:dyDescent="0.3">
      <c r="B83" s="11"/>
      <c r="C83" s="27" t="s">
        <v>62</v>
      </c>
      <c r="D83" s="27"/>
      <c r="E83" s="27"/>
      <c r="F83" s="11"/>
      <c r="G83" s="11" t="s">
        <v>73</v>
      </c>
      <c r="H83" s="27"/>
      <c r="I83" s="20"/>
      <c r="K83" s="14" t="s">
        <v>9</v>
      </c>
    </row>
    <row r="84" spans="1:11" x14ac:dyDescent="0.3">
      <c r="B84" s="11"/>
      <c r="C84" s="27" t="s">
        <v>61</v>
      </c>
      <c r="D84" s="27" t="s">
        <v>60</v>
      </c>
      <c r="E84" s="27"/>
      <c r="F84" s="11"/>
      <c r="G84" s="27" t="s">
        <v>61</v>
      </c>
      <c r="H84" s="27" t="s">
        <v>60</v>
      </c>
      <c r="I84" s="20"/>
    </row>
    <row r="85" spans="1:11" x14ac:dyDescent="0.3">
      <c r="B85" s="11" t="s">
        <v>59</v>
      </c>
      <c r="C85" s="27" t="s">
        <v>58</v>
      </c>
      <c r="D85" s="27" t="s">
        <v>58</v>
      </c>
      <c r="E85" s="27"/>
      <c r="F85" s="11"/>
      <c r="G85" s="27" t="s">
        <v>58</v>
      </c>
      <c r="H85" s="27" t="s">
        <v>58</v>
      </c>
      <c r="K85" t="s">
        <v>72</v>
      </c>
    </row>
    <row r="86" spans="1:11" x14ac:dyDescent="0.3">
      <c r="B86" s="11">
        <v>11</v>
      </c>
      <c r="C86" s="50">
        <f t="shared" ref="C86:C97" ca="1" si="17">INDEX($C$77:$N$77,MATCH(B86,$C$63:$N$63))</f>
        <v>1</v>
      </c>
      <c r="D86" s="50">
        <v>1</v>
      </c>
      <c r="E86" s="27"/>
      <c r="F86" s="11"/>
      <c r="G86" s="50">
        <f t="shared" ref="G86:G97" ca="1" si="18">INDEX($C$79:$N$79,MATCH(B86,$C$63:$N$63))</f>
        <v>1</v>
      </c>
      <c r="H86" s="50">
        <v>1</v>
      </c>
    </row>
    <row r="87" spans="1:11" x14ac:dyDescent="0.3">
      <c r="B87" s="11">
        <f t="shared" ref="B87:B97" si="19">B86-1</f>
        <v>10</v>
      </c>
      <c r="C87" s="50">
        <f t="shared" ca="1" si="17"/>
        <v>1</v>
      </c>
      <c r="D87" s="50">
        <f t="shared" ref="D87:D97" ca="1" si="20">D86/C86</f>
        <v>1</v>
      </c>
      <c r="E87" s="27"/>
      <c r="F87" s="11"/>
      <c r="G87" s="50">
        <f t="shared" ca="1" si="18"/>
        <v>1</v>
      </c>
      <c r="H87" s="50">
        <f t="shared" ref="H87:H97" ca="1" si="21">H86/G86</f>
        <v>1</v>
      </c>
      <c r="K87" t="s">
        <v>71</v>
      </c>
    </row>
    <row r="88" spans="1:11" x14ac:dyDescent="0.3">
      <c r="B88" s="11">
        <f t="shared" si="19"/>
        <v>9</v>
      </c>
      <c r="C88" s="50">
        <f t="shared" ca="1" si="17"/>
        <v>1</v>
      </c>
      <c r="D88" s="50">
        <f t="shared" ca="1" si="20"/>
        <v>1</v>
      </c>
      <c r="E88" s="27"/>
      <c r="F88" s="11"/>
      <c r="G88" s="50">
        <f t="shared" ca="1" si="18"/>
        <v>1</v>
      </c>
      <c r="H88" s="50">
        <f t="shared" ca="1" si="21"/>
        <v>1</v>
      </c>
      <c r="K88" t="s">
        <v>70</v>
      </c>
    </row>
    <row r="89" spans="1:11" x14ac:dyDescent="0.3">
      <c r="B89" s="11">
        <f t="shared" si="19"/>
        <v>8</v>
      </c>
      <c r="C89" s="50">
        <f t="shared" ca="1" si="17"/>
        <v>1</v>
      </c>
      <c r="D89" s="50">
        <f t="shared" ca="1" si="20"/>
        <v>1</v>
      </c>
      <c r="E89" s="27"/>
      <c r="F89" s="11"/>
      <c r="G89" s="50">
        <f t="shared" ca="1" si="18"/>
        <v>1</v>
      </c>
      <c r="H89" s="50">
        <f t="shared" ca="1" si="21"/>
        <v>1</v>
      </c>
      <c r="K89" t="s">
        <v>69</v>
      </c>
    </row>
    <row r="90" spans="1:11" x14ac:dyDescent="0.3">
      <c r="B90" s="11">
        <f t="shared" si="19"/>
        <v>7</v>
      </c>
      <c r="C90" s="50">
        <f t="shared" ca="1" si="17"/>
        <v>1.0008601162370769</v>
      </c>
      <c r="D90" s="50">
        <f t="shared" ca="1" si="20"/>
        <v>1</v>
      </c>
      <c r="E90" s="27"/>
      <c r="F90" s="11"/>
      <c r="G90" s="50">
        <f t="shared" ca="1" si="18"/>
        <v>1.0003042493085663</v>
      </c>
      <c r="H90" s="50">
        <f t="shared" ca="1" si="21"/>
        <v>1</v>
      </c>
    </row>
    <row r="91" spans="1:11" x14ac:dyDescent="0.3">
      <c r="B91" s="11">
        <f t="shared" si="19"/>
        <v>6</v>
      </c>
      <c r="C91" s="50">
        <f t="shared" ca="1" si="17"/>
        <v>1.0067083763126181</v>
      </c>
      <c r="D91" s="50">
        <f t="shared" ca="1" si="20"/>
        <v>0.99914062292709727</v>
      </c>
      <c r="E91" s="27"/>
      <c r="F91" s="11"/>
      <c r="G91" s="50">
        <f t="shared" ca="1" si="18"/>
        <v>1.0033541277938818</v>
      </c>
      <c r="H91" s="50">
        <f t="shared" ca="1" si="21"/>
        <v>0.99969584323092042</v>
      </c>
    </row>
    <row r="92" spans="1:11" x14ac:dyDescent="0.3">
      <c r="B92" s="11">
        <f t="shared" si="19"/>
        <v>5</v>
      </c>
      <c r="C92" s="50">
        <f t="shared" ca="1" si="17"/>
        <v>1.0370716091045593</v>
      </c>
      <c r="D92" s="50">
        <f t="shared" ca="1" si="20"/>
        <v>0.99248267565504911</v>
      </c>
      <c r="E92" s="27"/>
      <c r="F92" s="11"/>
      <c r="G92" s="50">
        <f t="shared" ca="1" si="18"/>
        <v>1.0380629396813816</v>
      </c>
      <c r="H92" s="50">
        <f t="shared" ca="1" si="21"/>
        <v>0.99635394477221617</v>
      </c>
    </row>
    <row r="93" spans="1:11" x14ac:dyDescent="0.3">
      <c r="B93" s="11">
        <f t="shared" si="19"/>
        <v>4</v>
      </c>
      <c r="C93" s="50">
        <f t="shared" ca="1" si="17"/>
        <v>1.0497240004433335</v>
      </c>
      <c r="D93" s="50">
        <f t="shared" ca="1" si="20"/>
        <v>0.95700496180007311</v>
      </c>
      <c r="E93" s="27"/>
      <c r="F93" s="11"/>
      <c r="G93" s="50">
        <f t="shared" ca="1" si="18"/>
        <v>1.0404426573305627</v>
      </c>
      <c r="H93" s="50">
        <f t="shared" ca="1" si="21"/>
        <v>0.95982036029340623</v>
      </c>
    </row>
    <row r="94" spans="1:11" x14ac:dyDescent="0.3">
      <c r="B94" s="11">
        <f t="shared" si="19"/>
        <v>3</v>
      </c>
      <c r="C94" s="50">
        <f t="shared" ca="1" si="17"/>
        <v>1.2192128441067647</v>
      </c>
      <c r="D94" s="50">
        <f t="shared" ca="1" si="20"/>
        <v>0.91167293631078072</v>
      </c>
      <c r="E94" s="27"/>
      <c r="F94" s="11"/>
      <c r="G94" s="50">
        <f t="shared" ca="1" si="18"/>
        <v>1.2101236533042419</v>
      </c>
      <c r="H94" s="50">
        <f t="shared" ca="1" si="21"/>
        <v>0.92251154211227071</v>
      </c>
    </row>
    <row r="95" spans="1:11" x14ac:dyDescent="0.3">
      <c r="B95" s="11">
        <f t="shared" si="19"/>
        <v>2</v>
      </c>
      <c r="C95" s="50">
        <f t="shared" ca="1" si="17"/>
        <v>1.6526722341967699</v>
      </c>
      <c r="D95" s="50">
        <f t="shared" ca="1" si="20"/>
        <v>0.74775535766169055</v>
      </c>
      <c r="E95" s="27"/>
      <c r="F95" s="11"/>
      <c r="G95" s="50">
        <f t="shared" ca="1" si="18"/>
        <v>1.6103106492965427</v>
      </c>
      <c r="H95" s="50">
        <f t="shared" ca="1" si="21"/>
        <v>0.76232832867397771</v>
      </c>
    </row>
    <row r="96" spans="1:11" x14ac:dyDescent="0.3">
      <c r="B96" s="11">
        <f t="shared" si="19"/>
        <v>1</v>
      </c>
      <c r="C96" s="50">
        <f t="shared" ca="1" si="17"/>
        <v>3.2507485361456649</v>
      </c>
      <c r="D96" s="50">
        <f t="shared" ca="1" si="20"/>
        <v>0.45245230251303509</v>
      </c>
      <c r="E96" s="27"/>
      <c r="F96" s="11"/>
      <c r="G96" s="50">
        <f t="shared" ca="1" si="18"/>
        <v>3.0689843850148786</v>
      </c>
      <c r="H96" s="50">
        <f t="shared" ca="1" si="21"/>
        <v>0.47340451297828628</v>
      </c>
    </row>
    <row r="97" spans="2:11" x14ac:dyDescent="0.3">
      <c r="B97" s="11">
        <f t="shared" si="19"/>
        <v>0</v>
      </c>
      <c r="C97" s="50" t="str">
        <f t="shared" si="17"/>
        <v>N/A</v>
      </c>
      <c r="D97" s="50">
        <f t="shared" ca="1" si="20"/>
        <v>0.13918403637874033</v>
      </c>
      <c r="E97" s="27"/>
      <c r="F97" s="11"/>
      <c r="G97" s="50" t="str">
        <f t="shared" si="18"/>
        <v>N/A</v>
      </c>
      <c r="H97" s="50">
        <f t="shared" ca="1" si="21"/>
        <v>0.15425445476028096</v>
      </c>
    </row>
    <row r="98" spans="2:11" x14ac:dyDescent="0.3">
      <c r="C98" s="20"/>
      <c r="D98" s="20"/>
      <c r="E98" s="20"/>
    </row>
    <row r="99" spans="2:11" x14ac:dyDescent="0.3">
      <c r="C99" s="28" t="s">
        <v>56</v>
      </c>
      <c r="D99" s="28" t="s">
        <v>55</v>
      </c>
      <c r="E99" s="28"/>
      <c r="F99" s="28"/>
      <c r="G99" s="28" t="s">
        <v>56</v>
      </c>
      <c r="H99" s="28" t="s">
        <v>55</v>
      </c>
      <c r="I99" s="28"/>
    </row>
    <row r="100" spans="2:11" x14ac:dyDescent="0.3">
      <c r="B100" s="20" t="s">
        <v>54</v>
      </c>
      <c r="C100" s="28" t="s">
        <v>17</v>
      </c>
      <c r="D100" s="28" t="s">
        <v>17</v>
      </c>
      <c r="E100" s="28" t="s">
        <v>53</v>
      </c>
      <c r="F100" s="28"/>
      <c r="G100" s="28" t="s">
        <v>17</v>
      </c>
      <c r="H100" s="28" t="s">
        <v>17</v>
      </c>
      <c r="I100" s="28" t="s">
        <v>53</v>
      </c>
    </row>
    <row r="101" spans="2:11" x14ac:dyDescent="0.3">
      <c r="B101" s="34" t="str" cm="1">
        <f t="array" ref="B101:B112">TRANSPOSE(I10:T10)</f>
        <v>Jan 20X2</v>
      </c>
      <c r="C101" s="28">
        <f t="shared" ref="C101:C112" si="22">SUM(I17:T17)</f>
        <v>174050</v>
      </c>
      <c r="D101" s="28">
        <f t="shared" ref="D101:D112" si="23">C101/D86</f>
        <v>174050</v>
      </c>
      <c r="E101" s="28">
        <f t="shared" ref="E101:E112" si="24">D101-C101</f>
        <v>0</v>
      </c>
      <c r="F101" s="28"/>
      <c r="G101" s="28">
        <f t="shared" ref="G101:G112" si="25">C101</f>
        <v>174050</v>
      </c>
      <c r="H101" s="28">
        <f t="shared" ref="H101:H112" si="26">G101/H86</f>
        <v>174050</v>
      </c>
      <c r="I101" s="28">
        <f t="shared" ref="I101:I112" si="27">H101-G101</f>
        <v>0</v>
      </c>
      <c r="K101" t="s">
        <v>68</v>
      </c>
    </row>
    <row r="102" spans="2:11" x14ac:dyDescent="0.3">
      <c r="B102" s="34" t="str">
        <v>Feb 20X2</v>
      </c>
      <c r="C102" s="28">
        <f t="shared" si="22"/>
        <v>151600</v>
      </c>
      <c r="D102" s="28">
        <f t="shared" ca="1" si="23"/>
        <v>151600</v>
      </c>
      <c r="E102" s="28">
        <f t="shared" ca="1" si="24"/>
        <v>0</v>
      </c>
      <c r="F102" s="28"/>
      <c r="G102" s="28">
        <f t="shared" si="25"/>
        <v>151600</v>
      </c>
      <c r="H102" s="28">
        <f t="shared" ca="1" si="26"/>
        <v>151600</v>
      </c>
      <c r="I102" s="28">
        <f t="shared" ca="1" si="27"/>
        <v>0</v>
      </c>
      <c r="K102" t="s">
        <v>67</v>
      </c>
    </row>
    <row r="103" spans="2:11" x14ac:dyDescent="0.3">
      <c r="B103" s="34" t="str">
        <v>Mar 20X2</v>
      </c>
      <c r="C103" s="28">
        <f t="shared" si="22"/>
        <v>173600</v>
      </c>
      <c r="D103" s="28">
        <f t="shared" ca="1" si="23"/>
        <v>173600</v>
      </c>
      <c r="E103" s="28">
        <f t="shared" ca="1" si="24"/>
        <v>0</v>
      </c>
      <c r="F103" s="28"/>
      <c r="G103" s="28">
        <f t="shared" si="25"/>
        <v>173600</v>
      </c>
      <c r="H103" s="28">
        <f t="shared" ca="1" si="26"/>
        <v>173600</v>
      </c>
      <c r="I103" s="28">
        <f t="shared" ca="1" si="27"/>
        <v>0</v>
      </c>
      <c r="K103" t="s">
        <v>66</v>
      </c>
    </row>
    <row r="104" spans="2:11" x14ac:dyDescent="0.3">
      <c r="B104" s="34" t="str">
        <v>Apr 20X2</v>
      </c>
      <c r="C104" s="28">
        <f t="shared" si="22"/>
        <v>162575</v>
      </c>
      <c r="D104" s="28">
        <f t="shared" ca="1" si="23"/>
        <v>162575</v>
      </c>
      <c r="E104" s="28">
        <f t="shared" ca="1" si="24"/>
        <v>0</v>
      </c>
      <c r="F104" s="28"/>
      <c r="G104" s="28">
        <f t="shared" si="25"/>
        <v>162575</v>
      </c>
      <c r="H104" s="28">
        <f t="shared" ca="1" si="26"/>
        <v>162575</v>
      </c>
      <c r="I104" s="28">
        <f t="shared" ca="1" si="27"/>
        <v>0</v>
      </c>
    </row>
    <row r="105" spans="2:11" x14ac:dyDescent="0.3">
      <c r="B105" s="34" t="str">
        <v>May 20X2</v>
      </c>
      <c r="C105" s="28">
        <f t="shared" si="22"/>
        <v>153975</v>
      </c>
      <c r="D105" s="28">
        <f t="shared" ca="1" si="23"/>
        <v>153975</v>
      </c>
      <c r="E105" s="28">
        <f t="shared" ca="1" si="24"/>
        <v>0</v>
      </c>
      <c r="F105" s="28"/>
      <c r="G105" s="28">
        <f t="shared" si="25"/>
        <v>153975</v>
      </c>
      <c r="H105" s="28">
        <f t="shared" ca="1" si="26"/>
        <v>153975</v>
      </c>
      <c r="I105" s="28">
        <f t="shared" ca="1" si="27"/>
        <v>0</v>
      </c>
    </row>
    <row r="106" spans="2:11" x14ac:dyDescent="0.3">
      <c r="B106" s="34" t="str">
        <v>Jun 20X2</v>
      </c>
      <c r="C106" s="28">
        <f t="shared" si="22"/>
        <v>160700</v>
      </c>
      <c r="D106" s="28">
        <f t="shared" ca="1" si="23"/>
        <v>160838.22067929825</v>
      </c>
      <c r="E106" s="28">
        <f t="shared" ca="1" si="24"/>
        <v>138.22067929824698</v>
      </c>
      <c r="F106" s="28"/>
      <c r="G106" s="28">
        <f t="shared" si="25"/>
        <v>160700</v>
      </c>
      <c r="H106" s="28">
        <f t="shared" ca="1" si="26"/>
        <v>160748.89286388661</v>
      </c>
      <c r="I106" s="28">
        <f t="shared" ca="1" si="27"/>
        <v>48.892863886605483</v>
      </c>
    </row>
    <row r="107" spans="2:11" x14ac:dyDescent="0.3">
      <c r="B107" s="34" t="str">
        <v>Jul 20X2</v>
      </c>
      <c r="C107" s="28">
        <f t="shared" si="22"/>
        <v>156400</v>
      </c>
      <c r="D107" s="28">
        <f t="shared" ca="1" si="23"/>
        <v>157584.61466017464</v>
      </c>
      <c r="E107" s="28">
        <f t="shared" ca="1" si="24"/>
        <v>1184.6146601746441</v>
      </c>
      <c r="F107" s="28"/>
      <c r="G107" s="28">
        <f t="shared" si="25"/>
        <v>156400</v>
      </c>
      <c r="H107" s="28">
        <f t="shared" ca="1" si="26"/>
        <v>156972.329783625</v>
      </c>
      <c r="I107" s="28">
        <f t="shared" ca="1" si="27"/>
        <v>572.32978362499853</v>
      </c>
    </row>
    <row r="108" spans="2:11" x14ac:dyDescent="0.3">
      <c r="B108" s="34" t="str">
        <v>Aug 20X2</v>
      </c>
      <c r="C108" s="28">
        <f t="shared" si="22"/>
        <v>142950</v>
      </c>
      <c r="D108" s="28">
        <f t="shared" ca="1" si="23"/>
        <v>149372.26629537949</v>
      </c>
      <c r="E108" s="28">
        <f t="shared" ca="1" si="24"/>
        <v>6422.2662953794934</v>
      </c>
      <c r="F108" s="28"/>
      <c r="G108" s="28">
        <f t="shared" si="25"/>
        <v>142950</v>
      </c>
      <c r="H108" s="28">
        <f t="shared" ca="1" si="26"/>
        <v>148934.11925154598</v>
      </c>
      <c r="I108" s="28">
        <f t="shared" ca="1" si="27"/>
        <v>5984.1192515459843</v>
      </c>
    </row>
    <row r="109" spans="2:11" x14ac:dyDescent="0.3">
      <c r="B109" s="34" t="str">
        <v>Sep 20X2</v>
      </c>
      <c r="C109" s="28">
        <f t="shared" si="22"/>
        <v>160550</v>
      </c>
      <c r="D109" s="28">
        <f t="shared" ca="1" si="23"/>
        <v>176104.82181218333</v>
      </c>
      <c r="E109" s="28">
        <f t="shared" ca="1" si="24"/>
        <v>15554.821812183334</v>
      </c>
      <c r="F109" s="28"/>
      <c r="G109" s="28">
        <f t="shared" si="25"/>
        <v>160550</v>
      </c>
      <c r="H109" s="28">
        <f t="shared" ca="1" si="26"/>
        <v>174035.7628831281</v>
      </c>
      <c r="I109" s="28">
        <f t="shared" ca="1" si="27"/>
        <v>13485.762883128104</v>
      </c>
    </row>
    <row r="110" spans="2:11" x14ac:dyDescent="0.3">
      <c r="B110" s="34" t="str">
        <v>Oct 20X2</v>
      </c>
      <c r="C110" s="28">
        <f t="shared" si="22"/>
        <v>120000</v>
      </c>
      <c r="D110" s="28">
        <f t="shared" ca="1" si="23"/>
        <v>160480.2944846194</v>
      </c>
      <c r="E110" s="28">
        <f t="shared" ca="1" si="24"/>
        <v>40480.2944846194</v>
      </c>
      <c r="F110" s="28"/>
      <c r="G110" s="28">
        <f t="shared" si="25"/>
        <v>120000</v>
      </c>
      <c r="H110" s="28">
        <f t="shared" ca="1" si="26"/>
        <v>157412.48945678363</v>
      </c>
      <c r="I110" s="28">
        <f t="shared" ca="1" si="27"/>
        <v>37412.489456783631</v>
      </c>
    </row>
    <row r="111" spans="2:11" x14ac:dyDescent="0.3">
      <c r="B111" s="34" t="str">
        <v>Nov 20X2</v>
      </c>
      <c r="C111" s="28">
        <f t="shared" si="22"/>
        <v>72850</v>
      </c>
      <c r="D111" s="28">
        <f t="shared" ca="1" si="23"/>
        <v>161011.44716331994</v>
      </c>
      <c r="E111" s="28">
        <f t="shared" ca="1" si="24"/>
        <v>88161.447163319943</v>
      </c>
      <c r="F111" s="28"/>
      <c r="G111" s="28">
        <f t="shared" si="25"/>
        <v>72850</v>
      </c>
      <c r="H111" s="28">
        <f t="shared" ca="1" si="26"/>
        <v>153885.30950346353</v>
      </c>
      <c r="I111" s="28">
        <f t="shared" ca="1" si="27"/>
        <v>81035.309503463533</v>
      </c>
    </row>
    <row r="112" spans="2:11" x14ac:dyDescent="0.3">
      <c r="B112" s="34" t="str">
        <v>Dec 20X2</v>
      </c>
      <c r="C112" s="28">
        <f t="shared" si="22"/>
        <v>25100</v>
      </c>
      <c r="D112" s="28">
        <f t="shared" ca="1" si="23"/>
        <v>180336.77318927</v>
      </c>
      <c r="E112" s="28">
        <f t="shared" ca="1" si="24"/>
        <v>155236.77318927</v>
      </c>
      <c r="F112" s="28"/>
      <c r="G112" s="28">
        <f t="shared" si="25"/>
        <v>25100</v>
      </c>
      <c r="H112" s="28">
        <f t="shared" ca="1" si="26"/>
        <v>162718.15319049708</v>
      </c>
      <c r="I112" s="28">
        <f t="shared" ca="1" si="27"/>
        <v>137618.15319049708</v>
      </c>
    </row>
    <row r="113" spans="1:17" ht="15" thickBot="1" x14ac:dyDescent="0.35">
      <c r="C113" s="28"/>
      <c r="D113" s="28"/>
      <c r="E113" s="28"/>
      <c r="F113" s="28"/>
      <c r="G113" s="28"/>
      <c r="H113" s="28"/>
      <c r="I113" s="28"/>
    </row>
    <row r="114" spans="1:17" ht="15" thickBot="1" x14ac:dyDescent="0.35">
      <c r="C114" s="28"/>
      <c r="D114" s="28"/>
      <c r="E114" s="30">
        <f ca="1">SUM(E101:E112)</f>
        <v>307178.43828424509</v>
      </c>
      <c r="F114" s="28"/>
      <c r="G114" s="28"/>
      <c r="H114" s="28"/>
      <c r="I114" s="30">
        <f ca="1">SUM(I101:I112)</f>
        <v>276157.0569329299</v>
      </c>
    </row>
    <row r="115" spans="1:17" x14ac:dyDescent="0.3">
      <c r="C115" s="20"/>
      <c r="D115" s="20"/>
      <c r="E115" s="20"/>
      <c r="G115" s="20"/>
      <c r="H115" s="20"/>
      <c r="I115" s="2"/>
    </row>
    <row r="116" spans="1:17" x14ac:dyDescent="0.3">
      <c r="B116" t="s">
        <v>22</v>
      </c>
      <c r="C116" s="20"/>
      <c r="D116" s="20"/>
      <c r="E116" s="20"/>
      <c r="G116" s="20"/>
      <c r="H116" s="20"/>
      <c r="I116" s="2"/>
    </row>
    <row r="117" spans="1:17" x14ac:dyDescent="0.3">
      <c r="C117" s="20"/>
      <c r="D117" s="20"/>
      <c r="E117" s="20"/>
      <c r="G117" s="20"/>
      <c r="H117" s="20"/>
      <c r="I117" s="2"/>
    </row>
    <row r="118" spans="1:17" x14ac:dyDescent="0.3">
      <c r="A118" t="s">
        <v>0</v>
      </c>
      <c r="B118" t="s">
        <v>21</v>
      </c>
      <c r="C118" s="20"/>
      <c r="D118" s="20"/>
      <c r="E118" s="20"/>
      <c r="G118" s="20"/>
      <c r="H118" s="20"/>
      <c r="I118" s="2"/>
      <c r="K118" s="2"/>
    </row>
    <row r="119" spans="1:17" x14ac:dyDescent="0.3">
      <c r="C119" s="20"/>
      <c r="D119" s="20"/>
      <c r="E119" s="20"/>
      <c r="G119" s="20"/>
      <c r="H119" s="20"/>
      <c r="I119" s="2"/>
      <c r="K119" s="2"/>
      <c r="P119" s="14" t="s">
        <v>9</v>
      </c>
    </row>
    <row r="120" spans="1:17" x14ac:dyDescent="0.3">
      <c r="B120" t="s">
        <v>44</v>
      </c>
      <c r="C120" s="33" t="str">
        <f t="shared" ref="C120:N120" si="28">C10</f>
        <v>Jul 20X1</v>
      </c>
      <c r="D120" s="33" t="str">
        <f t="shared" si="28"/>
        <v>Aug 20X1</v>
      </c>
      <c r="E120" s="33" t="str">
        <f t="shared" si="28"/>
        <v>Sep 20X1</v>
      </c>
      <c r="F120" s="33" t="str">
        <f t="shared" si="28"/>
        <v>Oct 20X1</v>
      </c>
      <c r="G120" s="33" t="str">
        <f t="shared" si="28"/>
        <v>Nov 20X1</v>
      </c>
      <c r="H120" s="33" t="str">
        <f t="shared" si="28"/>
        <v>Dec 20X1</v>
      </c>
      <c r="I120" s="33" t="str">
        <f t="shared" si="28"/>
        <v>Jan 20X2</v>
      </c>
      <c r="J120" s="33" t="str">
        <f t="shared" si="28"/>
        <v>Feb 20X2</v>
      </c>
      <c r="K120" s="33" t="str">
        <f t="shared" si="28"/>
        <v>Mar 20X2</v>
      </c>
      <c r="L120" s="33" t="str">
        <f t="shared" si="28"/>
        <v>Apr 20X2</v>
      </c>
      <c r="M120" s="33" t="str">
        <f t="shared" si="28"/>
        <v>May 20X2</v>
      </c>
      <c r="N120" s="33" t="str">
        <f t="shared" si="28"/>
        <v>Jun 20X2</v>
      </c>
      <c r="P120" t="s">
        <v>65</v>
      </c>
    </row>
    <row r="121" spans="1:17" x14ac:dyDescent="0.3">
      <c r="B121" s="33" t="str">
        <f t="shared" ref="B121:B132" si="29">B11</f>
        <v>Jul 20X1</v>
      </c>
      <c r="C121" s="51"/>
      <c r="D121" s="51">
        <f>D49</f>
        <v>3.6487695749440716</v>
      </c>
      <c r="E121" s="51">
        <f>E49</f>
        <v>1.6364193746167994</v>
      </c>
      <c r="F121" s="51">
        <f>F49</f>
        <v>1.1858373922817536</v>
      </c>
      <c r="G121" s="51">
        <f>G49</f>
        <v>1.0371248025276461</v>
      </c>
      <c r="H121" s="51">
        <f>H49</f>
        <v>1.0322924600152323</v>
      </c>
      <c r="I121" s="52"/>
      <c r="J121" s="52"/>
      <c r="K121" s="51">
        <f t="shared" ref="K121:N128" si="30">K49</f>
        <v>1</v>
      </c>
      <c r="L121" s="51">
        <f t="shared" si="30"/>
        <v>1</v>
      </c>
      <c r="M121" s="51">
        <f t="shared" si="30"/>
        <v>1</v>
      </c>
      <c r="N121" s="51">
        <f t="shared" si="30"/>
        <v>1</v>
      </c>
    </row>
    <row r="122" spans="1:17" x14ac:dyDescent="0.3">
      <c r="B122" s="33" t="str">
        <f t="shared" si="29"/>
        <v>Aug 20X1</v>
      </c>
      <c r="C122" s="51"/>
      <c r="D122" s="51"/>
      <c r="E122" s="51">
        <f>E50</f>
        <v>2.7128378378378377</v>
      </c>
      <c r="F122" s="51">
        <f>F50</f>
        <v>1.514321295143213</v>
      </c>
      <c r="G122" s="51">
        <f>G50</f>
        <v>1.2314967105263157</v>
      </c>
      <c r="H122" s="51">
        <f>H50</f>
        <v>1.0385642737896494</v>
      </c>
      <c r="I122" s="52"/>
      <c r="J122" s="52"/>
      <c r="K122" s="51">
        <f t="shared" si="30"/>
        <v>1</v>
      </c>
      <c r="L122" s="51">
        <f t="shared" si="30"/>
        <v>1</v>
      </c>
      <c r="M122" s="51">
        <f t="shared" si="30"/>
        <v>1</v>
      </c>
      <c r="N122" s="51">
        <f t="shared" si="30"/>
        <v>1</v>
      </c>
    </row>
    <row r="123" spans="1:17" x14ac:dyDescent="0.3">
      <c r="B123" s="33" t="str">
        <f t="shared" si="29"/>
        <v>Sep 20X1</v>
      </c>
      <c r="C123" s="51"/>
      <c r="D123" s="51"/>
      <c r="E123" s="51"/>
      <c r="F123" s="51">
        <f>F51</f>
        <v>3.4755838641188959</v>
      </c>
      <c r="G123" s="51">
        <f>G51</f>
        <v>1.5937690897984118</v>
      </c>
      <c r="H123" s="51">
        <f>H51</f>
        <v>1.1636642391720966</v>
      </c>
      <c r="I123" s="52"/>
      <c r="J123" s="52"/>
      <c r="K123" s="51">
        <f t="shared" si="30"/>
        <v>1.0018137847642079</v>
      </c>
      <c r="L123" s="51">
        <f t="shared" si="30"/>
        <v>1.0004526252263126</v>
      </c>
      <c r="M123" s="51">
        <f t="shared" si="30"/>
        <v>1</v>
      </c>
      <c r="N123" s="51">
        <f t="shared" si="30"/>
        <v>1</v>
      </c>
      <c r="O123" s="36"/>
    </row>
    <row r="124" spans="1:17" x14ac:dyDescent="0.3">
      <c r="B124" s="33" t="str">
        <f t="shared" si="29"/>
        <v>Oct 20X1</v>
      </c>
      <c r="C124" s="51"/>
      <c r="D124" s="51"/>
      <c r="E124" s="51"/>
      <c r="F124" s="51"/>
      <c r="G124" s="51">
        <f>G52</f>
        <v>2.4571428571428573</v>
      </c>
      <c r="H124" s="51">
        <f>H52</f>
        <v>1.7093023255813953</v>
      </c>
      <c r="I124" s="52"/>
      <c r="J124" s="52"/>
      <c r="K124" s="51">
        <f t="shared" si="30"/>
        <v>1.0396039603960396</v>
      </c>
      <c r="L124" s="51">
        <f t="shared" si="30"/>
        <v>1.0051654560129137</v>
      </c>
      <c r="M124" s="51">
        <f t="shared" si="30"/>
        <v>1</v>
      </c>
      <c r="N124" s="51">
        <f t="shared" si="30"/>
        <v>1</v>
      </c>
      <c r="O124" s="36"/>
      <c r="P124" s="36"/>
    </row>
    <row r="125" spans="1:17" x14ac:dyDescent="0.3">
      <c r="B125" s="33" t="str">
        <f t="shared" si="29"/>
        <v>Nov 20X1</v>
      </c>
      <c r="C125" s="51"/>
      <c r="D125" s="51"/>
      <c r="E125" s="51"/>
      <c r="F125" s="51"/>
      <c r="G125" s="51"/>
      <c r="H125" s="51">
        <f>H53</f>
        <v>2.5231316725978647</v>
      </c>
      <c r="I125" s="52"/>
      <c r="J125" s="52"/>
      <c r="K125" s="51">
        <f t="shared" si="30"/>
        <v>1.0378863409770689</v>
      </c>
      <c r="L125" s="51">
        <f t="shared" si="30"/>
        <v>1.0393852065321807</v>
      </c>
      <c r="M125" s="51">
        <f t="shared" si="30"/>
        <v>1.0043130006161429</v>
      </c>
      <c r="N125" s="51">
        <f t="shared" si="30"/>
        <v>1.0004601226993866</v>
      </c>
      <c r="O125" s="36"/>
      <c r="P125" s="36"/>
      <c r="Q125" s="36"/>
    </row>
    <row r="126" spans="1:17" x14ac:dyDescent="0.3">
      <c r="B126" s="33" t="str">
        <f t="shared" si="29"/>
        <v>Dec 20X1</v>
      </c>
      <c r="C126" s="51"/>
      <c r="D126" s="51"/>
      <c r="E126" s="51"/>
      <c r="F126" s="51"/>
      <c r="G126" s="51"/>
      <c r="H126" s="51"/>
      <c r="I126" s="52"/>
      <c r="J126" s="52"/>
      <c r="K126" s="51">
        <f t="shared" si="30"/>
        <v>1.1994395142456795</v>
      </c>
      <c r="L126" s="51">
        <f t="shared" si="30"/>
        <v>1.0480919003115265</v>
      </c>
      <c r="M126" s="51">
        <f t="shared" si="30"/>
        <v>1.0494148244473342</v>
      </c>
      <c r="N126" s="51">
        <f t="shared" si="30"/>
        <v>1.0021242697822623</v>
      </c>
    </row>
    <row r="127" spans="1:17" x14ac:dyDescent="0.3">
      <c r="B127" s="33" t="str">
        <f t="shared" si="29"/>
        <v>Jan 20X2</v>
      </c>
      <c r="C127" s="51"/>
      <c r="D127" s="51"/>
      <c r="E127" s="51"/>
      <c r="F127" s="51"/>
      <c r="G127" s="51"/>
      <c r="H127" s="51"/>
      <c r="I127" s="51"/>
      <c r="J127" s="52"/>
      <c r="K127" s="51">
        <f t="shared" si="30"/>
        <v>1.6176291793313069</v>
      </c>
      <c r="L127" s="51">
        <f t="shared" si="30"/>
        <v>1.217587373167982</v>
      </c>
      <c r="M127" s="51">
        <f t="shared" si="30"/>
        <v>1.0384259259259259</v>
      </c>
      <c r="N127" s="51">
        <f t="shared" si="30"/>
        <v>1.0326943082181601</v>
      </c>
    </row>
    <row r="128" spans="1:17" x14ac:dyDescent="0.3">
      <c r="B128" s="33" t="str">
        <f t="shared" si="29"/>
        <v>Feb 20X2</v>
      </c>
      <c r="C128" s="51"/>
      <c r="D128" s="51"/>
      <c r="E128" s="51"/>
      <c r="F128" s="51"/>
      <c r="G128" s="51"/>
      <c r="H128" s="51"/>
      <c r="I128" s="51"/>
      <c r="J128" s="51"/>
      <c r="K128" s="51">
        <f t="shared" si="30"/>
        <v>3.1929411764705882</v>
      </c>
      <c r="L128" s="51">
        <f t="shared" si="30"/>
        <v>1.6293294030950627</v>
      </c>
      <c r="M128" s="51">
        <f t="shared" si="30"/>
        <v>1.2501130710085935</v>
      </c>
      <c r="N128" s="51">
        <f t="shared" si="30"/>
        <v>1.0383502170767005</v>
      </c>
    </row>
    <row r="129" spans="1:16" x14ac:dyDescent="0.3">
      <c r="B129" s="33" t="str">
        <f t="shared" si="29"/>
        <v>Mar 20X2</v>
      </c>
      <c r="C129" s="51"/>
      <c r="D129" s="51"/>
      <c r="E129" s="51"/>
      <c r="F129" s="51"/>
      <c r="G129" s="51"/>
      <c r="H129" s="51"/>
      <c r="I129" s="51"/>
      <c r="J129" s="51"/>
      <c r="K129" s="51"/>
      <c r="L129" s="51">
        <f>L57</f>
        <v>3.3429752066115701</v>
      </c>
      <c r="M129" s="51">
        <f>M57</f>
        <v>1.6316440049443757</v>
      </c>
      <c r="N129" s="51">
        <f>N57</f>
        <v>1.2227272727272727</v>
      </c>
    </row>
    <row r="130" spans="1:16" x14ac:dyDescent="0.3">
      <c r="B130" s="33" t="str">
        <f t="shared" si="29"/>
        <v>Apr 20X2</v>
      </c>
      <c r="C130" s="51"/>
      <c r="D130" s="51"/>
      <c r="E130" s="51"/>
      <c r="F130" s="51"/>
      <c r="G130" s="51"/>
      <c r="H130" s="51"/>
      <c r="I130" s="51"/>
      <c r="J130" s="51"/>
      <c r="K130" s="51"/>
      <c r="L130" s="51"/>
      <c r="M130" s="51">
        <f>M58</f>
        <v>3.6837209302325582</v>
      </c>
      <c r="N130" s="51">
        <f>N58</f>
        <v>1.5138888888888888</v>
      </c>
    </row>
    <row r="131" spans="1:16" x14ac:dyDescent="0.3">
      <c r="B131" s="33" t="str">
        <f t="shared" si="29"/>
        <v>May 20X2</v>
      </c>
      <c r="C131" s="51"/>
      <c r="D131" s="51"/>
      <c r="E131" s="51"/>
      <c r="F131" s="51"/>
      <c r="G131" s="51"/>
      <c r="H131" s="51"/>
      <c r="I131" s="51"/>
      <c r="J131" s="51"/>
      <c r="K131" s="51"/>
      <c r="L131" s="51"/>
      <c r="M131" s="51"/>
      <c r="N131" s="51">
        <f>N59</f>
        <v>2.5837563451776648</v>
      </c>
    </row>
    <row r="132" spans="1:16" x14ac:dyDescent="0.3">
      <c r="B132" s="33" t="str">
        <f t="shared" si="29"/>
        <v>Jun 20X2</v>
      </c>
      <c r="C132" s="36"/>
      <c r="D132" s="36"/>
      <c r="E132" s="36"/>
      <c r="F132" s="36"/>
      <c r="G132" s="36"/>
      <c r="H132" s="36"/>
      <c r="I132" s="36"/>
      <c r="J132" s="36"/>
      <c r="K132" s="36"/>
      <c r="L132" s="36"/>
      <c r="M132" s="36"/>
      <c r="N132" s="36"/>
    </row>
    <row r="133" spans="1:16" x14ac:dyDescent="0.3">
      <c r="C133" s="20"/>
      <c r="D133" s="20"/>
      <c r="E133" s="20"/>
      <c r="G133" s="20"/>
      <c r="H133" s="20"/>
      <c r="I133" s="2"/>
      <c r="K133" s="2"/>
    </row>
    <row r="134" spans="1:16" x14ac:dyDescent="0.3">
      <c r="C134" s="11" t="s">
        <v>59</v>
      </c>
      <c r="D134" s="11" t="s">
        <v>59</v>
      </c>
      <c r="E134" s="11" t="s">
        <v>59</v>
      </c>
      <c r="F134" s="11" t="s">
        <v>59</v>
      </c>
      <c r="G134" s="11" t="s">
        <v>59</v>
      </c>
      <c r="H134" s="11" t="s">
        <v>59</v>
      </c>
      <c r="I134" s="11" t="s">
        <v>59</v>
      </c>
      <c r="J134" s="11" t="s">
        <v>59</v>
      </c>
      <c r="K134" s="11" t="s">
        <v>59</v>
      </c>
      <c r="L134" s="11" t="s">
        <v>59</v>
      </c>
      <c r="M134" s="11" t="s">
        <v>59</v>
      </c>
      <c r="N134" s="11" t="s">
        <v>59</v>
      </c>
    </row>
    <row r="135" spans="1:16" x14ac:dyDescent="0.3">
      <c r="B135" t="s">
        <v>44</v>
      </c>
      <c r="C135" s="11">
        <v>0</v>
      </c>
      <c r="D135" s="11">
        <v>1</v>
      </c>
      <c r="E135" s="11">
        <v>2</v>
      </c>
      <c r="F135" s="11">
        <v>3</v>
      </c>
      <c r="G135" s="11">
        <v>4</v>
      </c>
      <c r="H135" s="11">
        <v>5</v>
      </c>
      <c r="I135" s="11">
        <v>6</v>
      </c>
      <c r="J135" s="11">
        <v>7</v>
      </c>
      <c r="K135" s="11">
        <v>8</v>
      </c>
      <c r="L135" s="11">
        <v>9</v>
      </c>
      <c r="M135" s="11">
        <v>10</v>
      </c>
      <c r="N135" s="11">
        <v>11</v>
      </c>
      <c r="P135" t="s">
        <v>64</v>
      </c>
    </row>
    <row r="136" spans="1:16" x14ac:dyDescent="0.3">
      <c r="A136">
        <v>1</v>
      </c>
      <c r="B136" s="33" t="str">
        <f t="shared" ref="B136:B147" si="31">B121</f>
        <v>Jul 20X1</v>
      </c>
      <c r="C136" s="11"/>
      <c r="D136" s="53">
        <f ca="1">OFFSET(D121,0,$A136-1)</f>
        <v>3.6487695749440716</v>
      </c>
      <c r="E136" s="53">
        <f ca="1">OFFSET(E121,0,$A136-1)</f>
        <v>1.6364193746167994</v>
      </c>
      <c r="F136" s="53">
        <f ca="1">OFFSET(F121,0,$A136-1)</f>
        <v>1.1858373922817536</v>
      </c>
      <c r="G136" s="53">
        <f ca="1">OFFSET(G121,0,$A136-1)</f>
        <v>1.0371248025276461</v>
      </c>
      <c r="H136" s="53">
        <f ca="1">OFFSET(H121,0,$A136-1)</f>
        <v>1.0322924600152323</v>
      </c>
      <c r="I136" s="54"/>
      <c r="J136" s="54"/>
      <c r="K136" s="53">
        <f ca="1">OFFSET(K121,0,$A136-1)</f>
        <v>1</v>
      </c>
      <c r="L136" s="53">
        <f ca="1">OFFSET(L121,0,$A136-1)</f>
        <v>1</v>
      </c>
      <c r="M136" s="53">
        <f ca="1">OFFSET(M121,0,$A136-1)</f>
        <v>1</v>
      </c>
      <c r="N136" s="53">
        <f ca="1">OFFSET(N121,0,$A136-1)</f>
        <v>1</v>
      </c>
    </row>
    <row r="137" spans="1:16" x14ac:dyDescent="0.3">
      <c r="A137">
        <f t="shared" ref="A137:A147" si="32">A136+1</f>
        <v>2</v>
      </c>
      <c r="B137" s="33" t="str">
        <f t="shared" si="31"/>
        <v>Aug 20X1</v>
      </c>
      <c r="C137" s="11"/>
      <c r="D137" s="53">
        <f ca="1">OFFSET(D122,0,$A137-1)</f>
        <v>2.7128378378378377</v>
      </c>
      <c r="E137" s="53">
        <f ca="1">OFFSET(E122,0,$A137-1)</f>
        <v>1.514321295143213</v>
      </c>
      <c r="F137" s="53">
        <f ca="1">OFFSET(F122,0,$A137-1)</f>
        <v>1.2314967105263157</v>
      </c>
      <c r="G137" s="53">
        <f ca="1">OFFSET(G122,0,$A137-1)</f>
        <v>1.0385642737896494</v>
      </c>
      <c r="H137" s="54"/>
      <c r="I137" s="54"/>
      <c r="J137" s="53">
        <f ca="1">OFFSET(J122,0,$A137-1)</f>
        <v>1</v>
      </c>
      <c r="K137" s="53">
        <f ca="1">OFFSET(K122,0,$A137-1)</f>
        <v>1</v>
      </c>
      <c r="L137" s="53">
        <f ca="1">OFFSET(L122,0,$A137-1)</f>
        <v>1</v>
      </c>
      <c r="M137" s="53">
        <f ca="1">OFFSET(M122,0,$A137-1)</f>
        <v>1</v>
      </c>
      <c r="N137" s="53"/>
    </row>
    <row r="138" spans="1:16" x14ac:dyDescent="0.3">
      <c r="A138">
        <f t="shared" si="32"/>
        <v>3</v>
      </c>
      <c r="B138" s="33" t="str">
        <f t="shared" si="31"/>
        <v>Sep 20X1</v>
      </c>
      <c r="C138" s="11"/>
      <c r="D138" s="53">
        <f ca="1">OFFSET(D123,0,$A138-1)</f>
        <v>3.4755838641188959</v>
      </c>
      <c r="E138" s="53">
        <f ca="1">OFFSET(E123,0,$A138-1)</f>
        <v>1.5937690897984118</v>
      </c>
      <c r="F138" s="53">
        <f ca="1">OFFSET(F123,0,$A138-1)</f>
        <v>1.1636642391720966</v>
      </c>
      <c r="G138" s="54"/>
      <c r="H138" s="54"/>
      <c r="I138" s="53">
        <f ca="1">OFFSET(I123,0,$A138-1)</f>
        <v>1.0018137847642079</v>
      </c>
      <c r="J138" s="53">
        <f ca="1">OFFSET(J123,0,$A138-1)</f>
        <v>1.0004526252263126</v>
      </c>
      <c r="K138" s="53">
        <f ca="1">OFFSET(K123,0,$A138-1)</f>
        <v>1</v>
      </c>
      <c r="L138" s="53">
        <f ca="1">OFFSET(L123,0,$A138-1)</f>
        <v>1</v>
      </c>
      <c r="M138" s="53"/>
      <c r="N138" s="53"/>
    </row>
    <row r="139" spans="1:16" x14ac:dyDescent="0.3">
      <c r="A139">
        <f t="shared" si="32"/>
        <v>4</v>
      </c>
      <c r="B139" s="33" t="str">
        <f t="shared" si="31"/>
        <v>Oct 20X1</v>
      </c>
      <c r="C139" s="11"/>
      <c r="D139" s="53">
        <f ca="1">OFFSET(D124,0,$A139-1)</f>
        <v>2.4571428571428573</v>
      </c>
      <c r="E139" s="53">
        <f ca="1">OFFSET(E124,0,$A139-1)</f>
        <v>1.7093023255813953</v>
      </c>
      <c r="F139" s="54"/>
      <c r="G139" s="54"/>
      <c r="H139" s="53">
        <f ca="1">OFFSET(H124,0,$A139-1)</f>
        <v>1.0396039603960396</v>
      </c>
      <c r="I139" s="53">
        <f ca="1">OFFSET(I124,0,$A139-1)</f>
        <v>1.0051654560129137</v>
      </c>
      <c r="J139" s="53">
        <f ca="1">OFFSET(J124,0,$A139-1)</f>
        <v>1</v>
      </c>
      <c r="K139" s="53">
        <f ca="1">OFFSET(K124,0,$A139-1)</f>
        <v>1</v>
      </c>
      <c r="L139" s="53"/>
      <c r="M139" s="53"/>
      <c r="N139" s="53"/>
    </row>
    <row r="140" spans="1:16" x14ac:dyDescent="0.3">
      <c r="A140">
        <f t="shared" si="32"/>
        <v>5</v>
      </c>
      <c r="B140" s="33" t="str">
        <f t="shared" si="31"/>
        <v>Nov 20X1</v>
      </c>
      <c r="C140" s="11"/>
      <c r="D140" s="53">
        <f ca="1">OFFSET(D125,0,$A140-1)</f>
        <v>2.5231316725978647</v>
      </c>
      <c r="E140" s="54"/>
      <c r="F140" s="54"/>
      <c r="G140" s="53">
        <f ca="1">OFFSET(G125,0,$A140-1)</f>
        <v>1.0378863409770689</v>
      </c>
      <c r="H140" s="53">
        <f ca="1">OFFSET(H125,0,$A140-1)</f>
        <v>1.0393852065321807</v>
      </c>
      <c r="I140" s="53">
        <f ca="1">OFFSET(I125,0,$A140-1)</f>
        <v>1.0043130006161429</v>
      </c>
      <c r="J140" s="53">
        <f ca="1">OFFSET(J125,0,$A140-1)</f>
        <v>1.0004601226993866</v>
      </c>
      <c r="K140" s="53"/>
      <c r="L140" s="53"/>
      <c r="M140" s="53"/>
      <c r="N140" s="53"/>
    </row>
    <row r="141" spans="1:16" x14ac:dyDescent="0.3">
      <c r="A141">
        <f t="shared" si="32"/>
        <v>6</v>
      </c>
      <c r="B141" s="33" t="str">
        <f t="shared" si="31"/>
        <v>Dec 20X1</v>
      </c>
      <c r="C141" s="11"/>
      <c r="D141" s="54"/>
      <c r="E141" s="54"/>
      <c r="F141" s="53">
        <f ca="1">OFFSET(F126,0,$A141-1)</f>
        <v>1.1994395142456795</v>
      </c>
      <c r="G141" s="53">
        <f ca="1">OFFSET(G126,0,$A141-1)</f>
        <v>1.0480919003115265</v>
      </c>
      <c r="H141" s="53">
        <f ca="1">OFFSET(H126,0,$A141-1)</f>
        <v>1.0494148244473342</v>
      </c>
      <c r="I141" s="53">
        <f ca="1">OFFSET(I126,0,$A141-1)</f>
        <v>1.0021242697822623</v>
      </c>
      <c r="J141" s="53"/>
      <c r="K141" s="53"/>
      <c r="L141" s="53"/>
      <c r="M141" s="53"/>
      <c r="N141" s="53"/>
    </row>
    <row r="142" spans="1:16" x14ac:dyDescent="0.3">
      <c r="A142">
        <f t="shared" si="32"/>
        <v>7</v>
      </c>
      <c r="B142" s="33" t="str">
        <f t="shared" si="31"/>
        <v>Jan 20X2</v>
      </c>
      <c r="C142" s="11"/>
      <c r="D142" s="54"/>
      <c r="E142" s="53">
        <f ca="1">OFFSET(E127,0,$A142-1)</f>
        <v>1.6176291793313069</v>
      </c>
      <c r="F142" s="53">
        <f ca="1">OFFSET(F127,0,$A142-1)</f>
        <v>1.217587373167982</v>
      </c>
      <c r="G142" s="53">
        <f ca="1">OFFSET(G127,0,$A142-1)</f>
        <v>1.0384259259259259</v>
      </c>
      <c r="H142" s="53">
        <f ca="1">OFFSET(H127,0,$A142-1)</f>
        <v>1.0326943082181601</v>
      </c>
      <c r="I142" s="53"/>
      <c r="J142" s="53"/>
      <c r="K142" s="53"/>
      <c r="L142" s="53"/>
      <c r="M142" s="53"/>
      <c r="N142" s="53"/>
    </row>
    <row r="143" spans="1:16" x14ac:dyDescent="0.3">
      <c r="A143">
        <f t="shared" si="32"/>
        <v>8</v>
      </c>
      <c r="B143" s="33" t="str">
        <f t="shared" si="31"/>
        <v>Feb 20X2</v>
      </c>
      <c r="C143" s="11"/>
      <c r="D143" s="53">
        <f ca="1">OFFSET(D128,0,$A143-1)</f>
        <v>3.1929411764705882</v>
      </c>
      <c r="E143" s="53">
        <f ca="1">OFFSET(E128,0,$A143-1)</f>
        <v>1.6293294030950627</v>
      </c>
      <c r="F143" s="53">
        <f ca="1">OFFSET(F128,0,$A143-1)</f>
        <v>1.2501130710085935</v>
      </c>
      <c r="G143" s="53">
        <f ca="1">OFFSET(G128,0,$A143-1)</f>
        <v>1.0383502170767005</v>
      </c>
      <c r="H143" s="53"/>
      <c r="I143" s="53"/>
      <c r="J143" s="53"/>
      <c r="K143" s="53"/>
      <c r="L143" s="53"/>
      <c r="M143" s="53"/>
      <c r="N143" s="53"/>
    </row>
    <row r="144" spans="1:16" x14ac:dyDescent="0.3">
      <c r="A144">
        <f t="shared" si="32"/>
        <v>9</v>
      </c>
      <c r="B144" s="33" t="str">
        <f t="shared" si="31"/>
        <v>Mar 20X2</v>
      </c>
      <c r="C144" s="11"/>
      <c r="D144" s="53">
        <f ca="1">OFFSET(D129,0,$A144-1)</f>
        <v>3.3429752066115701</v>
      </c>
      <c r="E144" s="53">
        <f ca="1">OFFSET(E129,0,$A144-1)</f>
        <v>1.6316440049443757</v>
      </c>
      <c r="F144" s="53">
        <f ca="1">OFFSET(F129,0,$A144-1)</f>
        <v>1.2227272727272727</v>
      </c>
      <c r="G144" s="53"/>
      <c r="H144" s="53"/>
      <c r="I144" s="53"/>
      <c r="J144" s="53"/>
      <c r="K144" s="53"/>
      <c r="L144" s="53"/>
      <c r="M144" s="53"/>
      <c r="N144" s="53"/>
    </row>
    <row r="145" spans="1:16" x14ac:dyDescent="0.3">
      <c r="A145">
        <f t="shared" si="32"/>
        <v>10</v>
      </c>
      <c r="B145" s="33" t="str">
        <f t="shared" si="31"/>
        <v>Apr 20X2</v>
      </c>
      <c r="C145" s="11"/>
      <c r="D145" s="53">
        <f ca="1">OFFSET(D130,0,$A145-1)</f>
        <v>3.6837209302325582</v>
      </c>
      <c r="E145" s="53">
        <f ca="1">OFFSET(E130,0,$A145-1)</f>
        <v>1.5138888888888888</v>
      </c>
      <c r="F145" s="53"/>
      <c r="G145" s="53"/>
      <c r="H145" s="53"/>
      <c r="I145" s="53"/>
      <c r="J145" s="53"/>
      <c r="K145" s="53"/>
      <c r="L145" s="53"/>
      <c r="M145" s="53"/>
      <c r="N145" s="53"/>
    </row>
    <row r="146" spans="1:16" x14ac:dyDescent="0.3">
      <c r="A146">
        <f t="shared" si="32"/>
        <v>11</v>
      </c>
      <c r="B146" s="33" t="str">
        <f t="shared" si="31"/>
        <v>May 20X2</v>
      </c>
      <c r="C146" s="11"/>
      <c r="D146" s="53">
        <f ca="1">OFFSET(D131,0,$A146-1)</f>
        <v>2.5837563451776648</v>
      </c>
      <c r="E146" s="53"/>
      <c r="F146" s="11"/>
      <c r="G146" s="11"/>
      <c r="H146" s="11"/>
      <c r="I146" s="11"/>
      <c r="J146" s="11"/>
      <c r="K146" s="11"/>
      <c r="L146" s="11"/>
      <c r="M146" s="11"/>
      <c r="N146" s="11"/>
    </row>
    <row r="147" spans="1:16" x14ac:dyDescent="0.3">
      <c r="A147">
        <f t="shared" si="32"/>
        <v>12</v>
      </c>
      <c r="B147" s="33" t="str">
        <f t="shared" si="31"/>
        <v>Jun 20X2</v>
      </c>
      <c r="C147" s="11"/>
      <c r="D147" s="53"/>
      <c r="E147" s="11"/>
      <c r="F147" s="11"/>
      <c r="G147" s="11"/>
      <c r="H147" s="11"/>
      <c r="I147" s="15"/>
      <c r="J147" s="11"/>
      <c r="K147" s="11"/>
      <c r="L147" s="11"/>
      <c r="M147" s="11"/>
      <c r="N147" s="11"/>
    </row>
    <row r="148" spans="1:16" x14ac:dyDescent="0.3">
      <c r="C148" s="11"/>
      <c r="D148" s="11"/>
      <c r="E148" s="11"/>
      <c r="F148" s="11"/>
      <c r="G148" s="11"/>
      <c r="H148" s="11"/>
      <c r="I148" s="11"/>
      <c r="J148" s="11"/>
      <c r="K148" s="11"/>
      <c r="L148" s="11"/>
      <c r="M148" s="11"/>
      <c r="N148" s="11"/>
    </row>
    <row r="149" spans="1:16" x14ac:dyDescent="0.3">
      <c r="C149" s="11" t="s">
        <v>3</v>
      </c>
      <c r="D149" s="53">
        <f t="shared" ref="D149:N149" ca="1" si="33">AVERAGE(D136:D147)</f>
        <v>3.0689843850148786</v>
      </c>
      <c r="E149" s="53">
        <f t="shared" ca="1" si="33"/>
        <v>1.6057879451749317</v>
      </c>
      <c r="F149" s="53">
        <f t="shared" ca="1" si="33"/>
        <v>1.2101236533042419</v>
      </c>
      <c r="G149" s="53">
        <f t="shared" ca="1" si="33"/>
        <v>1.0397405767680865</v>
      </c>
      <c r="H149" s="53">
        <f t="shared" ca="1" si="33"/>
        <v>1.0386781519217894</v>
      </c>
      <c r="I149" s="53">
        <f t="shared" ca="1" si="33"/>
        <v>1.0033541277938818</v>
      </c>
      <c r="J149" s="53">
        <f t="shared" ca="1" si="33"/>
        <v>1.0002281869814249</v>
      </c>
      <c r="K149" s="53">
        <f t="shared" ca="1" si="33"/>
        <v>1</v>
      </c>
      <c r="L149" s="53">
        <f t="shared" ca="1" si="33"/>
        <v>1</v>
      </c>
      <c r="M149" s="53">
        <f t="shared" ca="1" si="33"/>
        <v>1</v>
      </c>
      <c r="N149" s="53">
        <f t="shared" ca="1" si="33"/>
        <v>1</v>
      </c>
      <c r="P149" t="s">
        <v>63</v>
      </c>
    </row>
    <row r="150" spans="1:16" x14ac:dyDescent="0.3">
      <c r="D150" s="36"/>
      <c r="E150" s="36"/>
      <c r="F150" s="36"/>
      <c r="G150" s="36"/>
      <c r="H150" s="36"/>
      <c r="I150" s="36"/>
      <c r="J150" s="36"/>
      <c r="K150" s="36"/>
      <c r="L150" s="36"/>
      <c r="M150" s="36"/>
      <c r="N150" s="36"/>
    </row>
    <row r="152" spans="1:16" x14ac:dyDescent="0.3">
      <c r="B152" s="11"/>
      <c r="C152" s="27" t="s">
        <v>62</v>
      </c>
      <c r="D152" s="27"/>
      <c r="E152" s="20"/>
    </row>
    <row r="153" spans="1:16" x14ac:dyDescent="0.3">
      <c r="B153" s="11"/>
      <c r="C153" s="27" t="s">
        <v>61</v>
      </c>
      <c r="D153" s="27" t="s">
        <v>60</v>
      </c>
      <c r="E153" s="20"/>
      <c r="H153" s="14" t="s">
        <v>9</v>
      </c>
    </row>
    <row r="154" spans="1:16" x14ac:dyDescent="0.3">
      <c r="B154" s="11" t="s">
        <v>59</v>
      </c>
      <c r="C154" s="27" t="s">
        <v>58</v>
      </c>
      <c r="D154" s="27" t="s">
        <v>58</v>
      </c>
      <c r="E154" s="20"/>
    </row>
    <row r="155" spans="1:16" x14ac:dyDescent="0.3">
      <c r="B155" s="11">
        <v>11</v>
      </c>
      <c r="C155" s="50">
        <f t="shared" ref="C155:C166" ca="1" si="34">INDEX($C$149:$N$149,MATCH(B155,$C$63:$N$63))</f>
        <v>1</v>
      </c>
      <c r="D155" s="50">
        <v>1</v>
      </c>
      <c r="E155" s="20"/>
      <c r="H155" t="s">
        <v>57</v>
      </c>
    </row>
    <row r="156" spans="1:16" x14ac:dyDescent="0.3">
      <c r="B156" s="11">
        <f t="shared" ref="B156:B166" si="35">B155-1</f>
        <v>10</v>
      </c>
      <c r="C156" s="50">
        <f t="shared" ca="1" si="34"/>
        <v>1</v>
      </c>
      <c r="D156" s="50">
        <f t="shared" ref="D156:D166" ca="1" si="36">D155/C155</f>
        <v>1</v>
      </c>
      <c r="E156" s="20"/>
    </row>
    <row r="157" spans="1:16" x14ac:dyDescent="0.3">
      <c r="B157" s="11">
        <f t="shared" si="35"/>
        <v>9</v>
      </c>
      <c r="C157" s="50">
        <f t="shared" ca="1" si="34"/>
        <v>1</v>
      </c>
      <c r="D157" s="50">
        <f t="shared" ca="1" si="36"/>
        <v>1</v>
      </c>
      <c r="E157" s="20"/>
    </row>
    <row r="158" spans="1:16" x14ac:dyDescent="0.3">
      <c r="B158" s="11">
        <f t="shared" si="35"/>
        <v>8</v>
      </c>
      <c r="C158" s="50">
        <f t="shared" ca="1" si="34"/>
        <v>1</v>
      </c>
      <c r="D158" s="50">
        <f t="shared" ca="1" si="36"/>
        <v>1</v>
      </c>
      <c r="E158" s="20"/>
    </row>
    <row r="159" spans="1:16" x14ac:dyDescent="0.3">
      <c r="B159" s="11">
        <f t="shared" si="35"/>
        <v>7</v>
      </c>
      <c r="C159" s="50">
        <f t="shared" ca="1" si="34"/>
        <v>1.0002281869814249</v>
      </c>
      <c r="D159" s="50">
        <f t="shared" ca="1" si="36"/>
        <v>1</v>
      </c>
      <c r="E159" s="20"/>
    </row>
    <row r="160" spans="1:16" x14ac:dyDescent="0.3">
      <c r="B160" s="11">
        <f t="shared" si="35"/>
        <v>6</v>
      </c>
      <c r="C160" s="50">
        <f t="shared" ca="1" si="34"/>
        <v>1.0033541277938818</v>
      </c>
      <c r="D160" s="50">
        <f t="shared" ca="1" si="36"/>
        <v>0.9997718650759948</v>
      </c>
      <c r="E160" s="20"/>
    </row>
    <row r="161" spans="2:8" x14ac:dyDescent="0.3">
      <c r="B161" s="11">
        <f t="shared" si="35"/>
        <v>5</v>
      </c>
      <c r="C161" s="50">
        <f t="shared" ca="1" si="34"/>
        <v>1.0386781519217894</v>
      </c>
      <c r="D161" s="50">
        <f t="shared" ca="1" si="36"/>
        <v>0.99642971248270695</v>
      </c>
      <c r="E161" s="20"/>
    </row>
    <row r="162" spans="2:8" x14ac:dyDescent="0.3">
      <c r="B162" s="11">
        <f t="shared" si="35"/>
        <v>4</v>
      </c>
      <c r="C162" s="50">
        <f t="shared" ca="1" si="34"/>
        <v>1.0397405767680865</v>
      </c>
      <c r="D162" s="50">
        <f t="shared" ca="1" si="36"/>
        <v>0.95932480204680026</v>
      </c>
      <c r="E162" s="20"/>
    </row>
    <row r="163" spans="2:8" x14ac:dyDescent="0.3">
      <c r="B163" s="11">
        <f t="shared" si="35"/>
        <v>3</v>
      </c>
      <c r="C163" s="50">
        <f t="shared" ca="1" si="34"/>
        <v>1.2101236533042419</v>
      </c>
      <c r="D163" s="50">
        <f t="shared" ca="1" si="36"/>
        <v>0.92265784704560694</v>
      </c>
      <c r="E163" s="20"/>
    </row>
    <row r="164" spans="2:8" x14ac:dyDescent="0.3">
      <c r="B164" s="11">
        <f t="shared" si="35"/>
        <v>2</v>
      </c>
      <c r="C164" s="50">
        <f t="shared" ca="1" si="34"/>
        <v>1.6057879451749317</v>
      </c>
      <c r="D164" s="50">
        <f t="shared" ca="1" si="36"/>
        <v>0.76244922948682992</v>
      </c>
      <c r="E164" s="20"/>
    </row>
    <row r="165" spans="2:8" x14ac:dyDescent="0.3">
      <c r="B165" s="11">
        <f t="shared" si="35"/>
        <v>1</v>
      </c>
      <c r="C165" s="50">
        <f t="shared" ca="1" si="34"/>
        <v>3.0689843850148786</v>
      </c>
      <c r="D165" s="50">
        <f t="shared" ca="1" si="36"/>
        <v>0.47481314813567743</v>
      </c>
      <c r="E165" s="20"/>
    </row>
    <row r="166" spans="2:8" x14ac:dyDescent="0.3">
      <c r="B166" s="11">
        <f t="shared" si="35"/>
        <v>0</v>
      </c>
      <c r="C166" s="50" t="str">
        <f t="shared" si="34"/>
        <v>N/A</v>
      </c>
      <c r="D166" s="50">
        <f t="shared" ca="1" si="36"/>
        <v>0.15471344541669133</v>
      </c>
      <c r="E166" s="20"/>
    </row>
    <row r="167" spans="2:8" x14ac:dyDescent="0.3">
      <c r="C167" s="20"/>
      <c r="D167" s="20"/>
      <c r="E167" s="20"/>
    </row>
    <row r="168" spans="2:8" x14ac:dyDescent="0.3">
      <c r="C168" s="31" t="s">
        <v>56</v>
      </c>
      <c r="D168" s="31" t="s">
        <v>55</v>
      </c>
      <c r="E168" s="31"/>
    </row>
    <row r="169" spans="2:8" x14ac:dyDescent="0.3">
      <c r="B169" s="20" t="s">
        <v>54</v>
      </c>
      <c r="C169" s="31" t="s">
        <v>17</v>
      </c>
      <c r="D169" s="31" t="s">
        <v>17</v>
      </c>
      <c r="E169" s="24" t="s">
        <v>53</v>
      </c>
    </row>
    <row r="170" spans="2:8" x14ac:dyDescent="0.3">
      <c r="B170" s="33" t="str">
        <f t="shared" ref="B170:C181" si="37">B101</f>
        <v>Jan 20X2</v>
      </c>
      <c r="C170" s="17">
        <f t="shared" si="37"/>
        <v>174050</v>
      </c>
      <c r="D170" s="17">
        <f t="shared" ref="D170:D181" si="38">C170/D155</f>
        <v>174050</v>
      </c>
      <c r="E170" s="17">
        <f t="shared" ref="E170:E181" si="39">D170-C170</f>
        <v>0</v>
      </c>
      <c r="H170" t="s">
        <v>52</v>
      </c>
    </row>
    <row r="171" spans="2:8" x14ac:dyDescent="0.3">
      <c r="B171" s="33" t="str">
        <f t="shared" si="37"/>
        <v>Feb 20X2</v>
      </c>
      <c r="C171" s="17">
        <f t="shared" si="37"/>
        <v>151600</v>
      </c>
      <c r="D171" s="17">
        <f t="shared" ca="1" si="38"/>
        <v>151600</v>
      </c>
      <c r="E171" s="17">
        <f t="shared" ca="1" si="39"/>
        <v>0</v>
      </c>
    </row>
    <row r="172" spans="2:8" x14ac:dyDescent="0.3">
      <c r="B172" s="33" t="str">
        <f t="shared" si="37"/>
        <v>Mar 20X2</v>
      </c>
      <c r="C172" s="17">
        <f t="shared" si="37"/>
        <v>173600</v>
      </c>
      <c r="D172" s="17">
        <f t="shared" ca="1" si="38"/>
        <v>173600</v>
      </c>
      <c r="E172" s="17">
        <f t="shared" ca="1" si="39"/>
        <v>0</v>
      </c>
    </row>
    <row r="173" spans="2:8" x14ac:dyDescent="0.3">
      <c r="B173" s="33" t="str">
        <f t="shared" si="37"/>
        <v>Apr 20X2</v>
      </c>
      <c r="C173" s="17">
        <f t="shared" si="37"/>
        <v>162575</v>
      </c>
      <c r="D173" s="17">
        <f t="shared" ca="1" si="38"/>
        <v>162575</v>
      </c>
      <c r="E173" s="17">
        <f t="shared" ca="1" si="39"/>
        <v>0</v>
      </c>
    </row>
    <row r="174" spans="2:8" x14ac:dyDescent="0.3">
      <c r="B174" s="33" t="str">
        <f t="shared" si="37"/>
        <v>May 20X2</v>
      </c>
      <c r="C174" s="17">
        <f t="shared" si="37"/>
        <v>153975</v>
      </c>
      <c r="D174" s="17">
        <f t="shared" ca="1" si="38"/>
        <v>153975</v>
      </c>
      <c r="E174" s="17">
        <f t="shared" ca="1" si="39"/>
        <v>0</v>
      </c>
    </row>
    <row r="175" spans="2:8" x14ac:dyDescent="0.3">
      <c r="B175" s="33" t="str">
        <f t="shared" si="37"/>
        <v>Jun 20X2</v>
      </c>
      <c r="C175" s="17">
        <f t="shared" si="37"/>
        <v>160700</v>
      </c>
      <c r="D175" s="17">
        <f t="shared" ca="1" si="38"/>
        <v>160736.66964791497</v>
      </c>
      <c r="E175" s="17">
        <f t="shared" ca="1" si="39"/>
        <v>36.669647914968664</v>
      </c>
    </row>
    <row r="176" spans="2:8" x14ac:dyDescent="0.3">
      <c r="B176" s="33" t="str">
        <f t="shared" si="37"/>
        <v>Jul 20X2</v>
      </c>
      <c r="C176" s="17">
        <f t="shared" si="37"/>
        <v>156400</v>
      </c>
      <c r="D176" s="17">
        <f t="shared" ca="1" si="38"/>
        <v>156960.39373445953</v>
      </c>
      <c r="E176" s="17">
        <f t="shared" ca="1" si="39"/>
        <v>560.39373445953242</v>
      </c>
    </row>
    <row r="177" spans="1:8" x14ac:dyDescent="0.3">
      <c r="B177" s="33" t="str">
        <f t="shared" si="37"/>
        <v>Aug 20X2</v>
      </c>
      <c r="C177" s="17">
        <f t="shared" si="37"/>
        <v>142950</v>
      </c>
      <c r="D177" s="17">
        <f t="shared" ca="1" si="38"/>
        <v>149011.05412369632</v>
      </c>
      <c r="E177" s="17">
        <f t="shared" ca="1" si="39"/>
        <v>6061.0541236963181</v>
      </c>
    </row>
    <row r="178" spans="1:8" x14ac:dyDescent="0.3">
      <c r="B178" s="33" t="str">
        <f t="shared" si="37"/>
        <v>Sep 20X2</v>
      </c>
      <c r="C178" s="17">
        <f t="shared" si="37"/>
        <v>160550</v>
      </c>
      <c r="D178" s="17">
        <f t="shared" ca="1" si="38"/>
        <v>174008.16620601941</v>
      </c>
      <c r="E178" s="17">
        <f t="shared" ca="1" si="39"/>
        <v>13458.166206019407</v>
      </c>
    </row>
    <row r="179" spans="1:8" x14ac:dyDescent="0.3">
      <c r="B179" s="33" t="str">
        <f t="shared" si="37"/>
        <v>Oct 20X2</v>
      </c>
      <c r="C179" s="17">
        <f t="shared" si="37"/>
        <v>120000</v>
      </c>
      <c r="D179" s="17">
        <f t="shared" ca="1" si="38"/>
        <v>157387.52871554028</v>
      </c>
      <c r="E179" s="17">
        <f t="shared" ca="1" si="39"/>
        <v>37387.528715540277</v>
      </c>
    </row>
    <row r="180" spans="1:8" x14ac:dyDescent="0.3">
      <c r="B180" s="33" t="str">
        <f t="shared" si="37"/>
        <v>Nov 20X2</v>
      </c>
      <c r="C180" s="17">
        <f t="shared" si="37"/>
        <v>72850</v>
      </c>
      <c r="D180" s="17">
        <f t="shared" ca="1" si="38"/>
        <v>153428.77569005982</v>
      </c>
      <c r="E180" s="17">
        <f t="shared" ca="1" si="39"/>
        <v>80578.775690059818</v>
      </c>
    </row>
    <row r="181" spans="1:8" x14ac:dyDescent="0.3">
      <c r="B181" s="33" t="str">
        <f t="shared" si="37"/>
        <v>Dec 20X2</v>
      </c>
      <c r="C181" s="17">
        <f t="shared" si="37"/>
        <v>25100</v>
      </c>
      <c r="D181" s="17">
        <f t="shared" ca="1" si="38"/>
        <v>162235.41484967846</v>
      </c>
      <c r="E181" s="17">
        <f t="shared" ca="1" si="39"/>
        <v>137135.41484967846</v>
      </c>
    </row>
    <row r="182" spans="1:8" x14ac:dyDescent="0.3">
      <c r="C182" s="17"/>
      <c r="D182" s="17"/>
      <c r="E182" s="17"/>
    </row>
    <row r="183" spans="1:8" x14ac:dyDescent="0.3">
      <c r="C183" s="17"/>
      <c r="D183" s="25" t="s">
        <v>50</v>
      </c>
      <c r="E183" s="17">
        <f ca="1">SUM(E170:E181)</f>
        <v>275218.00296736881</v>
      </c>
      <c r="H183" t="s">
        <v>51</v>
      </c>
    </row>
    <row r="185" spans="1:8" x14ac:dyDescent="0.3">
      <c r="A185" t="s">
        <v>16</v>
      </c>
      <c r="B185" t="s">
        <v>20</v>
      </c>
    </row>
    <row r="187" spans="1:8" x14ac:dyDescent="0.3">
      <c r="D187" s="10" t="s">
        <v>50</v>
      </c>
      <c r="E187" s="17">
        <f ca="1">E183</f>
        <v>275218.00296736881</v>
      </c>
    </row>
    <row r="188" spans="1:8" x14ac:dyDescent="0.3">
      <c r="E188" s="17"/>
    </row>
    <row r="189" spans="1:8" x14ac:dyDescent="0.3">
      <c r="D189" s="10" t="s">
        <v>49</v>
      </c>
      <c r="E189" s="17">
        <f ca="1">I114</f>
        <v>276157.0569329299</v>
      </c>
    </row>
    <row r="190" spans="1:8" ht="15" thickBot="1" x14ac:dyDescent="0.35">
      <c r="E190" s="17"/>
    </row>
    <row r="191" spans="1:8" ht="15" thickBot="1" x14ac:dyDescent="0.35">
      <c r="D191" s="10" t="s">
        <v>48</v>
      </c>
      <c r="E191" s="19">
        <f ca="1">E187-E189</f>
        <v>-939.0539655610919</v>
      </c>
      <c r="H191" t="s">
        <v>47</v>
      </c>
    </row>
    <row r="192" spans="1:8" x14ac:dyDescent="0.3">
      <c r="H192" s="125" t="s">
        <v>490</v>
      </c>
    </row>
  </sheetData>
  <conditionalFormatting sqref="D64:I74">
    <cfRule type="expression" dxfId="5" priority="3">
      <formula>D64=MIN(D$64:D$75)</formula>
    </cfRule>
    <cfRule type="expression" dxfId="4" priority="4">
      <formula>D64=MAX(D$64:D$75)</formula>
    </cfRule>
  </conditionalFormatting>
  <conditionalFormatting sqref="J64:J66">
    <cfRule type="expression" dxfId="3" priority="1">
      <formula>J64=MIN(J$64:J$75)</formula>
    </cfRule>
    <cfRule type="expression" dxfId="2" priority="2">
      <formula>J64=MAX(J$64:J$75)</formula>
    </cfRule>
  </conditionalFormatting>
  <conditionalFormatting sqref="J68:J74">
    <cfRule type="expression" dxfId="1" priority="5">
      <formula>J68=MIN(J$64:J$75)</formula>
    </cfRule>
    <cfRule type="expression" dxfId="0" priority="6">
      <formula>J68=MAX(J$64:J$75)</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82ECA-502C-4E2D-907B-A1B7022B5662}">
  <sheetPr>
    <tabColor theme="5" tint="0.39997558519241921"/>
  </sheetPr>
  <dimension ref="A1:T44"/>
  <sheetViews>
    <sheetView zoomScale="115" zoomScaleNormal="115" workbookViewId="0"/>
  </sheetViews>
  <sheetFormatPr defaultRowHeight="14.4" x14ac:dyDescent="0.3"/>
  <cols>
    <col min="2" max="2" width="17.5546875" customWidth="1"/>
    <col min="3" max="6" width="19" customWidth="1"/>
    <col min="7" max="29" width="12.6640625" customWidth="1"/>
    <col min="31" max="32" width="12.6640625" customWidth="1"/>
  </cols>
  <sheetData>
    <row r="1" spans="1:20" x14ac:dyDescent="0.3">
      <c r="A1" s="135" t="s">
        <v>507</v>
      </c>
    </row>
    <row r="3" spans="1:20" x14ac:dyDescent="0.3">
      <c r="A3" s="9" t="s">
        <v>7</v>
      </c>
    </row>
    <row r="4" spans="1:20" x14ac:dyDescent="0.3">
      <c r="A4" t="s">
        <v>46</v>
      </c>
    </row>
    <row r="5" spans="1:20" x14ac:dyDescent="0.3">
      <c r="A5" s="9"/>
    </row>
    <row r="7" spans="1:20" x14ac:dyDescent="0.3">
      <c r="B7" s="8" t="s">
        <v>6</v>
      </c>
      <c r="C7" s="7"/>
      <c r="D7" s="7"/>
      <c r="E7" s="7"/>
      <c r="F7" s="6"/>
      <c r="H7" s="8" t="s">
        <v>4</v>
      </c>
      <c r="I7" s="6"/>
      <c r="K7" s="8" t="s">
        <v>10</v>
      </c>
      <c r="L7" s="7"/>
      <c r="M7" s="7"/>
      <c r="N7" s="7"/>
      <c r="O7" s="6"/>
      <c r="Q7" s="8" t="s">
        <v>12</v>
      </c>
      <c r="R7" s="7"/>
      <c r="S7" s="7"/>
      <c r="T7" s="6"/>
    </row>
    <row r="8" spans="1:20" x14ac:dyDescent="0.3">
      <c r="B8" s="5" t="s">
        <v>116</v>
      </c>
      <c r="C8" s="4"/>
      <c r="D8" s="4"/>
      <c r="E8" s="4"/>
      <c r="F8" s="3"/>
      <c r="H8" s="5" t="s">
        <v>111</v>
      </c>
      <c r="I8" s="3"/>
      <c r="K8" s="5" t="s">
        <v>115</v>
      </c>
      <c r="L8" s="4"/>
      <c r="M8" s="4"/>
      <c r="N8" s="4"/>
      <c r="O8" s="3"/>
      <c r="Q8" s="5" t="s">
        <v>114</v>
      </c>
      <c r="R8" s="4"/>
      <c r="S8" s="4"/>
      <c r="T8" s="3"/>
    </row>
    <row r="9" spans="1:20" x14ac:dyDescent="0.3">
      <c r="B9" s="22"/>
      <c r="C9" s="22"/>
      <c r="D9" s="22"/>
      <c r="E9" s="22"/>
      <c r="F9" s="22"/>
    </row>
    <row r="10" spans="1:20" ht="28.8" x14ac:dyDescent="0.3">
      <c r="B10" s="28" t="s">
        <v>113</v>
      </c>
      <c r="C10" s="58" t="s">
        <v>109</v>
      </c>
      <c r="D10" s="58" t="s">
        <v>108</v>
      </c>
      <c r="E10" s="58" t="s">
        <v>107</v>
      </c>
      <c r="F10" s="58" t="s">
        <v>106</v>
      </c>
      <c r="H10" s="55" t="s">
        <v>112</v>
      </c>
      <c r="I10" s="59" t="s">
        <v>111</v>
      </c>
      <c r="K10" s="11" t="s">
        <v>110</v>
      </c>
      <c r="L10" s="55" t="s">
        <v>109</v>
      </c>
      <c r="M10" s="55" t="s">
        <v>108</v>
      </c>
      <c r="N10" s="56" t="s">
        <v>107</v>
      </c>
      <c r="O10" s="56" t="s">
        <v>106</v>
      </c>
      <c r="Q10" s="55" t="s">
        <v>109</v>
      </c>
      <c r="R10" s="55" t="s">
        <v>108</v>
      </c>
      <c r="S10" s="56" t="s">
        <v>107</v>
      </c>
      <c r="T10" s="56" t="s">
        <v>106</v>
      </c>
    </row>
    <row r="11" spans="1:20" x14ac:dyDescent="0.3">
      <c r="B11" s="28" t="s">
        <v>105</v>
      </c>
      <c r="C11" s="28">
        <v>766575</v>
      </c>
      <c r="D11" s="28">
        <v>1482045</v>
      </c>
      <c r="E11" s="28">
        <v>1604697</v>
      </c>
      <c r="F11" s="28">
        <v>1860222</v>
      </c>
      <c r="H11" s="49" t="s">
        <v>105</v>
      </c>
      <c r="I11" s="57">
        <v>10221</v>
      </c>
      <c r="K11" s="55" t="s">
        <v>104</v>
      </c>
      <c r="L11" s="59">
        <v>0.151</v>
      </c>
      <c r="M11" s="59">
        <v>0.41199999999999998</v>
      </c>
      <c r="N11" s="59">
        <v>0.35199999999999998</v>
      </c>
      <c r="O11" s="59">
        <v>0.873</v>
      </c>
      <c r="Q11" s="23">
        <v>0.03</v>
      </c>
      <c r="R11" s="23">
        <v>0.04</v>
      </c>
      <c r="S11" s="23">
        <v>0.04</v>
      </c>
      <c r="T11" s="23">
        <v>0.08</v>
      </c>
    </row>
    <row r="12" spans="1:20" x14ac:dyDescent="0.3">
      <c r="B12" s="28" t="s">
        <v>103</v>
      </c>
      <c r="C12" s="28">
        <v>712149</v>
      </c>
      <c r="D12" s="28">
        <v>1475903</v>
      </c>
      <c r="E12" s="28">
        <v>1527508</v>
      </c>
      <c r="F12" s="28">
        <v>2260299</v>
      </c>
      <c r="H12" s="49" t="s">
        <v>103</v>
      </c>
      <c r="I12" s="57">
        <v>10321</v>
      </c>
      <c r="K12" s="55" t="s">
        <v>102</v>
      </c>
      <c r="L12" s="59">
        <v>0.42799999999999999</v>
      </c>
      <c r="M12" s="59">
        <v>0.80300000000000005</v>
      </c>
      <c r="N12" s="59">
        <v>0.88</v>
      </c>
      <c r="O12" s="59">
        <v>0.97499999999999998</v>
      </c>
    </row>
    <row r="13" spans="1:20" x14ac:dyDescent="0.3">
      <c r="B13" s="28" t="s">
        <v>101</v>
      </c>
      <c r="C13" s="28">
        <v>669248</v>
      </c>
      <c r="D13" s="28">
        <v>1348953</v>
      </c>
      <c r="E13" s="28">
        <v>1474437</v>
      </c>
      <c r="F13" s="28">
        <v>2206427</v>
      </c>
      <c r="H13" s="49" t="s">
        <v>101</v>
      </c>
      <c r="I13" s="57">
        <v>10457</v>
      </c>
      <c r="K13" s="55" t="s">
        <v>100</v>
      </c>
      <c r="L13" s="59">
        <v>0.78200000000000003</v>
      </c>
      <c r="M13" s="59">
        <v>0.95399999999999996</v>
      </c>
      <c r="N13" s="59">
        <v>0.98899999999999999</v>
      </c>
      <c r="O13" s="59">
        <v>1</v>
      </c>
    </row>
    <row r="14" spans="1:20" x14ac:dyDescent="0.3">
      <c r="B14" s="28" t="s">
        <v>99</v>
      </c>
      <c r="C14" s="28">
        <v>778258</v>
      </c>
      <c r="D14" s="28">
        <v>1409278</v>
      </c>
      <c r="E14" s="28">
        <v>1461863</v>
      </c>
      <c r="F14" s="28">
        <v>2229604</v>
      </c>
      <c r="H14" s="49" t="s">
        <v>99</v>
      </c>
      <c r="I14" s="57">
        <v>10517</v>
      </c>
      <c r="K14" s="55" t="s">
        <v>98</v>
      </c>
      <c r="L14" s="59">
        <v>0.878</v>
      </c>
      <c r="M14" s="59">
        <v>0.995</v>
      </c>
      <c r="N14" s="59">
        <v>1</v>
      </c>
      <c r="O14" s="59">
        <v>1</v>
      </c>
    </row>
    <row r="15" spans="1:20" x14ac:dyDescent="0.3">
      <c r="B15" s="28" t="s">
        <v>97</v>
      </c>
      <c r="C15" s="28">
        <v>607434</v>
      </c>
      <c r="D15" s="28">
        <v>1602369</v>
      </c>
      <c r="E15" s="28">
        <v>1570950</v>
      </c>
      <c r="F15" s="28">
        <v>2105073</v>
      </c>
      <c r="H15" s="49" t="s">
        <v>97</v>
      </c>
      <c r="I15" s="57">
        <v>10473</v>
      </c>
      <c r="K15" s="55" t="s">
        <v>96</v>
      </c>
      <c r="L15" s="59">
        <v>0.97499999999999998</v>
      </c>
      <c r="M15" s="59">
        <v>1</v>
      </c>
      <c r="N15" s="59">
        <v>1</v>
      </c>
      <c r="O15" s="59">
        <v>1</v>
      </c>
    </row>
    <row r="16" spans="1:20" x14ac:dyDescent="0.3">
      <c r="B16" s="28" t="s">
        <v>95</v>
      </c>
      <c r="C16" s="28">
        <v>917664</v>
      </c>
      <c r="D16" s="28">
        <v>1574628</v>
      </c>
      <c r="E16" s="28">
        <v>1407780</v>
      </c>
      <c r="F16" s="28">
        <v>2210736</v>
      </c>
      <c r="H16" s="49" t="s">
        <v>95</v>
      </c>
      <c r="I16" s="57">
        <v>10428</v>
      </c>
      <c r="K16" s="55" t="s">
        <v>94</v>
      </c>
      <c r="L16" s="59">
        <v>0.998</v>
      </c>
      <c r="M16" s="59">
        <v>1</v>
      </c>
      <c r="N16" s="59">
        <v>1</v>
      </c>
      <c r="O16" s="59">
        <v>1</v>
      </c>
    </row>
    <row r="17" spans="1:15" x14ac:dyDescent="0.3">
      <c r="A17" s="34"/>
      <c r="B17" s="28" t="s">
        <v>43</v>
      </c>
      <c r="C17" s="28">
        <v>846450</v>
      </c>
      <c r="D17" s="28">
        <v>1483900</v>
      </c>
      <c r="E17" s="28">
        <v>1515250</v>
      </c>
      <c r="F17" s="28">
        <v>2016850</v>
      </c>
      <c r="H17" s="49" t="s">
        <v>43</v>
      </c>
      <c r="I17" s="57">
        <v>10450</v>
      </c>
      <c r="K17" s="55" t="s">
        <v>93</v>
      </c>
      <c r="L17" s="59">
        <v>1</v>
      </c>
      <c r="M17" s="59">
        <v>1</v>
      </c>
      <c r="N17" s="59">
        <v>1</v>
      </c>
      <c r="O17" s="59">
        <v>1</v>
      </c>
    </row>
    <row r="18" spans="1:15" x14ac:dyDescent="0.3">
      <c r="A18" s="34"/>
      <c r="B18" s="28" t="s">
        <v>42</v>
      </c>
      <c r="C18" s="28">
        <v>841152</v>
      </c>
      <c r="D18" s="28">
        <v>1671520</v>
      </c>
      <c r="E18" s="28">
        <v>1800928</v>
      </c>
      <c r="F18" s="28">
        <v>2350912</v>
      </c>
      <c r="H18" s="49" t="s">
        <v>42</v>
      </c>
      <c r="I18" s="57">
        <v>10784</v>
      </c>
      <c r="K18" s="55" t="s">
        <v>92</v>
      </c>
      <c r="L18" s="59">
        <v>1</v>
      </c>
      <c r="M18" s="59">
        <v>1</v>
      </c>
      <c r="N18" s="59">
        <v>1</v>
      </c>
      <c r="O18" s="59">
        <v>1</v>
      </c>
    </row>
    <row r="19" spans="1:15" x14ac:dyDescent="0.3">
      <c r="A19" s="34"/>
      <c r="B19" s="28" t="s">
        <v>41</v>
      </c>
      <c r="C19" s="28">
        <v>984785</v>
      </c>
      <c r="D19" s="28">
        <v>1792530</v>
      </c>
      <c r="E19" s="28">
        <v>1637620</v>
      </c>
      <c r="F19" s="28">
        <v>2069155</v>
      </c>
      <c r="H19" s="49" t="s">
        <v>41</v>
      </c>
      <c r="I19" s="57">
        <v>11065</v>
      </c>
      <c r="K19" s="55" t="s">
        <v>91</v>
      </c>
      <c r="L19" s="59">
        <v>1</v>
      </c>
      <c r="M19" s="59">
        <v>1</v>
      </c>
      <c r="N19" s="59">
        <v>1</v>
      </c>
      <c r="O19" s="59">
        <v>1</v>
      </c>
    </row>
    <row r="20" spans="1:15" x14ac:dyDescent="0.3">
      <c r="A20" s="34"/>
      <c r="B20" s="28" t="s">
        <v>40</v>
      </c>
      <c r="C20" s="28">
        <v>797976</v>
      </c>
      <c r="D20" s="28">
        <v>1496205</v>
      </c>
      <c r="E20" s="28">
        <v>1740031</v>
      </c>
      <c r="F20" s="28">
        <v>2006023</v>
      </c>
      <c r="H20" s="49" t="s">
        <v>40</v>
      </c>
      <c r="I20" s="57">
        <v>11083</v>
      </c>
      <c r="K20" s="55" t="s">
        <v>90</v>
      </c>
      <c r="L20" s="59">
        <v>1</v>
      </c>
      <c r="M20" s="59">
        <v>1</v>
      </c>
      <c r="N20" s="59">
        <v>1</v>
      </c>
      <c r="O20" s="59">
        <v>1</v>
      </c>
    </row>
    <row r="21" spans="1:15" x14ac:dyDescent="0.3">
      <c r="A21" s="34"/>
      <c r="B21" s="28" t="s">
        <v>39</v>
      </c>
      <c r="C21" s="28">
        <v>843524</v>
      </c>
      <c r="D21" s="28">
        <v>1531662</v>
      </c>
      <c r="E21" s="28">
        <v>1720345</v>
      </c>
      <c r="F21" s="28">
        <v>2108810</v>
      </c>
      <c r="H21" s="49" t="s">
        <v>39</v>
      </c>
      <c r="I21" s="57">
        <v>11099</v>
      </c>
      <c r="K21" s="55" t="s">
        <v>89</v>
      </c>
      <c r="L21" s="59">
        <v>1</v>
      </c>
      <c r="M21" s="59">
        <v>1</v>
      </c>
      <c r="N21" s="59">
        <v>1</v>
      </c>
      <c r="O21" s="59">
        <v>1</v>
      </c>
    </row>
    <row r="22" spans="1:15" x14ac:dyDescent="0.3">
      <c r="A22" s="34"/>
      <c r="B22" s="28" t="s">
        <v>38</v>
      </c>
      <c r="C22" s="28">
        <v>850044</v>
      </c>
      <c r="D22" s="28">
        <v>1514822</v>
      </c>
      <c r="E22" s="28">
        <v>1569312</v>
      </c>
      <c r="F22" s="28">
        <v>2048824</v>
      </c>
      <c r="H22" s="49" t="s">
        <v>38</v>
      </c>
      <c r="I22" s="57">
        <v>10898</v>
      </c>
      <c r="K22" s="55" t="s">
        <v>88</v>
      </c>
      <c r="L22" s="59">
        <v>1</v>
      </c>
      <c r="M22" s="59">
        <v>1</v>
      </c>
      <c r="N22" s="59">
        <v>1</v>
      </c>
      <c r="O22" s="59">
        <v>1</v>
      </c>
    </row>
    <row r="23" spans="1:15" x14ac:dyDescent="0.3">
      <c r="A23" s="34"/>
      <c r="B23" s="28" t="s">
        <v>37</v>
      </c>
      <c r="C23" s="28">
        <v>878080.32</v>
      </c>
      <c r="D23" s="28">
        <v>1649700</v>
      </c>
      <c r="E23" s="28">
        <v>1627704</v>
      </c>
      <c r="F23" s="28">
        <v>2254590</v>
      </c>
      <c r="H23" s="49" t="s">
        <v>37</v>
      </c>
      <c r="I23" s="57">
        <v>10998</v>
      </c>
    </row>
    <row r="24" spans="1:15" x14ac:dyDescent="0.3">
      <c r="A24" s="34"/>
      <c r="B24" s="28" t="s">
        <v>36</v>
      </c>
      <c r="C24" s="28">
        <v>644395.04999999993</v>
      </c>
      <c r="D24" s="28">
        <v>1624290</v>
      </c>
      <c r="E24" s="28">
        <v>1657896</v>
      </c>
      <c r="F24" s="28">
        <v>2363622</v>
      </c>
      <c r="H24" s="49" t="s">
        <v>36</v>
      </c>
      <c r="I24" s="57">
        <v>11202</v>
      </c>
    </row>
    <row r="25" spans="1:15" x14ac:dyDescent="0.3">
      <c r="A25" s="34"/>
      <c r="B25" s="28" t="s">
        <v>35</v>
      </c>
      <c r="C25" s="28">
        <v>561844.49199999997</v>
      </c>
      <c r="D25" s="28">
        <v>1712542.26</v>
      </c>
      <c r="E25" s="28">
        <v>1621851</v>
      </c>
      <c r="F25" s="28">
        <v>2327963</v>
      </c>
      <c r="H25" s="49" t="s">
        <v>35</v>
      </c>
      <c r="I25" s="57">
        <v>11033</v>
      </c>
    </row>
    <row r="26" spans="1:15" x14ac:dyDescent="0.3">
      <c r="A26" s="34"/>
      <c r="B26" s="28" t="s">
        <v>34</v>
      </c>
      <c r="C26" s="28">
        <v>785300.04</v>
      </c>
      <c r="D26" s="28">
        <v>1660578.192</v>
      </c>
      <c r="E26" s="28">
        <v>1677359.824</v>
      </c>
      <c r="F26" s="28">
        <v>2376654</v>
      </c>
      <c r="H26" s="49" t="s">
        <v>34</v>
      </c>
      <c r="I26" s="57">
        <v>11158</v>
      </c>
    </row>
    <row r="27" spans="1:15" x14ac:dyDescent="0.3">
      <c r="A27" s="34"/>
      <c r="B27" s="28" t="s">
        <v>33</v>
      </c>
      <c r="C27" s="28">
        <v>311730.804</v>
      </c>
      <c r="D27" s="28">
        <v>1281120.6540000001</v>
      </c>
      <c r="E27" s="28">
        <v>1699004.56</v>
      </c>
      <c r="F27" s="28">
        <v>2344570.7999999998</v>
      </c>
      <c r="H27" s="49" t="s">
        <v>33</v>
      </c>
      <c r="I27" s="57">
        <v>11561</v>
      </c>
    </row>
    <row r="28" spans="1:15" x14ac:dyDescent="0.3">
      <c r="A28" s="34"/>
      <c r="B28" s="28" t="s">
        <v>32</v>
      </c>
      <c r="C28" s="28">
        <v>144863.96400000001</v>
      </c>
      <c r="D28" s="28">
        <v>766988.67599999998</v>
      </c>
      <c r="E28" s="28">
        <v>679412.44799999997</v>
      </c>
      <c r="F28" s="28">
        <v>2093811.93</v>
      </c>
      <c r="H28" s="49" t="s">
        <v>32</v>
      </c>
      <c r="I28" s="57">
        <v>11421</v>
      </c>
    </row>
    <row r="29" spans="1:15" x14ac:dyDescent="0.3">
      <c r="F29" s="41"/>
      <c r="H29" s="40"/>
    </row>
    <row r="30" spans="1:15" x14ac:dyDescent="0.3">
      <c r="B30" t="s">
        <v>87</v>
      </c>
      <c r="F30" s="41"/>
      <c r="H30" s="40"/>
    </row>
    <row r="31" spans="1:15" x14ac:dyDescent="0.3">
      <c r="B31" t="s">
        <v>86</v>
      </c>
      <c r="F31" s="41"/>
      <c r="H31" s="40"/>
    </row>
    <row r="32" spans="1:15" x14ac:dyDescent="0.3">
      <c r="F32" s="41"/>
      <c r="H32" s="40"/>
    </row>
    <row r="33" spans="1:8" x14ac:dyDescent="0.3">
      <c r="A33" t="s">
        <v>2</v>
      </c>
      <c r="B33" t="s">
        <v>85</v>
      </c>
      <c r="F33" s="41"/>
      <c r="H33" s="40"/>
    </row>
    <row r="34" spans="1:8" x14ac:dyDescent="0.3">
      <c r="F34" s="41"/>
      <c r="H34" s="40"/>
    </row>
    <row r="35" spans="1:8" x14ac:dyDescent="0.3">
      <c r="B35" t="s">
        <v>84</v>
      </c>
      <c r="F35" s="41"/>
      <c r="H35" s="40"/>
    </row>
    <row r="36" spans="1:8" x14ac:dyDescent="0.3">
      <c r="F36" s="41"/>
      <c r="H36" s="40"/>
    </row>
    <row r="37" spans="1:8" x14ac:dyDescent="0.3">
      <c r="A37" t="s">
        <v>1</v>
      </c>
      <c r="B37" t="s">
        <v>83</v>
      </c>
      <c r="F37" s="41"/>
      <c r="H37" s="40"/>
    </row>
    <row r="38" spans="1:8" x14ac:dyDescent="0.3">
      <c r="F38" s="41"/>
      <c r="H38" s="40"/>
    </row>
    <row r="39" spans="1:8" x14ac:dyDescent="0.3">
      <c r="B39" t="s">
        <v>82</v>
      </c>
    </row>
    <row r="40" spans="1:8" x14ac:dyDescent="0.3">
      <c r="B40" t="s">
        <v>81</v>
      </c>
    </row>
    <row r="42" spans="1:8" x14ac:dyDescent="0.3">
      <c r="A42" t="s">
        <v>0</v>
      </c>
      <c r="B42" t="s">
        <v>80</v>
      </c>
    </row>
    <row r="43" spans="1:8" x14ac:dyDescent="0.3">
      <c r="F43" s="41"/>
      <c r="H43" s="40"/>
    </row>
    <row r="44" spans="1:8" x14ac:dyDescent="0.3">
      <c r="F44" s="41"/>
      <c r="H44" s="40"/>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E486B-B615-48CD-864C-1BF508041D7F}">
  <sheetPr>
    <tabColor theme="9" tint="0.59999389629810485"/>
  </sheetPr>
  <dimension ref="A1:T127"/>
  <sheetViews>
    <sheetView zoomScale="115" zoomScaleNormal="115" workbookViewId="0"/>
  </sheetViews>
  <sheetFormatPr defaultRowHeight="14.4" x14ac:dyDescent="0.3"/>
  <cols>
    <col min="2" max="2" width="17.5546875" customWidth="1"/>
    <col min="3" max="3" width="15.5546875" customWidth="1"/>
    <col min="4" max="4" width="14.6640625" bestFit="1" customWidth="1"/>
    <col min="5" max="5" width="17.6640625" customWidth="1"/>
    <col min="6" max="6" width="14.6640625" bestFit="1" customWidth="1"/>
    <col min="7" max="7" width="14.109375" bestFit="1" customWidth="1"/>
    <col min="8" max="8" width="13.6640625" customWidth="1"/>
    <col min="9" max="9" width="17.6640625" bestFit="1" customWidth="1"/>
    <col min="10" max="10" width="13.44140625" customWidth="1"/>
    <col min="11" max="11" width="13.6640625" customWidth="1"/>
    <col min="12" max="12" width="14" customWidth="1"/>
    <col min="13" max="29" width="12.6640625" customWidth="1"/>
    <col min="31" max="32" width="12.6640625" customWidth="1"/>
  </cols>
  <sheetData>
    <row r="1" spans="1:20" x14ac:dyDescent="0.3">
      <c r="A1" s="135" t="s">
        <v>507</v>
      </c>
    </row>
    <row r="3" spans="1:20" x14ac:dyDescent="0.3">
      <c r="A3" s="9" t="s">
        <v>7</v>
      </c>
    </row>
    <row r="4" spans="1:20" x14ac:dyDescent="0.3">
      <c r="A4" t="s">
        <v>46</v>
      </c>
    </row>
    <row r="5" spans="1:20" x14ac:dyDescent="0.3">
      <c r="A5" s="9"/>
    </row>
    <row r="7" spans="1:20" x14ac:dyDescent="0.3">
      <c r="B7" s="8" t="s">
        <v>6</v>
      </c>
      <c r="C7" s="7"/>
      <c r="D7" s="7"/>
      <c r="E7" s="7"/>
      <c r="F7" s="6"/>
      <c r="H7" s="8" t="s">
        <v>4</v>
      </c>
      <c r="I7" s="6"/>
      <c r="K7" s="8" t="s">
        <v>10</v>
      </c>
      <c r="L7" s="7"/>
      <c r="M7" s="7"/>
      <c r="N7" s="7"/>
      <c r="O7" s="6"/>
      <c r="Q7" s="8" t="s">
        <v>12</v>
      </c>
      <c r="R7" s="7"/>
      <c r="S7" s="7"/>
      <c r="T7" s="6"/>
    </row>
    <row r="8" spans="1:20" x14ac:dyDescent="0.3">
      <c r="B8" s="5" t="s">
        <v>116</v>
      </c>
      <c r="C8" s="4"/>
      <c r="D8" s="4"/>
      <c r="E8" s="4"/>
      <c r="F8" s="3"/>
      <c r="H8" s="5" t="s">
        <v>111</v>
      </c>
      <c r="I8" s="3"/>
      <c r="K8" s="5" t="s">
        <v>115</v>
      </c>
      <c r="L8" s="4"/>
      <c r="M8" s="4"/>
      <c r="N8" s="4"/>
      <c r="O8" s="3"/>
      <c r="Q8" s="5" t="s">
        <v>114</v>
      </c>
      <c r="R8" s="4"/>
      <c r="S8" s="4"/>
      <c r="T8" s="3"/>
    </row>
    <row r="9" spans="1:20" x14ac:dyDescent="0.3">
      <c r="B9" s="22"/>
      <c r="C9" s="22"/>
      <c r="D9" s="22"/>
      <c r="E9" s="22"/>
      <c r="F9" s="22"/>
    </row>
    <row r="10" spans="1:20" ht="28.8" x14ac:dyDescent="0.3">
      <c r="B10" s="28" t="s">
        <v>113</v>
      </c>
      <c r="C10" s="58" t="s">
        <v>109</v>
      </c>
      <c r="D10" s="58" t="s">
        <v>108</v>
      </c>
      <c r="E10" s="58" t="s">
        <v>107</v>
      </c>
      <c r="F10" s="58" t="s">
        <v>106</v>
      </c>
      <c r="H10" s="55" t="s">
        <v>112</v>
      </c>
      <c r="I10" s="59" t="s">
        <v>111</v>
      </c>
      <c r="K10" s="11" t="s">
        <v>110</v>
      </c>
      <c r="L10" s="55" t="s">
        <v>109</v>
      </c>
      <c r="M10" s="55" t="s">
        <v>108</v>
      </c>
      <c r="N10" s="56" t="s">
        <v>107</v>
      </c>
      <c r="O10" s="56" t="s">
        <v>106</v>
      </c>
      <c r="Q10" s="55" t="s">
        <v>109</v>
      </c>
      <c r="R10" s="55" t="s">
        <v>108</v>
      </c>
      <c r="S10" s="56" t="s">
        <v>107</v>
      </c>
      <c r="T10" s="56" t="s">
        <v>106</v>
      </c>
    </row>
    <row r="11" spans="1:20" x14ac:dyDescent="0.3">
      <c r="A11" s="34"/>
      <c r="B11" s="28" t="s">
        <v>105</v>
      </c>
      <c r="C11" s="28">
        <v>766575</v>
      </c>
      <c r="D11" s="28">
        <v>1482045</v>
      </c>
      <c r="E11" s="28">
        <v>1604697</v>
      </c>
      <c r="F11" s="28">
        <v>1860222</v>
      </c>
      <c r="H11" s="49" t="s">
        <v>105</v>
      </c>
      <c r="I11" s="57">
        <v>10221</v>
      </c>
      <c r="K11" s="55" t="s">
        <v>104</v>
      </c>
      <c r="L11" s="59">
        <v>0.151</v>
      </c>
      <c r="M11" s="59">
        <v>0.41199999999999998</v>
      </c>
      <c r="N11" s="59">
        <v>0.35199999999999998</v>
      </c>
      <c r="O11" s="59">
        <v>0.873</v>
      </c>
      <c r="Q11" s="23">
        <v>0.03</v>
      </c>
      <c r="R11" s="23">
        <v>0.04</v>
      </c>
      <c r="S11" s="23">
        <v>0.04</v>
      </c>
      <c r="T11" s="23">
        <v>0.08</v>
      </c>
    </row>
    <row r="12" spans="1:20" x14ac:dyDescent="0.3">
      <c r="A12" s="34"/>
      <c r="B12" s="28" t="s">
        <v>103</v>
      </c>
      <c r="C12" s="28">
        <v>712149</v>
      </c>
      <c r="D12" s="28">
        <v>1475903</v>
      </c>
      <c r="E12" s="28">
        <v>1527508</v>
      </c>
      <c r="F12" s="28">
        <v>2260299</v>
      </c>
      <c r="H12" s="49" t="s">
        <v>103</v>
      </c>
      <c r="I12" s="57">
        <v>10321</v>
      </c>
      <c r="K12" s="55" t="s">
        <v>102</v>
      </c>
      <c r="L12" s="59">
        <v>0.42799999999999999</v>
      </c>
      <c r="M12" s="59">
        <v>0.80300000000000005</v>
      </c>
      <c r="N12" s="59">
        <v>0.88</v>
      </c>
      <c r="O12" s="59">
        <v>0.97499999999999998</v>
      </c>
    </row>
    <row r="13" spans="1:20" x14ac:dyDescent="0.3">
      <c r="A13" s="34"/>
      <c r="B13" s="28" t="s">
        <v>101</v>
      </c>
      <c r="C13" s="28">
        <v>669248</v>
      </c>
      <c r="D13" s="28">
        <v>1348953</v>
      </c>
      <c r="E13" s="28">
        <v>1474437</v>
      </c>
      <c r="F13" s="28">
        <v>2206427</v>
      </c>
      <c r="H13" s="49" t="s">
        <v>101</v>
      </c>
      <c r="I13" s="57">
        <v>10457</v>
      </c>
      <c r="K13" s="55" t="s">
        <v>100</v>
      </c>
      <c r="L13" s="59">
        <v>0.78200000000000003</v>
      </c>
      <c r="M13" s="59">
        <v>0.95399999999999996</v>
      </c>
      <c r="N13" s="59">
        <v>0.98899999999999999</v>
      </c>
      <c r="O13" s="59">
        <v>1</v>
      </c>
    </row>
    <row r="14" spans="1:20" x14ac:dyDescent="0.3">
      <c r="A14" s="34"/>
      <c r="B14" s="28" t="s">
        <v>99</v>
      </c>
      <c r="C14" s="28">
        <v>778258</v>
      </c>
      <c r="D14" s="28">
        <v>1409278</v>
      </c>
      <c r="E14" s="28">
        <v>1461863</v>
      </c>
      <c r="F14" s="28">
        <v>2229604</v>
      </c>
      <c r="H14" s="49" t="s">
        <v>99</v>
      </c>
      <c r="I14" s="57">
        <v>10517</v>
      </c>
      <c r="K14" s="55" t="s">
        <v>98</v>
      </c>
      <c r="L14" s="59">
        <v>0.878</v>
      </c>
      <c r="M14" s="59">
        <v>0.995</v>
      </c>
      <c r="N14" s="59">
        <v>1</v>
      </c>
      <c r="O14" s="59">
        <v>1</v>
      </c>
    </row>
    <row r="15" spans="1:20" x14ac:dyDescent="0.3">
      <c r="A15" s="34"/>
      <c r="B15" s="28" t="s">
        <v>97</v>
      </c>
      <c r="C15" s="28">
        <v>607434</v>
      </c>
      <c r="D15" s="28">
        <v>1602369</v>
      </c>
      <c r="E15" s="28">
        <v>1570950</v>
      </c>
      <c r="F15" s="28">
        <v>2105073</v>
      </c>
      <c r="H15" s="49" t="s">
        <v>97</v>
      </c>
      <c r="I15" s="57">
        <v>10473</v>
      </c>
      <c r="K15" s="55" t="s">
        <v>96</v>
      </c>
      <c r="L15" s="59">
        <v>0.97499999999999998</v>
      </c>
      <c r="M15" s="59">
        <v>1</v>
      </c>
      <c r="N15" s="59">
        <v>1</v>
      </c>
      <c r="O15" s="59">
        <v>1</v>
      </c>
    </row>
    <row r="16" spans="1:20" x14ac:dyDescent="0.3">
      <c r="A16" s="34"/>
      <c r="B16" s="28" t="s">
        <v>95</v>
      </c>
      <c r="C16" s="28">
        <v>917664</v>
      </c>
      <c r="D16" s="28">
        <v>1574628</v>
      </c>
      <c r="E16" s="28">
        <v>1407780</v>
      </c>
      <c r="F16" s="28">
        <v>2210736</v>
      </c>
      <c r="H16" s="49" t="s">
        <v>95</v>
      </c>
      <c r="I16" s="57">
        <v>10428</v>
      </c>
      <c r="K16" s="55" t="s">
        <v>94</v>
      </c>
      <c r="L16" s="59">
        <v>0.998</v>
      </c>
      <c r="M16" s="59">
        <v>1</v>
      </c>
      <c r="N16" s="59">
        <v>1</v>
      </c>
      <c r="O16" s="59">
        <v>1</v>
      </c>
    </row>
    <row r="17" spans="1:15" x14ac:dyDescent="0.3">
      <c r="A17" s="34"/>
      <c r="B17" s="28" t="s">
        <v>43</v>
      </c>
      <c r="C17" s="28">
        <v>846450</v>
      </c>
      <c r="D17" s="28">
        <v>1483900</v>
      </c>
      <c r="E17" s="28">
        <v>1515250</v>
      </c>
      <c r="F17" s="28">
        <v>2016850</v>
      </c>
      <c r="H17" s="49" t="s">
        <v>43</v>
      </c>
      <c r="I17" s="57">
        <v>10450</v>
      </c>
      <c r="K17" s="55" t="s">
        <v>93</v>
      </c>
      <c r="L17" s="59">
        <v>1</v>
      </c>
      <c r="M17" s="59">
        <v>1</v>
      </c>
      <c r="N17" s="59">
        <v>1</v>
      </c>
      <c r="O17" s="59">
        <v>1</v>
      </c>
    </row>
    <row r="18" spans="1:15" x14ac:dyDescent="0.3">
      <c r="A18" s="34"/>
      <c r="B18" s="28" t="s">
        <v>42</v>
      </c>
      <c r="C18" s="28">
        <v>841152</v>
      </c>
      <c r="D18" s="28">
        <v>1671520</v>
      </c>
      <c r="E18" s="28">
        <v>1800928</v>
      </c>
      <c r="F18" s="28">
        <v>2350912</v>
      </c>
      <c r="H18" s="49" t="s">
        <v>42</v>
      </c>
      <c r="I18" s="57">
        <v>10784</v>
      </c>
      <c r="K18" s="55" t="s">
        <v>92</v>
      </c>
      <c r="L18" s="59">
        <v>1</v>
      </c>
      <c r="M18" s="59">
        <v>1</v>
      </c>
      <c r="N18" s="59">
        <v>1</v>
      </c>
      <c r="O18" s="59">
        <v>1</v>
      </c>
    </row>
    <row r="19" spans="1:15" x14ac:dyDescent="0.3">
      <c r="A19" s="34"/>
      <c r="B19" s="28" t="s">
        <v>41</v>
      </c>
      <c r="C19" s="28">
        <v>984785</v>
      </c>
      <c r="D19" s="28">
        <v>1792530</v>
      </c>
      <c r="E19" s="28">
        <v>1637620</v>
      </c>
      <c r="F19" s="28">
        <v>2069155</v>
      </c>
      <c r="H19" s="49" t="s">
        <v>41</v>
      </c>
      <c r="I19" s="57">
        <v>11065</v>
      </c>
      <c r="K19" s="55" t="s">
        <v>91</v>
      </c>
      <c r="L19" s="59">
        <v>1</v>
      </c>
      <c r="M19" s="59">
        <v>1</v>
      </c>
      <c r="N19" s="59">
        <v>1</v>
      </c>
      <c r="O19" s="59">
        <v>1</v>
      </c>
    </row>
    <row r="20" spans="1:15" x14ac:dyDescent="0.3">
      <c r="A20" s="34"/>
      <c r="B20" s="28" t="s">
        <v>40</v>
      </c>
      <c r="C20" s="28">
        <v>797976</v>
      </c>
      <c r="D20" s="28">
        <v>1496205</v>
      </c>
      <c r="E20" s="28">
        <v>1740031</v>
      </c>
      <c r="F20" s="28">
        <v>2006023</v>
      </c>
      <c r="H20" s="49" t="s">
        <v>40</v>
      </c>
      <c r="I20" s="57">
        <v>11083</v>
      </c>
      <c r="K20" s="55" t="s">
        <v>90</v>
      </c>
      <c r="L20" s="59">
        <v>1</v>
      </c>
      <c r="M20" s="59">
        <v>1</v>
      </c>
      <c r="N20" s="59">
        <v>1</v>
      </c>
      <c r="O20" s="59">
        <v>1</v>
      </c>
    </row>
    <row r="21" spans="1:15" x14ac:dyDescent="0.3">
      <c r="A21" s="34"/>
      <c r="B21" s="28" t="s">
        <v>39</v>
      </c>
      <c r="C21" s="28">
        <v>843524</v>
      </c>
      <c r="D21" s="28">
        <v>1531662</v>
      </c>
      <c r="E21" s="28">
        <v>1720345</v>
      </c>
      <c r="F21" s="28">
        <v>2108810</v>
      </c>
      <c r="H21" s="49" t="s">
        <v>39</v>
      </c>
      <c r="I21" s="57">
        <v>11099</v>
      </c>
      <c r="K21" s="55" t="s">
        <v>89</v>
      </c>
      <c r="L21" s="59">
        <v>1</v>
      </c>
      <c r="M21" s="59">
        <v>1</v>
      </c>
      <c r="N21" s="59">
        <v>1</v>
      </c>
      <c r="O21" s="59">
        <v>1</v>
      </c>
    </row>
    <row r="22" spans="1:15" x14ac:dyDescent="0.3">
      <c r="A22" s="34"/>
      <c r="B22" s="28" t="s">
        <v>38</v>
      </c>
      <c r="C22" s="28">
        <v>850044</v>
      </c>
      <c r="D22" s="28">
        <v>1514822</v>
      </c>
      <c r="E22" s="28">
        <v>1569312</v>
      </c>
      <c r="F22" s="28">
        <v>2048824</v>
      </c>
      <c r="H22" s="49" t="s">
        <v>38</v>
      </c>
      <c r="I22" s="57">
        <v>10898</v>
      </c>
      <c r="K22" s="55" t="s">
        <v>88</v>
      </c>
      <c r="L22" s="59">
        <v>1</v>
      </c>
      <c r="M22" s="59">
        <v>1</v>
      </c>
      <c r="N22" s="59">
        <v>1</v>
      </c>
      <c r="O22" s="59">
        <v>1</v>
      </c>
    </row>
    <row r="23" spans="1:15" x14ac:dyDescent="0.3">
      <c r="A23" s="34"/>
      <c r="B23" s="28" t="s">
        <v>37</v>
      </c>
      <c r="C23" s="28">
        <v>878080.32</v>
      </c>
      <c r="D23" s="28">
        <v>1649700</v>
      </c>
      <c r="E23" s="28">
        <v>1627704</v>
      </c>
      <c r="F23" s="28">
        <v>2254590</v>
      </c>
      <c r="H23" s="49" t="s">
        <v>37</v>
      </c>
      <c r="I23" s="57">
        <v>10998</v>
      </c>
    </row>
    <row r="24" spans="1:15" x14ac:dyDescent="0.3">
      <c r="A24" s="34"/>
      <c r="B24" s="28" t="s">
        <v>36</v>
      </c>
      <c r="C24" s="28">
        <v>644395.04999999993</v>
      </c>
      <c r="D24" s="28">
        <v>1624290</v>
      </c>
      <c r="E24" s="28">
        <v>1657896</v>
      </c>
      <c r="F24" s="28">
        <v>2363622</v>
      </c>
      <c r="H24" s="49" t="s">
        <v>36</v>
      </c>
      <c r="I24" s="57">
        <v>11202</v>
      </c>
    </row>
    <row r="25" spans="1:15" x14ac:dyDescent="0.3">
      <c r="A25" s="34"/>
      <c r="B25" s="28" t="s">
        <v>35</v>
      </c>
      <c r="C25" s="28">
        <v>561844.49199999997</v>
      </c>
      <c r="D25" s="28">
        <v>1712542.26</v>
      </c>
      <c r="E25" s="28">
        <v>1621851</v>
      </c>
      <c r="F25" s="28">
        <v>2327963</v>
      </c>
      <c r="H25" s="49" t="s">
        <v>35</v>
      </c>
      <c r="I25" s="57">
        <v>11033</v>
      </c>
    </row>
    <row r="26" spans="1:15" x14ac:dyDescent="0.3">
      <c r="A26" s="34"/>
      <c r="B26" s="28" t="s">
        <v>34</v>
      </c>
      <c r="C26" s="28">
        <v>785300.04</v>
      </c>
      <c r="D26" s="28">
        <v>1660578.192</v>
      </c>
      <c r="E26" s="28">
        <v>1677359.824</v>
      </c>
      <c r="F26" s="28">
        <v>2376654</v>
      </c>
      <c r="H26" s="49" t="s">
        <v>34</v>
      </c>
      <c r="I26" s="57">
        <v>11158</v>
      </c>
    </row>
    <row r="27" spans="1:15" x14ac:dyDescent="0.3">
      <c r="A27" s="34"/>
      <c r="B27" s="28" t="s">
        <v>33</v>
      </c>
      <c r="C27" s="28">
        <v>311730.804</v>
      </c>
      <c r="D27" s="28">
        <v>1281120.6540000001</v>
      </c>
      <c r="E27" s="28">
        <v>1699004.56</v>
      </c>
      <c r="F27" s="28">
        <v>2344570.7999999998</v>
      </c>
      <c r="H27" s="49" t="s">
        <v>33</v>
      </c>
      <c r="I27" s="57">
        <v>11561</v>
      </c>
    </row>
    <row r="28" spans="1:15" x14ac:dyDescent="0.3">
      <c r="A28" s="34"/>
      <c r="B28" s="28" t="s">
        <v>32</v>
      </c>
      <c r="C28" s="28">
        <v>144863.96400000001</v>
      </c>
      <c r="D28" s="28">
        <v>766988.67599999998</v>
      </c>
      <c r="E28" s="28">
        <v>679412.44799999997</v>
      </c>
      <c r="F28" s="28">
        <v>2093811.93</v>
      </c>
      <c r="H28" s="49" t="s">
        <v>32</v>
      </c>
      <c r="I28" s="57">
        <v>11421</v>
      </c>
    </row>
    <row r="29" spans="1:15" x14ac:dyDescent="0.3">
      <c r="F29" s="41"/>
      <c r="H29" s="40"/>
    </row>
    <row r="30" spans="1:15" x14ac:dyDescent="0.3">
      <c r="B30" t="s">
        <v>87</v>
      </c>
      <c r="F30" s="41"/>
      <c r="H30" s="40"/>
    </row>
    <row r="31" spans="1:15" x14ac:dyDescent="0.3">
      <c r="B31" t="s">
        <v>86</v>
      </c>
      <c r="F31" s="41"/>
      <c r="H31" s="40"/>
    </row>
    <row r="32" spans="1:15" x14ac:dyDescent="0.3">
      <c r="F32" s="41"/>
      <c r="H32" s="40"/>
    </row>
    <row r="33" spans="1:12" x14ac:dyDescent="0.3">
      <c r="A33" t="s">
        <v>2</v>
      </c>
      <c r="B33" t="s">
        <v>85</v>
      </c>
      <c r="F33" s="41"/>
      <c r="H33" s="40"/>
    </row>
    <row r="34" spans="1:12" x14ac:dyDescent="0.3">
      <c r="F34" s="41"/>
      <c r="H34" s="40"/>
    </row>
    <row r="36" spans="1:12" x14ac:dyDescent="0.3">
      <c r="C36" s="13" t="s">
        <v>136</v>
      </c>
      <c r="D36" s="32"/>
      <c r="E36" s="32"/>
      <c r="F36" s="12"/>
      <c r="G36" s="13" t="s">
        <v>142</v>
      </c>
      <c r="H36" s="32"/>
      <c r="I36" s="32"/>
      <c r="J36" s="12"/>
    </row>
    <row r="37" spans="1:12" ht="28.8" x14ac:dyDescent="0.3">
      <c r="B37" s="40" t="str">
        <f>B10</f>
        <v>Incurred Month</v>
      </c>
      <c r="C37" s="60" t="str">
        <f>C10</f>
        <v>Inpatient</v>
      </c>
      <c r="D37" s="60" t="str">
        <f>D10</f>
        <v>Outpatient</v>
      </c>
      <c r="E37" s="60" t="str">
        <f>E10</f>
        <v>Professional/Other</v>
      </c>
      <c r="F37" s="60" t="str">
        <f>F10</f>
        <v>Prescription Drugs</v>
      </c>
      <c r="G37" s="60" t="str">
        <f>C37</f>
        <v>Inpatient</v>
      </c>
      <c r="H37" s="60" t="str">
        <f>D37</f>
        <v>Outpatient</v>
      </c>
      <c r="I37" s="60" t="str">
        <f>E37</f>
        <v>Professional/Other</v>
      </c>
      <c r="J37" s="60" t="str">
        <f>F37</f>
        <v>Prescription Drugs</v>
      </c>
      <c r="L37" s="14" t="s">
        <v>9</v>
      </c>
    </row>
    <row r="38" spans="1:12" x14ac:dyDescent="0.3">
      <c r="B38" s="34" t="str">
        <f t="shared" ref="B38:F49" si="0">B17</f>
        <v>Jul 20X1</v>
      </c>
      <c r="C38" s="28">
        <f t="shared" si="0"/>
        <v>846450</v>
      </c>
      <c r="D38" s="28">
        <f t="shared" si="0"/>
        <v>1483900</v>
      </c>
      <c r="E38" s="28">
        <f t="shared" si="0"/>
        <v>1515250</v>
      </c>
      <c r="F38" s="28">
        <f t="shared" si="0"/>
        <v>2016850</v>
      </c>
      <c r="G38" s="61" cm="1">
        <f t="array" ref="G38">INDEX(L$11:L$22,COUNTA($B$38:$B$49)-COUNTA($B$38:$B38)+1)</f>
        <v>1</v>
      </c>
      <c r="H38" s="61" cm="1">
        <f t="array" ref="H38">INDEX(M$11:M$22,COUNTA($B$38:$B$49)-COUNTA($B$38:$B38)+1)</f>
        <v>1</v>
      </c>
      <c r="I38" s="61" cm="1">
        <f t="array" ref="I38">INDEX(N$11:N$22,COUNTA($B$38:$B$49)-COUNTA($B$38:$B38)+1)</f>
        <v>1</v>
      </c>
      <c r="J38" s="61" cm="1">
        <f t="array" ref="J38">INDEX(O$11:O$22,COUNTA($B$38:$B$49)-COUNTA($B$38:$B38)+1)</f>
        <v>1</v>
      </c>
      <c r="L38" t="s">
        <v>141</v>
      </c>
    </row>
    <row r="39" spans="1:12" x14ac:dyDescent="0.3">
      <c r="B39" s="34" t="str">
        <f t="shared" si="0"/>
        <v>Aug 20X1</v>
      </c>
      <c r="C39" s="28">
        <f t="shared" si="0"/>
        <v>841152</v>
      </c>
      <c r="D39" s="28">
        <f t="shared" si="0"/>
        <v>1671520</v>
      </c>
      <c r="E39" s="28">
        <f t="shared" si="0"/>
        <v>1800928</v>
      </c>
      <c r="F39" s="28">
        <f t="shared" si="0"/>
        <v>2350912</v>
      </c>
      <c r="G39" s="61" cm="1">
        <f t="array" ref="G39">INDEX(L$11:L$22,COUNTA($B$38:$B$49)-COUNTA($B$38:$B39)+1)</f>
        <v>1</v>
      </c>
      <c r="H39" s="61" cm="1">
        <f t="array" ref="H39">INDEX(M$11:M$22,COUNTA($B$38:$B$49)-COUNTA($B$38:$B39)+1)</f>
        <v>1</v>
      </c>
      <c r="I39" s="61" cm="1">
        <f t="array" ref="I39">INDEX(N$11:N$22,COUNTA($B$38:$B$49)-COUNTA($B$38:$B39)+1)</f>
        <v>1</v>
      </c>
      <c r="J39" s="61" cm="1">
        <f t="array" ref="J39">INDEX(O$11:O$22,COUNTA($B$38:$B$49)-COUNTA($B$38:$B39)+1)</f>
        <v>1</v>
      </c>
      <c r="L39" t="s">
        <v>140</v>
      </c>
    </row>
    <row r="40" spans="1:12" x14ac:dyDescent="0.3">
      <c r="B40" s="34" t="str">
        <f t="shared" si="0"/>
        <v>Sep 20X1</v>
      </c>
      <c r="C40" s="28">
        <f t="shared" si="0"/>
        <v>984785</v>
      </c>
      <c r="D40" s="28">
        <f t="shared" si="0"/>
        <v>1792530</v>
      </c>
      <c r="E40" s="28">
        <f t="shared" si="0"/>
        <v>1637620</v>
      </c>
      <c r="F40" s="28">
        <f t="shared" si="0"/>
        <v>2069155</v>
      </c>
      <c r="G40" s="61" cm="1">
        <f t="array" ref="G40">INDEX(L$11:L$22,COUNTA($B$38:$B$49)-COUNTA($B$38:$B40)+1)</f>
        <v>1</v>
      </c>
      <c r="H40" s="61" cm="1">
        <f t="array" ref="H40">INDEX(M$11:M$22,COUNTA($B$38:$B$49)-COUNTA($B$38:$B40)+1)</f>
        <v>1</v>
      </c>
      <c r="I40" s="61" cm="1">
        <f t="array" ref="I40">INDEX(N$11:N$22,COUNTA($B$38:$B$49)-COUNTA($B$38:$B40)+1)</f>
        <v>1</v>
      </c>
      <c r="J40" s="61" cm="1">
        <f t="array" ref="J40">INDEX(O$11:O$22,COUNTA($B$38:$B$49)-COUNTA($B$38:$B40)+1)</f>
        <v>1</v>
      </c>
    </row>
    <row r="41" spans="1:12" x14ac:dyDescent="0.3">
      <c r="B41" s="34" t="str">
        <f t="shared" si="0"/>
        <v>Oct 20X1</v>
      </c>
      <c r="C41" s="28">
        <f t="shared" si="0"/>
        <v>797976</v>
      </c>
      <c r="D41" s="28">
        <f t="shared" si="0"/>
        <v>1496205</v>
      </c>
      <c r="E41" s="28">
        <f t="shared" si="0"/>
        <v>1740031</v>
      </c>
      <c r="F41" s="28">
        <f t="shared" si="0"/>
        <v>2006023</v>
      </c>
      <c r="G41" s="61" cm="1">
        <f t="array" ref="G41">INDEX(L$11:L$22,COUNTA($B$38:$B$49)-COUNTA($B$38:$B41)+1)</f>
        <v>1</v>
      </c>
      <c r="H41" s="61" cm="1">
        <f t="array" ref="H41">INDEX(M$11:M$22,COUNTA($B$38:$B$49)-COUNTA($B$38:$B41)+1)</f>
        <v>1</v>
      </c>
      <c r="I41" s="61" cm="1">
        <f t="array" ref="I41">INDEX(N$11:N$22,COUNTA($B$38:$B$49)-COUNTA($B$38:$B41)+1)</f>
        <v>1</v>
      </c>
      <c r="J41" s="61" cm="1">
        <f t="array" ref="J41">INDEX(O$11:O$22,COUNTA($B$38:$B$49)-COUNTA($B$38:$B41)+1)</f>
        <v>1</v>
      </c>
    </row>
    <row r="42" spans="1:12" x14ac:dyDescent="0.3">
      <c r="B42" s="34" t="str">
        <f t="shared" si="0"/>
        <v>Nov 20X1</v>
      </c>
      <c r="C42" s="28">
        <f t="shared" si="0"/>
        <v>843524</v>
      </c>
      <c r="D42" s="28">
        <f t="shared" si="0"/>
        <v>1531662</v>
      </c>
      <c r="E42" s="28">
        <f t="shared" si="0"/>
        <v>1720345</v>
      </c>
      <c r="F42" s="28">
        <f t="shared" si="0"/>
        <v>2108810</v>
      </c>
      <c r="G42" s="61" cm="1">
        <f t="array" ref="G42">INDEX(L$11:L$22,COUNTA($B$38:$B$49)-COUNTA($B$38:$B42)+1)</f>
        <v>1</v>
      </c>
      <c r="H42" s="61" cm="1">
        <f t="array" ref="H42">INDEX(M$11:M$22,COUNTA($B$38:$B$49)-COUNTA($B$38:$B42)+1)</f>
        <v>1</v>
      </c>
      <c r="I42" s="61" cm="1">
        <f t="array" ref="I42">INDEX(N$11:N$22,COUNTA($B$38:$B$49)-COUNTA($B$38:$B42)+1)</f>
        <v>1</v>
      </c>
      <c r="J42" s="61" cm="1">
        <f t="array" ref="J42">INDEX(O$11:O$22,COUNTA($B$38:$B$49)-COUNTA($B$38:$B42)+1)</f>
        <v>1</v>
      </c>
    </row>
    <row r="43" spans="1:12" x14ac:dyDescent="0.3">
      <c r="B43" s="34" t="str">
        <f t="shared" si="0"/>
        <v>Dec 20X1</v>
      </c>
      <c r="C43" s="28">
        <f t="shared" si="0"/>
        <v>850044</v>
      </c>
      <c r="D43" s="28">
        <f t="shared" si="0"/>
        <v>1514822</v>
      </c>
      <c r="E43" s="28">
        <f t="shared" si="0"/>
        <v>1569312</v>
      </c>
      <c r="F43" s="28">
        <f t="shared" si="0"/>
        <v>2048824</v>
      </c>
      <c r="G43" s="61" cm="1">
        <f t="array" ref="G43">INDEX(L$11:L$22,COUNTA($B$38:$B$49)-COUNTA($B$38:$B43)+1)</f>
        <v>1</v>
      </c>
      <c r="H43" s="61" cm="1">
        <f t="array" ref="H43">INDEX(M$11:M$22,COUNTA($B$38:$B$49)-COUNTA($B$38:$B43)+1)</f>
        <v>1</v>
      </c>
      <c r="I43" s="61" cm="1">
        <f t="array" ref="I43">INDEX(N$11:N$22,COUNTA($B$38:$B$49)-COUNTA($B$38:$B43)+1)</f>
        <v>1</v>
      </c>
      <c r="J43" s="61" cm="1">
        <f t="array" ref="J43">INDEX(O$11:O$22,COUNTA($B$38:$B$49)-COUNTA($B$38:$B43)+1)</f>
        <v>1</v>
      </c>
    </row>
    <row r="44" spans="1:12" x14ac:dyDescent="0.3">
      <c r="B44" s="34" t="str">
        <f t="shared" si="0"/>
        <v>Jan 20X2</v>
      </c>
      <c r="C44" s="28">
        <f t="shared" si="0"/>
        <v>878080.32</v>
      </c>
      <c r="D44" s="28">
        <f t="shared" si="0"/>
        <v>1649700</v>
      </c>
      <c r="E44" s="28">
        <f t="shared" si="0"/>
        <v>1627704</v>
      </c>
      <c r="F44" s="28">
        <f t="shared" si="0"/>
        <v>2254590</v>
      </c>
      <c r="G44" s="61" cm="1">
        <f t="array" ref="G44">INDEX(L$11:L$22,COUNTA($B$38:$B$49)-COUNTA($B$38:$B44)+1)</f>
        <v>0.998</v>
      </c>
      <c r="H44" s="61" cm="1">
        <f t="array" ref="H44">INDEX(M$11:M$22,COUNTA($B$38:$B$49)-COUNTA($B$38:$B44)+1)</f>
        <v>1</v>
      </c>
      <c r="I44" s="61" cm="1">
        <f t="array" ref="I44">INDEX(N$11:N$22,COUNTA($B$38:$B$49)-COUNTA($B$38:$B44)+1)</f>
        <v>1</v>
      </c>
      <c r="J44" s="61" cm="1">
        <f t="array" ref="J44">INDEX(O$11:O$22,COUNTA($B$38:$B$49)-COUNTA($B$38:$B44)+1)</f>
        <v>1</v>
      </c>
    </row>
    <row r="45" spans="1:12" x14ac:dyDescent="0.3">
      <c r="B45" s="34" t="str">
        <f t="shared" si="0"/>
        <v>Feb 20X2</v>
      </c>
      <c r="C45" s="28">
        <f t="shared" si="0"/>
        <v>644395.04999999993</v>
      </c>
      <c r="D45" s="28">
        <f t="shared" si="0"/>
        <v>1624290</v>
      </c>
      <c r="E45" s="28">
        <f t="shared" si="0"/>
        <v>1657896</v>
      </c>
      <c r="F45" s="28">
        <f t="shared" si="0"/>
        <v>2363622</v>
      </c>
      <c r="G45" s="61" cm="1">
        <f t="array" ref="G45">INDEX(L$11:L$22,COUNTA($B$38:$B$49)-COUNTA($B$38:$B45)+1)</f>
        <v>0.97499999999999998</v>
      </c>
      <c r="H45" s="61" cm="1">
        <f t="array" ref="H45">INDEX(M$11:M$22,COUNTA($B$38:$B$49)-COUNTA($B$38:$B45)+1)</f>
        <v>1</v>
      </c>
      <c r="I45" s="61" cm="1">
        <f t="array" ref="I45">INDEX(N$11:N$22,COUNTA($B$38:$B$49)-COUNTA($B$38:$B45)+1)</f>
        <v>1</v>
      </c>
      <c r="J45" s="61" cm="1">
        <f t="array" ref="J45">INDEX(O$11:O$22,COUNTA($B$38:$B$49)-COUNTA($B$38:$B45)+1)</f>
        <v>1</v>
      </c>
    </row>
    <row r="46" spans="1:12" x14ac:dyDescent="0.3">
      <c r="B46" s="34" t="str">
        <f t="shared" si="0"/>
        <v>Mar 20X2</v>
      </c>
      <c r="C46" s="28">
        <f t="shared" si="0"/>
        <v>561844.49199999997</v>
      </c>
      <c r="D46" s="28">
        <f t="shared" si="0"/>
        <v>1712542.26</v>
      </c>
      <c r="E46" s="28">
        <f t="shared" si="0"/>
        <v>1621851</v>
      </c>
      <c r="F46" s="28">
        <f t="shared" si="0"/>
        <v>2327963</v>
      </c>
      <c r="G46" s="61" cm="1">
        <f t="array" ref="G46">INDEX(L$11:L$22,COUNTA($B$38:$B$49)-COUNTA($B$38:$B46)+1)</f>
        <v>0.878</v>
      </c>
      <c r="H46" s="61" cm="1">
        <f t="array" ref="H46">INDEX(M$11:M$22,COUNTA($B$38:$B$49)-COUNTA($B$38:$B46)+1)</f>
        <v>0.995</v>
      </c>
      <c r="I46" s="61" cm="1">
        <f t="array" ref="I46">INDEX(N$11:N$22,COUNTA($B$38:$B$49)-COUNTA($B$38:$B46)+1)</f>
        <v>1</v>
      </c>
      <c r="J46" s="61" cm="1">
        <f t="array" ref="J46">INDEX(O$11:O$22,COUNTA($B$38:$B$49)-COUNTA($B$38:$B46)+1)</f>
        <v>1</v>
      </c>
    </row>
    <row r="47" spans="1:12" x14ac:dyDescent="0.3">
      <c r="B47" s="34" t="str">
        <f t="shared" si="0"/>
        <v>Apr 20X2</v>
      </c>
      <c r="C47" s="28">
        <f t="shared" si="0"/>
        <v>785300.04</v>
      </c>
      <c r="D47" s="28">
        <f t="shared" si="0"/>
        <v>1660578.192</v>
      </c>
      <c r="E47" s="28">
        <f t="shared" si="0"/>
        <v>1677359.824</v>
      </c>
      <c r="F47" s="28">
        <f t="shared" si="0"/>
        <v>2376654</v>
      </c>
      <c r="G47" s="61" cm="1">
        <f t="array" ref="G47">INDEX(L$11:L$22,COUNTA($B$38:$B$49)-COUNTA($B$38:$B47)+1)</f>
        <v>0.78200000000000003</v>
      </c>
      <c r="H47" s="61" cm="1">
        <f t="array" ref="H47">INDEX(M$11:M$22,COUNTA($B$38:$B$49)-COUNTA($B$38:$B47)+1)</f>
        <v>0.95399999999999996</v>
      </c>
      <c r="I47" s="61" cm="1">
        <f t="array" ref="I47">INDEX(N$11:N$22,COUNTA($B$38:$B$49)-COUNTA($B$38:$B47)+1)</f>
        <v>0.98899999999999999</v>
      </c>
      <c r="J47" s="61" cm="1">
        <f t="array" ref="J47">INDEX(O$11:O$22,COUNTA($B$38:$B$49)-COUNTA($B$38:$B47)+1)</f>
        <v>1</v>
      </c>
    </row>
    <row r="48" spans="1:12" x14ac:dyDescent="0.3">
      <c r="B48" s="34" t="str">
        <f t="shared" si="0"/>
        <v>May 20X2</v>
      </c>
      <c r="C48" s="28">
        <f t="shared" si="0"/>
        <v>311730.804</v>
      </c>
      <c r="D48" s="28">
        <f t="shared" si="0"/>
        <v>1281120.6540000001</v>
      </c>
      <c r="E48" s="28">
        <f t="shared" si="0"/>
        <v>1699004.56</v>
      </c>
      <c r="F48" s="28">
        <f t="shared" si="0"/>
        <v>2344570.7999999998</v>
      </c>
      <c r="G48" s="61" cm="1">
        <f t="array" ref="G48">INDEX(L$11:L$22,COUNTA($B$38:$B$49)-COUNTA($B$38:$B48)+1)</f>
        <v>0.42799999999999999</v>
      </c>
      <c r="H48" s="61" cm="1">
        <f t="array" ref="H48">INDEX(M$11:M$22,COUNTA($B$38:$B$49)-COUNTA($B$38:$B48)+1)</f>
        <v>0.80300000000000005</v>
      </c>
      <c r="I48" s="61" cm="1">
        <f t="array" ref="I48">INDEX(N$11:N$22,COUNTA($B$38:$B$49)-COUNTA($B$38:$B48)+1)</f>
        <v>0.88</v>
      </c>
      <c r="J48" s="61" cm="1">
        <f t="array" ref="J48">INDEX(O$11:O$22,COUNTA($B$38:$B$49)-COUNTA($B$38:$B48)+1)</f>
        <v>0.97499999999999998</v>
      </c>
    </row>
    <row r="49" spans="2:12" x14ac:dyDescent="0.3">
      <c r="B49" s="34" t="str">
        <f t="shared" si="0"/>
        <v>Jun 20X2</v>
      </c>
      <c r="C49" s="28">
        <f t="shared" si="0"/>
        <v>144863.96400000001</v>
      </c>
      <c r="D49" s="28">
        <f t="shared" si="0"/>
        <v>766988.67599999998</v>
      </c>
      <c r="E49" s="28">
        <f t="shared" si="0"/>
        <v>679412.44799999997</v>
      </c>
      <c r="F49" s="28">
        <f t="shared" si="0"/>
        <v>2093811.93</v>
      </c>
      <c r="G49" s="61" cm="1">
        <f t="array" ref="G49">INDEX(L$11:L$22,COUNTA($B$38:$B$49)-COUNTA($B$38:$B49)+1)</f>
        <v>0.151</v>
      </c>
      <c r="H49" s="61" cm="1">
        <f t="array" ref="H49">INDEX(M$11:M$22,COUNTA($B$38:$B$49)-COUNTA($B$38:$B49)+1)</f>
        <v>0.41199999999999998</v>
      </c>
      <c r="I49" s="61" cm="1">
        <f t="array" ref="I49">INDEX(N$11:N$22,COUNTA($B$38:$B$49)-COUNTA($B$38:$B49)+1)</f>
        <v>0.35199999999999998</v>
      </c>
      <c r="J49" s="61" cm="1">
        <f t="array" ref="J49">INDEX(O$11:O$22,COUNTA($B$38:$B$49)-COUNTA($B$38:$B49)+1)</f>
        <v>0.873</v>
      </c>
    </row>
    <row r="50" spans="2:12" x14ac:dyDescent="0.3">
      <c r="B50" s="40"/>
    </row>
    <row r="51" spans="2:12" x14ac:dyDescent="0.3">
      <c r="B51" s="40"/>
      <c r="C51" s="13" t="s">
        <v>15</v>
      </c>
      <c r="D51" s="32"/>
      <c r="E51" s="32"/>
      <c r="F51" s="12"/>
      <c r="G51" s="13" t="s">
        <v>53</v>
      </c>
      <c r="H51" s="32"/>
      <c r="I51" s="32"/>
      <c r="J51" s="12"/>
    </row>
    <row r="52" spans="2:12" ht="28.8" x14ac:dyDescent="0.3">
      <c r="B52" s="40" t="str">
        <f>B37</f>
        <v>Incurred Month</v>
      </c>
      <c r="C52" s="60" t="str">
        <f>C37</f>
        <v>Inpatient</v>
      </c>
      <c r="D52" s="60" t="str">
        <f>D37</f>
        <v>Outpatient</v>
      </c>
      <c r="E52" s="60" t="str">
        <f>E37</f>
        <v>Professional/Other</v>
      </c>
      <c r="F52" s="60" t="str">
        <f>F37</f>
        <v>Prescription Drugs</v>
      </c>
      <c r="G52" s="55" t="str">
        <f>C52</f>
        <v>Inpatient</v>
      </c>
      <c r="H52" s="55" t="str">
        <f>D52</f>
        <v>Outpatient</v>
      </c>
      <c r="I52" s="55" t="str">
        <f>E52</f>
        <v>Professional/Other</v>
      </c>
      <c r="J52" s="55" t="str">
        <f>F52</f>
        <v>Prescription Drugs</v>
      </c>
    </row>
    <row r="53" spans="2:12" x14ac:dyDescent="0.3">
      <c r="B53" s="34" t="str">
        <f t="shared" ref="B53:B64" si="1">B38</f>
        <v>Jul 20X1</v>
      </c>
      <c r="C53" s="28">
        <f t="shared" ref="C53:C64" si="2">C38/G38</f>
        <v>846450</v>
      </c>
      <c r="D53" s="28">
        <f t="shared" ref="D53:D64" si="3">D38/H38</f>
        <v>1483900</v>
      </c>
      <c r="E53" s="28">
        <f t="shared" ref="E53:E64" si="4">E38/I38</f>
        <v>1515250</v>
      </c>
      <c r="F53" s="28">
        <f t="shared" ref="F53:F64" si="5">F38/J38</f>
        <v>2016850</v>
      </c>
      <c r="G53" s="28">
        <f t="shared" ref="G53:G64" si="6">C53-C38</f>
        <v>0</v>
      </c>
      <c r="H53" s="28">
        <f t="shared" ref="H53:H64" si="7">D53-D38</f>
        <v>0</v>
      </c>
      <c r="I53" s="28">
        <f t="shared" ref="I53:I64" si="8">E53-E38</f>
        <v>0</v>
      </c>
      <c r="J53" s="28">
        <f t="shared" ref="J53:J64" si="9">F53-F38</f>
        <v>0</v>
      </c>
      <c r="L53" t="s">
        <v>139</v>
      </c>
    </row>
    <row r="54" spans="2:12" x14ac:dyDescent="0.3">
      <c r="B54" s="34" t="str">
        <f t="shared" si="1"/>
        <v>Aug 20X1</v>
      </c>
      <c r="C54" s="28">
        <f t="shared" si="2"/>
        <v>841152</v>
      </c>
      <c r="D54" s="28">
        <f t="shared" si="3"/>
        <v>1671520</v>
      </c>
      <c r="E54" s="28">
        <f t="shared" si="4"/>
        <v>1800928</v>
      </c>
      <c r="F54" s="28">
        <f t="shared" si="5"/>
        <v>2350912</v>
      </c>
      <c r="G54" s="28">
        <f t="shared" si="6"/>
        <v>0</v>
      </c>
      <c r="H54" s="28">
        <f t="shared" si="7"/>
        <v>0</v>
      </c>
      <c r="I54" s="28">
        <f t="shared" si="8"/>
        <v>0</v>
      </c>
      <c r="J54" s="28">
        <f t="shared" si="9"/>
        <v>0</v>
      </c>
      <c r="L54" t="s">
        <v>138</v>
      </c>
    </row>
    <row r="55" spans="2:12" x14ac:dyDescent="0.3">
      <c r="B55" s="34" t="str">
        <f t="shared" si="1"/>
        <v>Sep 20X1</v>
      </c>
      <c r="C55" s="28">
        <f t="shared" si="2"/>
        <v>984785</v>
      </c>
      <c r="D55" s="28">
        <f t="shared" si="3"/>
        <v>1792530</v>
      </c>
      <c r="E55" s="28">
        <f t="shared" si="4"/>
        <v>1637620</v>
      </c>
      <c r="F55" s="28">
        <f t="shared" si="5"/>
        <v>2069155</v>
      </c>
      <c r="G55" s="28">
        <f t="shared" si="6"/>
        <v>0</v>
      </c>
      <c r="H55" s="28">
        <f t="shared" si="7"/>
        <v>0</v>
      </c>
      <c r="I55" s="28">
        <f t="shared" si="8"/>
        <v>0</v>
      </c>
      <c r="J55" s="28">
        <f t="shared" si="9"/>
        <v>0</v>
      </c>
    </row>
    <row r="56" spans="2:12" x14ac:dyDescent="0.3">
      <c r="B56" s="34" t="str">
        <f t="shared" si="1"/>
        <v>Oct 20X1</v>
      </c>
      <c r="C56" s="28">
        <f t="shared" si="2"/>
        <v>797976</v>
      </c>
      <c r="D56" s="28">
        <f t="shared" si="3"/>
        <v>1496205</v>
      </c>
      <c r="E56" s="28">
        <f t="shared" si="4"/>
        <v>1740031</v>
      </c>
      <c r="F56" s="28">
        <f t="shared" si="5"/>
        <v>2006023</v>
      </c>
      <c r="G56" s="28">
        <f t="shared" si="6"/>
        <v>0</v>
      </c>
      <c r="H56" s="28">
        <f t="shared" si="7"/>
        <v>0</v>
      </c>
      <c r="I56" s="28">
        <f t="shared" si="8"/>
        <v>0</v>
      </c>
      <c r="J56" s="28">
        <f t="shared" si="9"/>
        <v>0</v>
      </c>
    </row>
    <row r="57" spans="2:12" x14ac:dyDescent="0.3">
      <c r="B57" s="34" t="str">
        <f t="shared" si="1"/>
        <v>Nov 20X1</v>
      </c>
      <c r="C57" s="28">
        <f t="shared" si="2"/>
        <v>843524</v>
      </c>
      <c r="D57" s="28">
        <f t="shared" si="3"/>
        <v>1531662</v>
      </c>
      <c r="E57" s="28">
        <f t="shared" si="4"/>
        <v>1720345</v>
      </c>
      <c r="F57" s="28">
        <f t="shared" si="5"/>
        <v>2108810</v>
      </c>
      <c r="G57" s="28">
        <f t="shared" si="6"/>
        <v>0</v>
      </c>
      <c r="H57" s="28">
        <f t="shared" si="7"/>
        <v>0</v>
      </c>
      <c r="I57" s="28">
        <f t="shared" si="8"/>
        <v>0</v>
      </c>
      <c r="J57" s="28">
        <f t="shared" si="9"/>
        <v>0</v>
      </c>
    </row>
    <row r="58" spans="2:12" x14ac:dyDescent="0.3">
      <c r="B58" s="34" t="str">
        <f t="shared" si="1"/>
        <v>Dec 20X1</v>
      </c>
      <c r="C58" s="28">
        <f t="shared" si="2"/>
        <v>850044</v>
      </c>
      <c r="D58" s="28">
        <f t="shared" si="3"/>
        <v>1514822</v>
      </c>
      <c r="E58" s="28">
        <f t="shared" si="4"/>
        <v>1569312</v>
      </c>
      <c r="F58" s="28">
        <f t="shared" si="5"/>
        <v>2048824</v>
      </c>
      <c r="G58" s="28">
        <f t="shared" si="6"/>
        <v>0</v>
      </c>
      <c r="H58" s="28">
        <f t="shared" si="7"/>
        <v>0</v>
      </c>
      <c r="I58" s="28">
        <f t="shared" si="8"/>
        <v>0</v>
      </c>
      <c r="J58" s="28">
        <f t="shared" si="9"/>
        <v>0</v>
      </c>
    </row>
    <row r="59" spans="2:12" x14ac:dyDescent="0.3">
      <c r="B59" s="34" t="str">
        <f t="shared" si="1"/>
        <v>Jan 20X2</v>
      </c>
      <c r="C59" s="28">
        <f t="shared" si="2"/>
        <v>879840</v>
      </c>
      <c r="D59" s="28">
        <f t="shared" si="3"/>
        <v>1649700</v>
      </c>
      <c r="E59" s="28">
        <f t="shared" si="4"/>
        <v>1627704</v>
      </c>
      <c r="F59" s="28">
        <f t="shared" si="5"/>
        <v>2254590</v>
      </c>
      <c r="G59" s="28">
        <f t="shared" si="6"/>
        <v>1759.6800000000512</v>
      </c>
      <c r="H59" s="28">
        <f t="shared" si="7"/>
        <v>0</v>
      </c>
      <c r="I59" s="28">
        <f t="shared" si="8"/>
        <v>0</v>
      </c>
      <c r="J59" s="28">
        <f t="shared" si="9"/>
        <v>0</v>
      </c>
    </row>
    <row r="60" spans="2:12" x14ac:dyDescent="0.3">
      <c r="B60" s="34" t="str">
        <f t="shared" si="1"/>
        <v>Feb 20X2</v>
      </c>
      <c r="C60" s="28">
        <f t="shared" si="2"/>
        <v>660918</v>
      </c>
      <c r="D60" s="28">
        <f t="shared" si="3"/>
        <v>1624290</v>
      </c>
      <c r="E60" s="28">
        <f t="shared" si="4"/>
        <v>1657896</v>
      </c>
      <c r="F60" s="28">
        <f t="shared" si="5"/>
        <v>2363622</v>
      </c>
      <c r="G60" s="28">
        <f t="shared" si="6"/>
        <v>16522.95000000007</v>
      </c>
      <c r="H60" s="28">
        <f t="shared" si="7"/>
        <v>0</v>
      </c>
      <c r="I60" s="28">
        <f t="shared" si="8"/>
        <v>0</v>
      </c>
      <c r="J60" s="28">
        <f t="shared" si="9"/>
        <v>0</v>
      </c>
    </row>
    <row r="61" spans="2:12" x14ac:dyDescent="0.3">
      <c r="B61" s="34" t="str">
        <f t="shared" si="1"/>
        <v>Mar 20X2</v>
      </c>
      <c r="C61" s="28">
        <f t="shared" si="2"/>
        <v>639914</v>
      </c>
      <c r="D61" s="28">
        <f t="shared" si="3"/>
        <v>1721148</v>
      </c>
      <c r="E61" s="28">
        <f t="shared" si="4"/>
        <v>1621851</v>
      </c>
      <c r="F61" s="28">
        <f t="shared" si="5"/>
        <v>2327963</v>
      </c>
      <c r="G61" s="28">
        <f t="shared" si="6"/>
        <v>78069.508000000031</v>
      </c>
      <c r="H61" s="28">
        <f t="shared" si="7"/>
        <v>8605.7399999999907</v>
      </c>
      <c r="I61" s="28">
        <f t="shared" si="8"/>
        <v>0</v>
      </c>
      <c r="J61" s="28">
        <f t="shared" si="9"/>
        <v>0</v>
      </c>
    </row>
    <row r="62" spans="2:12" x14ac:dyDescent="0.3">
      <c r="B62" s="34" t="str">
        <f t="shared" si="1"/>
        <v>Apr 20X2</v>
      </c>
      <c r="C62" s="28">
        <f t="shared" si="2"/>
        <v>1004220</v>
      </c>
      <c r="D62" s="28">
        <f t="shared" si="3"/>
        <v>1740648</v>
      </c>
      <c r="E62" s="28">
        <f t="shared" si="4"/>
        <v>1696016</v>
      </c>
      <c r="F62" s="28">
        <f t="shared" si="5"/>
        <v>2376654</v>
      </c>
      <c r="G62" s="28">
        <f t="shared" si="6"/>
        <v>218919.95999999996</v>
      </c>
      <c r="H62" s="28">
        <f t="shared" si="7"/>
        <v>80069.807999999961</v>
      </c>
      <c r="I62" s="28">
        <f t="shared" si="8"/>
        <v>18656.175999999978</v>
      </c>
      <c r="J62" s="28">
        <f t="shared" si="9"/>
        <v>0</v>
      </c>
    </row>
    <row r="63" spans="2:12" x14ac:dyDescent="0.3">
      <c r="B63" s="34" t="str">
        <f t="shared" si="1"/>
        <v>May 20X2</v>
      </c>
      <c r="C63" s="28">
        <f t="shared" si="2"/>
        <v>728343</v>
      </c>
      <c r="D63" s="28">
        <f t="shared" si="3"/>
        <v>1595418</v>
      </c>
      <c r="E63" s="28">
        <f t="shared" si="4"/>
        <v>1930687</v>
      </c>
      <c r="F63" s="28">
        <f t="shared" si="5"/>
        <v>2404688</v>
      </c>
      <c r="G63" s="28">
        <f t="shared" si="6"/>
        <v>416612.196</v>
      </c>
      <c r="H63" s="28">
        <f t="shared" si="7"/>
        <v>314297.3459999999</v>
      </c>
      <c r="I63" s="28">
        <f t="shared" si="8"/>
        <v>231682.43999999994</v>
      </c>
      <c r="J63" s="28">
        <f t="shared" si="9"/>
        <v>60117.200000000186</v>
      </c>
    </row>
    <row r="64" spans="2:12" x14ac:dyDescent="0.3">
      <c r="B64" s="34" t="str">
        <f t="shared" si="1"/>
        <v>Jun 20X2</v>
      </c>
      <c r="C64" s="28">
        <f t="shared" si="2"/>
        <v>959364.00000000012</v>
      </c>
      <c r="D64" s="28">
        <f t="shared" si="3"/>
        <v>1861623</v>
      </c>
      <c r="E64" s="28">
        <f t="shared" si="4"/>
        <v>1930149</v>
      </c>
      <c r="F64" s="28">
        <f t="shared" si="5"/>
        <v>2398410</v>
      </c>
      <c r="G64" s="28">
        <f t="shared" si="6"/>
        <v>814500.03600000008</v>
      </c>
      <c r="H64" s="28">
        <f t="shared" si="7"/>
        <v>1094634.324</v>
      </c>
      <c r="I64" s="28">
        <f t="shared" si="8"/>
        <v>1250736.5520000001</v>
      </c>
      <c r="J64" s="28">
        <f t="shared" si="9"/>
        <v>304598.07000000007</v>
      </c>
    </row>
    <row r="65" spans="1:13" ht="15" thickBot="1" x14ac:dyDescent="0.35">
      <c r="B65" s="40"/>
      <c r="C65" s="11"/>
      <c r="D65" s="11"/>
      <c r="E65" s="11"/>
      <c r="F65" s="11"/>
      <c r="G65" s="11"/>
      <c r="H65" s="11"/>
      <c r="I65" s="11"/>
      <c r="J65" s="11"/>
    </row>
    <row r="66" spans="1:13" ht="15" thickBot="1" x14ac:dyDescent="0.35">
      <c r="B66" s="40"/>
      <c r="C66" s="11"/>
      <c r="D66" s="11"/>
      <c r="E66" s="11"/>
      <c r="F66" s="11" t="s">
        <v>127</v>
      </c>
      <c r="G66" s="62">
        <f>SUM(G53:J64)</f>
        <v>4909781.9860000005</v>
      </c>
      <c r="H66" s="11"/>
      <c r="I66" s="11"/>
      <c r="J66" s="11"/>
      <c r="L66" t="s">
        <v>137</v>
      </c>
    </row>
    <row r="67" spans="1:13" x14ac:dyDescent="0.3">
      <c r="B67" s="40"/>
    </row>
    <row r="68" spans="1:13" x14ac:dyDescent="0.3">
      <c r="B68" t="s">
        <v>84</v>
      </c>
    </row>
    <row r="70" spans="1:13" x14ac:dyDescent="0.3">
      <c r="A70" t="s">
        <v>1</v>
      </c>
      <c r="B70" t="s">
        <v>83</v>
      </c>
    </row>
    <row r="72" spans="1:13" x14ac:dyDescent="0.3">
      <c r="C72" s="13" t="s">
        <v>136</v>
      </c>
      <c r="D72" s="32"/>
      <c r="E72" s="32"/>
      <c r="F72" s="12"/>
      <c r="H72" s="13" t="s">
        <v>135</v>
      </c>
      <c r="I72" s="32"/>
      <c r="J72" s="32"/>
      <c r="K72" s="12"/>
      <c r="M72" s="14" t="s">
        <v>9</v>
      </c>
    </row>
    <row r="73" spans="1:13" ht="43.2" x14ac:dyDescent="0.3">
      <c r="B73" s="40" t="str">
        <f t="shared" ref="B73:F82" si="10">B10</f>
        <v>Incurred Month</v>
      </c>
      <c r="C73" s="58" t="str">
        <f t="shared" si="10"/>
        <v>Inpatient</v>
      </c>
      <c r="D73" s="58" t="str">
        <f t="shared" si="10"/>
        <v>Outpatient</v>
      </c>
      <c r="E73" s="58" t="str">
        <f t="shared" si="10"/>
        <v>Professional/Other</v>
      </c>
      <c r="F73" s="58" t="str">
        <f t="shared" si="10"/>
        <v>Prescription Drugs</v>
      </c>
      <c r="G73" s="28" t="s">
        <v>111</v>
      </c>
      <c r="H73" s="58" t="str">
        <f>C73</f>
        <v>Inpatient</v>
      </c>
      <c r="I73" s="58" t="str">
        <f>D73</f>
        <v>Outpatient</v>
      </c>
      <c r="J73" s="58" t="str">
        <f>E73</f>
        <v>Professional/Other</v>
      </c>
      <c r="K73" s="58" t="str">
        <f>F73</f>
        <v>Prescription Drugs</v>
      </c>
    </row>
    <row r="74" spans="1:13" x14ac:dyDescent="0.3">
      <c r="B74" s="34" t="str">
        <f t="shared" si="10"/>
        <v>Jan 20X1</v>
      </c>
      <c r="C74" s="28">
        <f t="shared" si="10"/>
        <v>766575</v>
      </c>
      <c r="D74" s="28">
        <f t="shared" si="10"/>
        <v>1482045</v>
      </c>
      <c r="E74" s="28">
        <f t="shared" si="10"/>
        <v>1604697</v>
      </c>
      <c r="F74" s="28">
        <f t="shared" si="10"/>
        <v>1860222</v>
      </c>
      <c r="G74" s="57">
        <f t="shared" ref="G74:G91" si="11">I11</f>
        <v>10221</v>
      </c>
      <c r="H74" s="28"/>
      <c r="I74" s="28"/>
      <c r="J74" s="28"/>
      <c r="K74" s="28"/>
      <c r="M74" t="s">
        <v>134</v>
      </c>
    </row>
    <row r="75" spans="1:13" x14ac:dyDescent="0.3">
      <c r="B75" s="34" t="str">
        <f t="shared" si="10"/>
        <v>Feb 20X1</v>
      </c>
      <c r="C75" s="28">
        <f t="shared" si="10"/>
        <v>712149</v>
      </c>
      <c r="D75" s="28">
        <f t="shared" si="10"/>
        <v>1475903</v>
      </c>
      <c r="E75" s="28">
        <f t="shared" si="10"/>
        <v>1527508</v>
      </c>
      <c r="F75" s="28">
        <f t="shared" si="10"/>
        <v>2260299</v>
      </c>
      <c r="G75" s="57">
        <f t="shared" si="11"/>
        <v>10321</v>
      </c>
      <c r="H75" s="28"/>
      <c r="I75" s="28"/>
      <c r="J75" s="28"/>
      <c r="K75" s="28"/>
      <c r="M75" t="s">
        <v>133</v>
      </c>
    </row>
    <row r="76" spans="1:13" x14ac:dyDescent="0.3">
      <c r="B76" s="34" t="str">
        <f t="shared" si="10"/>
        <v>Mar 20X1</v>
      </c>
      <c r="C76" s="28">
        <f t="shared" si="10"/>
        <v>669248</v>
      </c>
      <c r="D76" s="28">
        <f t="shared" si="10"/>
        <v>1348953</v>
      </c>
      <c r="E76" s="28">
        <f t="shared" si="10"/>
        <v>1474437</v>
      </c>
      <c r="F76" s="28">
        <f t="shared" si="10"/>
        <v>2206427</v>
      </c>
      <c r="G76" s="57">
        <f t="shared" si="11"/>
        <v>10457</v>
      </c>
      <c r="H76" s="28"/>
      <c r="I76" s="28"/>
      <c r="J76" s="28"/>
      <c r="K76" s="28"/>
    </row>
    <row r="77" spans="1:13" x14ac:dyDescent="0.3">
      <c r="B77" s="34" t="str">
        <f t="shared" si="10"/>
        <v>Apr 20X1</v>
      </c>
      <c r="C77" s="28">
        <f t="shared" si="10"/>
        <v>778258</v>
      </c>
      <c r="D77" s="28">
        <f t="shared" si="10"/>
        <v>1409278</v>
      </c>
      <c r="E77" s="28">
        <f t="shared" si="10"/>
        <v>1461863</v>
      </c>
      <c r="F77" s="28">
        <f t="shared" si="10"/>
        <v>2229604</v>
      </c>
      <c r="G77" s="57">
        <f t="shared" si="11"/>
        <v>10517</v>
      </c>
      <c r="H77" s="28"/>
      <c r="I77" s="28"/>
      <c r="J77" s="28"/>
      <c r="K77" s="28"/>
    </row>
    <row r="78" spans="1:13" x14ac:dyDescent="0.3">
      <c r="B78" s="34" t="str">
        <f t="shared" si="10"/>
        <v>May 20X1</v>
      </c>
      <c r="C78" s="28">
        <f t="shared" si="10"/>
        <v>607434</v>
      </c>
      <c r="D78" s="28">
        <f t="shared" si="10"/>
        <v>1602369</v>
      </c>
      <c r="E78" s="28">
        <f t="shared" si="10"/>
        <v>1570950</v>
      </c>
      <c r="F78" s="28">
        <f t="shared" si="10"/>
        <v>2105073</v>
      </c>
      <c r="G78" s="57">
        <f t="shared" si="11"/>
        <v>10473</v>
      </c>
      <c r="H78" s="28"/>
      <c r="I78" s="28"/>
      <c r="J78" s="28"/>
      <c r="K78" s="28"/>
    </row>
    <row r="79" spans="1:13" x14ac:dyDescent="0.3">
      <c r="B79" s="34" t="str">
        <f t="shared" si="10"/>
        <v>Jun 20X1</v>
      </c>
      <c r="C79" s="28">
        <f t="shared" si="10"/>
        <v>917664</v>
      </c>
      <c r="D79" s="28">
        <f t="shared" si="10"/>
        <v>1574628</v>
      </c>
      <c r="E79" s="28">
        <f t="shared" si="10"/>
        <v>1407780</v>
      </c>
      <c r="F79" s="28">
        <f t="shared" si="10"/>
        <v>2210736</v>
      </c>
      <c r="G79" s="57">
        <f t="shared" si="11"/>
        <v>10428</v>
      </c>
      <c r="H79" s="28"/>
      <c r="I79" s="28"/>
      <c r="J79" s="28"/>
      <c r="K79" s="28"/>
    </row>
    <row r="80" spans="1:13" x14ac:dyDescent="0.3">
      <c r="B80" s="34" t="str">
        <f t="shared" si="10"/>
        <v>Jul 20X1</v>
      </c>
      <c r="C80" s="28">
        <f t="shared" si="10"/>
        <v>846450</v>
      </c>
      <c r="D80" s="28">
        <f t="shared" si="10"/>
        <v>1483900</v>
      </c>
      <c r="E80" s="28">
        <f t="shared" si="10"/>
        <v>1515250</v>
      </c>
      <c r="F80" s="28">
        <f t="shared" si="10"/>
        <v>2016850</v>
      </c>
      <c r="G80" s="57">
        <f t="shared" si="11"/>
        <v>10450</v>
      </c>
      <c r="H80" s="28">
        <f t="shared" ref="H80:K85" si="12">SUM(C75:C80)/SUM($G75:$G80)</f>
        <v>72.330284455511929</v>
      </c>
      <c r="I80" s="28">
        <f t="shared" si="12"/>
        <v>141.9888101395141</v>
      </c>
      <c r="J80" s="28">
        <f t="shared" si="12"/>
        <v>142.99058200044695</v>
      </c>
      <c r="K80" s="28">
        <f t="shared" si="12"/>
        <v>207.97798742138366</v>
      </c>
      <c r="M80" t="s">
        <v>132</v>
      </c>
    </row>
    <row r="81" spans="2:13" x14ac:dyDescent="0.3">
      <c r="B81" s="34" t="str">
        <f t="shared" si="10"/>
        <v>Aug 20X1</v>
      </c>
      <c r="C81" s="28">
        <f t="shared" si="10"/>
        <v>841152</v>
      </c>
      <c r="D81" s="28">
        <f t="shared" si="10"/>
        <v>1671520</v>
      </c>
      <c r="E81" s="28">
        <f t="shared" si="10"/>
        <v>1800928</v>
      </c>
      <c r="F81" s="28">
        <f t="shared" si="10"/>
        <v>2350912</v>
      </c>
      <c r="G81" s="57">
        <f t="shared" si="11"/>
        <v>10784</v>
      </c>
      <c r="H81" s="28">
        <f t="shared" si="12"/>
        <v>73.843762379375363</v>
      </c>
      <c r="I81" s="28">
        <f t="shared" si="12"/>
        <v>144.04677621258458</v>
      </c>
      <c r="J81" s="28">
        <f t="shared" si="12"/>
        <v>146.2740338145114</v>
      </c>
      <c r="K81" s="28">
        <f t="shared" si="12"/>
        <v>207.88797160468397</v>
      </c>
      <c r="M81" s="43"/>
    </row>
    <row r="82" spans="2:13" x14ac:dyDescent="0.3">
      <c r="B82" s="34" t="str">
        <f t="shared" si="10"/>
        <v>Sep 20X1</v>
      </c>
      <c r="C82" s="28">
        <f t="shared" si="10"/>
        <v>984785</v>
      </c>
      <c r="D82" s="28">
        <f t="shared" si="10"/>
        <v>1792530</v>
      </c>
      <c r="E82" s="28">
        <f t="shared" si="10"/>
        <v>1637620</v>
      </c>
      <c r="F82" s="28">
        <f t="shared" si="10"/>
        <v>2069155</v>
      </c>
      <c r="G82" s="57">
        <f t="shared" si="11"/>
        <v>11065</v>
      </c>
      <c r="H82" s="28">
        <f t="shared" si="12"/>
        <v>78.091294317058242</v>
      </c>
      <c r="I82" s="28">
        <f t="shared" si="12"/>
        <v>149.63392815104288</v>
      </c>
      <c r="J82" s="28">
        <f t="shared" si="12"/>
        <v>147.43931760754586</v>
      </c>
      <c r="K82" s="28">
        <f t="shared" si="12"/>
        <v>203.74986267401164</v>
      </c>
    </row>
    <row r="83" spans="2:13" x14ac:dyDescent="0.3">
      <c r="B83" s="34" t="str">
        <f t="shared" ref="B83:F91" si="13">B20</f>
        <v>Oct 20X1</v>
      </c>
      <c r="C83" s="28">
        <f t="shared" si="13"/>
        <v>797976</v>
      </c>
      <c r="D83" s="28">
        <f t="shared" si="13"/>
        <v>1496205</v>
      </c>
      <c r="E83" s="28">
        <f t="shared" si="13"/>
        <v>1740031</v>
      </c>
      <c r="F83" s="28">
        <f t="shared" si="13"/>
        <v>2006023</v>
      </c>
      <c r="G83" s="57">
        <f t="shared" si="11"/>
        <v>11083</v>
      </c>
      <c r="H83" s="28">
        <f t="shared" si="12"/>
        <v>77.710452219093696</v>
      </c>
      <c r="I83" s="28">
        <f t="shared" si="12"/>
        <v>149.66868378887108</v>
      </c>
      <c r="J83" s="28">
        <f t="shared" si="12"/>
        <v>150.46838199835105</v>
      </c>
      <c r="K83" s="28">
        <f t="shared" si="12"/>
        <v>198.47780906304934</v>
      </c>
      <c r="M83" t="s">
        <v>131</v>
      </c>
    </row>
    <row r="84" spans="2:13" x14ac:dyDescent="0.3">
      <c r="B84" s="34" t="str">
        <f t="shared" si="13"/>
        <v>Nov 20X1</v>
      </c>
      <c r="C84" s="28">
        <f t="shared" si="13"/>
        <v>843524</v>
      </c>
      <c r="D84" s="28">
        <f t="shared" si="13"/>
        <v>1531662</v>
      </c>
      <c r="E84" s="28">
        <f t="shared" si="13"/>
        <v>1720345</v>
      </c>
      <c r="F84" s="28">
        <f t="shared" si="13"/>
        <v>2108810</v>
      </c>
      <c r="G84" s="57">
        <f t="shared" si="11"/>
        <v>11099</v>
      </c>
      <c r="H84" s="28">
        <f t="shared" si="12"/>
        <v>80.598237532545568</v>
      </c>
      <c r="I84" s="28">
        <f t="shared" si="12"/>
        <v>147.13591335562094</v>
      </c>
      <c r="J84" s="28">
        <f t="shared" si="12"/>
        <v>151.31883097875487</v>
      </c>
      <c r="K84" s="28">
        <f t="shared" si="12"/>
        <v>196.62120815295259</v>
      </c>
      <c r="M84" t="s">
        <v>130</v>
      </c>
    </row>
    <row r="85" spans="2:13" x14ac:dyDescent="0.3">
      <c r="B85" s="34" t="str">
        <f t="shared" si="13"/>
        <v>Dec 20X1</v>
      </c>
      <c r="C85" s="28">
        <f t="shared" si="13"/>
        <v>850044</v>
      </c>
      <c r="D85" s="28">
        <f t="shared" si="13"/>
        <v>1514822</v>
      </c>
      <c r="E85" s="28">
        <f t="shared" si="13"/>
        <v>1569312</v>
      </c>
      <c r="F85" s="28">
        <f t="shared" si="13"/>
        <v>2048824</v>
      </c>
      <c r="G85" s="57">
        <f t="shared" si="11"/>
        <v>10898</v>
      </c>
      <c r="H85" s="28">
        <f t="shared" si="12"/>
        <v>78.984551614432775</v>
      </c>
      <c r="I85" s="28">
        <f t="shared" si="12"/>
        <v>145.16341638752505</v>
      </c>
      <c r="J85" s="28">
        <f t="shared" si="12"/>
        <v>152.7017237951024</v>
      </c>
      <c r="K85" s="28">
        <f t="shared" si="12"/>
        <v>192.73121338656142</v>
      </c>
    </row>
    <row r="86" spans="2:13" x14ac:dyDescent="0.3">
      <c r="B86" s="34" t="str">
        <f t="shared" si="13"/>
        <v>Jan 20X2</v>
      </c>
      <c r="C86" s="28">
        <f t="shared" si="13"/>
        <v>878080.32</v>
      </c>
      <c r="D86" s="28">
        <f t="shared" si="13"/>
        <v>1649700</v>
      </c>
      <c r="E86" s="28">
        <f t="shared" si="13"/>
        <v>1627704</v>
      </c>
      <c r="F86" s="28">
        <f t="shared" si="13"/>
        <v>2254590</v>
      </c>
      <c r="G86" s="57">
        <f t="shared" si="11"/>
        <v>10998</v>
      </c>
      <c r="H86" s="28"/>
      <c r="I86" s="28"/>
      <c r="J86" s="28"/>
      <c r="K86" s="28"/>
      <c r="L86" s="43"/>
    </row>
    <row r="87" spans="2:13" x14ac:dyDescent="0.3">
      <c r="B87" s="34" t="str">
        <f t="shared" si="13"/>
        <v>Feb 20X2</v>
      </c>
      <c r="C87" s="28">
        <f t="shared" si="13"/>
        <v>644395.04999999993</v>
      </c>
      <c r="D87" s="28">
        <f t="shared" si="13"/>
        <v>1624290</v>
      </c>
      <c r="E87" s="28">
        <f t="shared" si="13"/>
        <v>1657896</v>
      </c>
      <c r="F87" s="28">
        <f t="shared" si="13"/>
        <v>2363622</v>
      </c>
      <c r="G87" s="57">
        <f t="shared" si="11"/>
        <v>11202</v>
      </c>
      <c r="H87" s="28"/>
      <c r="I87" s="28"/>
      <c r="J87" s="28"/>
      <c r="K87" s="28"/>
      <c r="L87" s="43"/>
      <c r="M87" s="43"/>
    </row>
    <row r="88" spans="2:13" x14ac:dyDescent="0.3">
      <c r="B88" s="34" t="str">
        <f t="shared" si="13"/>
        <v>Mar 20X2</v>
      </c>
      <c r="C88" s="28">
        <f t="shared" si="13"/>
        <v>561844.49199999997</v>
      </c>
      <c r="D88" s="28">
        <f t="shared" si="13"/>
        <v>1712542.26</v>
      </c>
      <c r="E88" s="28">
        <f t="shared" si="13"/>
        <v>1621851</v>
      </c>
      <c r="F88" s="28">
        <f t="shared" si="13"/>
        <v>2327963</v>
      </c>
      <c r="G88" s="57">
        <f t="shared" si="11"/>
        <v>11033</v>
      </c>
      <c r="H88" s="28"/>
      <c r="I88" s="28"/>
      <c r="J88" s="28"/>
      <c r="K88" s="28"/>
      <c r="L88" s="43"/>
    </row>
    <row r="89" spans="2:13" x14ac:dyDescent="0.3">
      <c r="B89" s="34" t="str">
        <f t="shared" si="13"/>
        <v>Apr 20X2</v>
      </c>
      <c r="C89" s="28">
        <f t="shared" si="13"/>
        <v>785300.04</v>
      </c>
      <c r="D89" s="28">
        <f t="shared" si="13"/>
        <v>1660578.192</v>
      </c>
      <c r="E89" s="28">
        <f t="shared" si="13"/>
        <v>1677359.824</v>
      </c>
      <c r="F89" s="28">
        <f t="shared" si="13"/>
        <v>2376654</v>
      </c>
      <c r="G89" s="57">
        <f t="shared" si="11"/>
        <v>11158</v>
      </c>
      <c r="H89" s="28"/>
      <c r="I89" s="28"/>
      <c r="J89" s="28"/>
      <c r="K89" s="28"/>
      <c r="L89" s="43"/>
    </row>
    <row r="90" spans="2:13" x14ac:dyDescent="0.3">
      <c r="B90" s="34" t="str">
        <f t="shared" si="13"/>
        <v>May 20X2</v>
      </c>
      <c r="C90" s="28">
        <f t="shared" si="13"/>
        <v>311730.804</v>
      </c>
      <c r="D90" s="28">
        <f t="shared" si="13"/>
        <v>1281120.6540000001</v>
      </c>
      <c r="E90" s="28">
        <f t="shared" si="13"/>
        <v>1699004.56</v>
      </c>
      <c r="F90" s="28">
        <f t="shared" si="13"/>
        <v>2344570.7999999998</v>
      </c>
      <c r="G90" s="57">
        <f t="shared" si="11"/>
        <v>11561</v>
      </c>
      <c r="H90" s="28"/>
      <c r="I90" s="28"/>
      <c r="J90" s="28"/>
      <c r="K90" s="28"/>
      <c r="L90" s="43"/>
    </row>
    <row r="91" spans="2:13" x14ac:dyDescent="0.3">
      <c r="B91" s="34" t="str">
        <f t="shared" si="13"/>
        <v>Jun 20X2</v>
      </c>
      <c r="C91" s="28">
        <f t="shared" si="13"/>
        <v>144863.96400000001</v>
      </c>
      <c r="D91" s="28">
        <f t="shared" si="13"/>
        <v>766988.67599999998</v>
      </c>
      <c r="E91" s="28">
        <f t="shared" si="13"/>
        <v>679412.44799999997</v>
      </c>
      <c r="F91" s="28">
        <f t="shared" si="13"/>
        <v>2093811.93</v>
      </c>
      <c r="G91" s="57">
        <f t="shared" si="11"/>
        <v>11421</v>
      </c>
      <c r="H91" s="28"/>
      <c r="I91" s="28"/>
      <c r="J91" s="28"/>
      <c r="K91" s="28"/>
      <c r="L91" s="43"/>
    </row>
    <row r="92" spans="2:13" x14ac:dyDescent="0.3">
      <c r="B92" s="40"/>
    </row>
    <row r="93" spans="2:13" x14ac:dyDescent="0.3">
      <c r="B93" s="40"/>
      <c r="C93" s="13" t="s">
        <v>15</v>
      </c>
      <c r="D93" s="32"/>
      <c r="E93" s="32"/>
      <c r="F93" s="12"/>
      <c r="G93" s="13" t="s">
        <v>53</v>
      </c>
      <c r="H93" s="32"/>
      <c r="I93" s="32"/>
      <c r="J93" s="12"/>
    </row>
    <row r="94" spans="2:13" ht="28.8" x14ac:dyDescent="0.3">
      <c r="B94" s="40" t="str">
        <f>B73</f>
        <v>Incurred Month</v>
      </c>
      <c r="C94" s="58" t="str">
        <f>C73</f>
        <v>Inpatient</v>
      </c>
      <c r="D94" s="58" t="str">
        <f>D73</f>
        <v>Outpatient</v>
      </c>
      <c r="E94" s="58" t="str">
        <f>E73</f>
        <v>Professional/Other</v>
      </c>
      <c r="F94" s="58" t="str">
        <f>F73</f>
        <v>Prescription Drugs</v>
      </c>
      <c r="G94" s="58" t="str">
        <f>C94</f>
        <v>Inpatient</v>
      </c>
      <c r="H94" s="58" t="str">
        <f>D94</f>
        <v>Outpatient</v>
      </c>
      <c r="I94" s="58" t="str">
        <f>E94</f>
        <v>Professional/Other</v>
      </c>
      <c r="J94" s="58" t="str">
        <f>F94</f>
        <v>Prescription Drugs</v>
      </c>
    </row>
    <row r="95" spans="2:13" x14ac:dyDescent="0.3">
      <c r="B95" s="34" t="str">
        <f t="shared" ref="B95:B100" si="14">B86</f>
        <v>Jan 20X2</v>
      </c>
      <c r="C95" s="28">
        <f t="shared" ref="C95:F100" si="15">$G86*H80*(1+Q$11*9/12)</f>
        <v>813386.95898165891</v>
      </c>
      <c r="D95" s="28">
        <f t="shared" si="15"/>
        <v>1608440.7219318075</v>
      </c>
      <c r="E95" s="28">
        <f t="shared" si="15"/>
        <v>1619788.733466143</v>
      </c>
      <c r="F95" s="28">
        <f t="shared" si="15"/>
        <v>2424582.42</v>
      </c>
      <c r="G95" s="28">
        <f t="shared" ref="G95:J100" si="16">C95-C86</f>
        <v>-64693.361018341035</v>
      </c>
      <c r="H95" s="28">
        <f t="shared" si="16"/>
        <v>-41259.278068192536</v>
      </c>
      <c r="I95" s="28">
        <f t="shared" si="16"/>
        <v>-7915.2665338569786</v>
      </c>
      <c r="J95" s="28">
        <f t="shared" si="16"/>
        <v>169992.41999999993</v>
      </c>
      <c r="M95" t="s">
        <v>129</v>
      </c>
    </row>
    <row r="96" spans="2:13" x14ac:dyDescent="0.3">
      <c r="B96" s="34" t="str">
        <f t="shared" si="14"/>
        <v>Feb 20X2</v>
      </c>
      <c r="C96" s="28">
        <f t="shared" si="15"/>
        <v>845809.77726267243</v>
      </c>
      <c r="D96" s="28">
        <f t="shared" si="15"/>
        <v>1662020.3467473735</v>
      </c>
      <c r="E96" s="28">
        <f t="shared" si="15"/>
        <v>1687718.5785938613</v>
      </c>
      <c r="F96" s="28">
        <f t="shared" si="15"/>
        <v>2468486.7213906101</v>
      </c>
      <c r="G96" s="28">
        <f t="shared" si="16"/>
        <v>201414.7272626725</v>
      </c>
      <c r="H96" s="28">
        <f t="shared" si="16"/>
        <v>37730.346747373464</v>
      </c>
      <c r="I96" s="28">
        <f t="shared" si="16"/>
        <v>29822.578593861312</v>
      </c>
      <c r="J96" s="28">
        <f t="shared" si="16"/>
        <v>104864.7213906101</v>
      </c>
    </row>
    <row r="97" spans="1:15" x14ac:dyDescent="0.3">
      <c r="B97" s="34" t="str">
        <f t="shared" si="14"/>
        <v>Mar 20X2</v>
      </c>
      <c r="C97" s="28">
        <f t="shared" si="15"/>
        <v>880966.82832960587</v>
      </c>
      <c r="D97" s="28">
        <f t="shared" si="15"/>
        <v>1700438.4631691698</v>
      </c>
      <c r="E97" s="28">
        <f t="shared" si="15"/>
        <v>1675498.9308989751</v>
      </c>
      <c r="F97" s="28">
        <f t="shared" si="15"/>
        <v>2382850.5689753131</v>
      </c>
      <c r="G97" s="28">
        <f t="shared" si="16"/>
        <v>319122.3363296059</v>
      </c>
      <c r="H97" s="28">
        <f t="shared" si="16"/>
        <v>-12103.796830830164</v>
      </c>
      <c r="I97" s="28">
        <f t="shared" si="16"/>
        <v>53647.930898975115</v>
      </c>
      <c r="J97" s="28">
        <f t="shared" si="16"/>
        <v>54887.568975313101</v>
      </c>
      <c r="M97" t="s">
        <v>128</v>
      </c>
    </row>
    <row r="98" spans="1:15" x14ac:dyDescent="0.3">
      <c r="B98" s="34" t="str">
        <f t="shared" si="14"/>
        <v>Apr 20X2</v>
      </c>
      <c r="C98" s="28">
        <f t="shared" si="15"/>
        <v>886602.82344251208</v>
      </c>
      <c r="D98" s="28">
        <f t="shared" si="15"/>
        <v>1720103.2689277104</v>
      </c>
      <c r="E98" s="28">
        <f t="shared" si="15"/>
        <v>1729293.9925277291</v>
      </c>
      <c r="F98" s="28">
        <f t="shared" si="15"/>
        <v>2347492.3171370351</v>
      </c>
      <c r="G98" s="28">
        <f t="shared" si="16"/>
        <v>101302.78344251204</v>
      </c>
      <c r="H98" s="28">
        <f t="shared" si="16"/>
        <v>59525.076927710325</v>
      </c>
      <c r="I98" s="28">
        <f t="shared" si="16"/>
        <v>51934.168527729111</v>
      </c>
      <c r="J98" s="28">
        <f t="shared" si="16"/>
        <v>-29161.682862964924</v>
      </c>
    </row>
    <row r="99" spans="1:15" x14ac:dyDescent="0.3">
      <c r="B99" s="34" t="str">
        <f t="shared" si="14"/>
        <v>May 20X2</v>
      </c>
      <c r="C99" s="28">
        <f t="shared" si="15"/>
        <v>952761.63915631885</v>
      </c>
      <c r="D99" s="28">
        <f t="shared" si="15"/>
        <v>1752069.4431334636</v>
      </c>
      <c r="E99" s="28">
        <f t="shared" si="15"/>
        <v>1801878.9150937467</v>
      </c>
      <c r="F99" s="28">
        <f t="shared" si="15"/>
        <v>2409526.0547036622</v>
      </c>
      <c r="G99" s="28">
        <f t="shared" si="16"/>
        <v>641030.83515631885</v>
      </c>
      <c r="H99" s="28">
        <f t="shared" si="16"/>
        <v>470948.78913346352</v>
      </c>
      <c r="I99" s="28">
        <f t="shared" si="16"/>
        <v>102874.35509374668</v>
      </c>
      <c r="J99" s="28">
        <f t="shared" si="16"/>
        <v>64955.254703662358</v>
      </c>
    </row>
    <row r="100" spans="1:15" x14ac:dyDescent="0.3">
      <c r="B100" s="34" t="str">
        <f t="shared" si="14"/>
        <v>Jun 20X2</v>
      </c>
      <c r="C100" s="28">
        <f t="shared" si="15"/>
        <v>922379.4216781765</v>
      </c>
      <c r="D100" s="28">
        <f t="shared" si="15"/>
        <v>1707648.7199187812</v>
      </c>
      <c r="E100" s="28">
        <f t="shared" si="15"/>
        <v>1796326.5790877803</v>
      </c>
      <c r="F100" s="28">
        <f t="shared" si="15"/>
        <v>2333254.1793731931</v>
      </c>
      <c r="G100" s="28">
        <f t="shared" si="16"/>
        <v>777515.45767817646</v>
      </c>
      <c r="H100" s="28">
        <f t="shared" si="16"/>
        <v>940660.04391878122</v>
      </c>
      <c r="I100" s="28">
        <f t="shared" si="16"/>
        <v>1116914.1310877805</v>
      </c>
      <c r="J100" s="28">
        <f t="shared" si="16"/>
        <v>239442.24937319313</v>
      </c>
    </row>
    <row r="101" spans="1:15" ht="15" thickBot="1" x14ac:dyDescent="0.35">
      <c r="B101" s="40"/>
      <c r="C101" s="28"/>
      <c r="D101" s="28"/>
      <c r="E101" s="28"/>
      <c r="F101" s="28"/>
      <c r="G101" s="28"/>
      <c r="H101" s="28"/>
      <c r="I101" s="28"/>
      <c r="J101" s="28"/>
    </row>
    <row r="102" spans="1:15" ht="15" thickBot="1" x14ac:dyDescent="0.35">
      <c r="B102" s="40"/>
      <c r="C102" s="28"/>
      <c r="D102" s="28"/>
      <c r="E102" s="28"/>
      <c r="F102" s="28" t="s">
        <v>127</v>
      </c>
      <c r="G102" s="30">
        <f>SUM(G95:J100)</f>
        <v>5383452.3899272988</v>
      </c>
      <c r="H102" s="28"/>
      <c r="I102" s="28"/>
      <c r="J102" s="28"/>
      <c r="M102" t="s">
        <v>126</v>
      </c>
    </row>
    <row r="104" spans="1:15" x14ac:dyDescent="0.3">
      <c r="B104" t="s">
        <v>82</v>
      </c>
    </row>
    <row r="105" spans="1:15" x14ac:dyDescent="0.3">
      <c r="B105" t="s">
        <v>81</v>
      </c>
    </row>
    <row r="107" spans="1:15" x14ac:dyDescent="0.3">
      <c r="A107" t="s">
        <v>0</v>
      </c>
      <c r="B107" t="s">
        <v>80</v>
      </c>
    </row>
    <row r="109" spans="1:15" x14ac:dyDescent="0.3">
      <c r="B109" s="40"/>
      <c r="C109" s="13" t="s">
        <v>125</v>
      </c>
      <c r="D109" s="32"/>
      <c r="E109" s="32"/>
      <c r="F109" s="12"/>
      <c r="H109" s="40"/>
      <c r="I109" s="13" t="s">
        <v>124</v>
      </c>
      <c r="J109" s="32"/>
      <c r="K109" s="32"/>
      <c r="L109" s="12"/>
      <c r="O109" s="14" t="s">
        <v>9</v>
      </c>
    </row>
    <row r="110" spans="1:15" ht="28.8" x14ac:dyDescent="0.3">
      <c r="B110" s="40" t="str">
        <f>B94</f>
        <v>Incurred Month</v>
      </c>
      <c r="C110" s="60" t="str">
        <f>C94</f>
        <v>Inpatient</v>
      </c>
      <c r="D110" s="60" t="str">
        <f>D94</f>
        <v>Outpatient</v>
      </c>
      <c r="E110" s="60" t="str">
        <f>E94</f>
        <v>Professional/Other</v>
      </c>
      <c r="F110" s="60" t="str">
        <f>F94</f>
        <v>Prescription Drugs</v>
      </c>
      <c r="G110" s="11" t="s">
        <v>11</v>
      </c>
      <c r="H110" s="60" t="str">
        <f>B110</f>
        <v>Incurred Month</v>
      </c>
      <c r="I110" s="60" t="str">
        <f>C110</f>
        <v>Inpatient</v>
      </c>
      <c r="J110" s="60" t="str">
        <f>D110</f>
        <v>Outpatient</v>
      </c>
      <c r="K110" s="60" t="str">
        <f>E110</f>
        <v>Professional/Other</v>
      </c>
      <c r="L110" s="60" t="str">
        <f>F110</f>
        <v>Prescription Drugs</v>
      </c>
      <c r="M110" s="11" t="s">
        <v>11</v>
      </c>
    </row>
    <row r="111" spans="1:15" x14ac:dyDescent="0.3">
      <c r="B111" s="34" t="str">
        <f t="shared" ref="B111:B116" si="17">B95</f>
        <v>Jan 20X2</v>
      </c>
      <c r="C111" s="28">
        <f t="shared" ref="C111:F116" si="18">C59</f>
        <v>879840</v>
      </c>
      <c r="D111" s="28">
        <f t="shared" si="18"/>
        <v>1649700</v>
      </c>
      <c r="E111" s="28">
        <f t="shared" si="18"/>
        <v>1627704</v>
      </c>
      <c r="F111" s="28">
        <f t="shared" si="18"/>
        <v>2254590</v>
      </c>
      <c r="G111" s="23">
        <v>1</v>
      </c>
      <c r="H111" s="49" t="str">
        <f t="shared" ref="H111:H116" si="19">B111</f>
        <v>Jan 20X2</v>
      </c>
      <c r="I111" s="28">
        <f t="shared" ref="I111:L116" si="20">C95</f>
        <v>813386.95898165891</v>
      </c>
      <c r="J111" s="28">
        <f t="shared" si="20"/>
        <v>1608440.7219318075</v>
      </c>
      <c r="K111" s="28">
        <f t="shared" si="20"/>
        <v>1619788.733466143</v>
      </c>
      <c r="L111" s="28">
        <f t="shared" si="20"/>
        <v>2424582.42</v>
      </c>
      <c r="M111" s="23">
        <f t="shared" ref="M111:M116" si="21">1-G111</f>
        <v>0</v>
      </c>
      <c r="O111" t="s">
        <v>123</v>
      </c>
    </row>
    <row r="112" spans="1:15" x14ac:dyDescent="0.3">
      <c r="B112" s="34" t="str">
        <f t="shared" si="17"/>
        <v>Feb 20X2</v>
      </c>
      <c r="C112" s="28">
        <f t="shared" si="18"/>
        <v>660918</v>
      </c>
      <c r="D112" s="28">
        <f t="shared" si="18"/>
        <v>1624290</v>
      </c>
      <c r="E112" s="28">
        <f t="shared" si="18"/>
        <v>1657896</v>
      </c>
      <c r="F112" s="28">
        <f t="shared" si="18"/>
        <v>2363622</v>
      </c>
      <c r="G112" s="23">
        <v>1</v>
      </c>
      <c r="H112" s="49" t="str">
        <f t="shared" si="19"/>
        <v>Feb 20X2</v>
      </c>
      <c r="I112" s="28">
        <f t="shared" si="20"/>
        <v>845809.77726267243</v>
      </c>
      <c r="J112" s="28">
        <f t="shared" si="20"/>
        <v>1662020.3467473735</v>
      </c>
      <c r="K112" s="28">
        <f t="shared" si="20"/>
        <v>1687718.5785938613</v>
      </c>
      <c r="L112" s="28">
        <f t="shared" si="20"/>
        <v>2468486.7213906101</v>
      </c>
      <c r="M112" s="23">
        <f t="shared" si="21"/>
        <v>0</v>
      </c>
    </row>
    <row r="113" spans="2:15" x14ac:dyDescent="0.3">
      <c r="B113" s="34" t="str">
        <f t="shared" si="17"/>
        <v>Mar 20X2</v>
      </c>
      <c r="C113" s="28">
        <f t="shared" si="18"/>
        <v>639914</v>
      </c>
      <c r="D113" s="28">
        <f t="shared" si="18"/>
        <v>1721148</v>
      </c>
      <c r="E113" s="28">
        <f t="shared" si="18"/>
        <v>1621851</v>
      </c>
      <c r="F113" s="28">
        <f t="shared" si="18"/>
        <v>2327963</v>
      </c>
      <c r="G113" s="23">
        <v>1</v>
      </c>
      <c r="H113" s="49" t="str">
        <f t="shared" si="19"/>
        <v>Mar 20X2</v>
      </c>
      <c r="I113" s="28">
        <f t="shared" si="20"/>
        <v>880966.82832960587</v>
      </c>
      <c r="J113" s="28">
        <f t="shared" si="20"/>
        <v>1700438.4631691698</v>
      </c>
      <c r="K113" s="28">
        <f t="shared" si="20"/>
        <v>1675498.9308989751</v>
      </c>
      <c r="L113" s="28">
        <f t="shared" si="20"/>
        <v>2382850.5689753131</v>
      </c>
      <c r="M113" s="23">
        <f t="shared" si="21"/>
        <v>0</v>
      </c>
    </row>
    <row r="114" spans="2:15" x14ac:dyDescent="0.3">
      <c r="B114" s="34" t="str">
        <f t="shared" si="17"/>
        <v>Apr 20X2</v>
      </c>
      <c r="C114" s="28">
        <f t="shared" si="18"/>
        <v>1004220</v>
      </c>
      <c r="D114" s="28">
        <f t="shared" si="18"/>
        <v>1740648</v>
      </c>
      <c r="E114" s="28">
        <f t="shared" si="18"/>
        <v>1696016</v>
      </c>
      <c r="F114" s="28">
        <f t="shared" si="18"/>
        <v>2376654</v>
      </c>
      <c r="G114" s="23">
        <v>0.75</v>
      </c>
      <c r="H114" s="49" t="str">
        <f t="shared" si="19"/>
        <v>Apr 20X2</v>
      </c>
      <c r="I114" s="28">
        <f t="shared" si="20"/>
        <v>886602.82344251208</v>
      </c>
      <c r="J114" s="28">
        <f t="shared" si="20"/>
        <v>1720103.2689277104</v>
      </c>
      <c r="K114" s="28">
        <f t="shared" si="20"/>
        <v>1729293.9925277291</v>
      </c>
      <c r="L114" s="28">
        <f t="shared" si="20"/>
        <v>2347492.3171370351</v>
      </c>
      <c r="M114" s="23">
        <f t="shared" si="21"/>
        <v>0.25</v>
      </c>
    </row>
    <row r="115" spans="2:15" x14ac:dyDescent="0.3">
      <c r="B115" s="34" t="str">
        <f t="shared" si="17"/>
        <v>May 20X2</v>
      </c>
      <c r="C115" s="28">
        <f t="shared" si="18"/>
        <v>728343</v>
      </c>
      <c r="D115" s="28">
        <f t="shared" si="18"/>
        <v>1595418</v>
      </c>
      <c r="E115" s="28">
        <f t="shared" si="18"/>
        <v>1930687</v>
      </c>
      <c r="F115" s="28">
        <f t="shared" si="18"/>
        <v>2404688</v>
      </c>
      <c r="G115" s="23">
        <v>0.5</v>
      </c>
      <c r="H115" s="49" t="str">
        <f t="shared" si="19"/>
        <v>May 20X2</v>
      </c>
      <c r="I115" s="28">
        <f t="shared" si="20"/>
        <v>952761.63915631885</v>
      </c>
      <c r="J115" s="28">
        <f t="shared" si="20"/>
        <v>1752069.4431334636</v>
      </c>
      <c r="K115" s="28">
        <f t="shared" si="20"/>
        <v>1801878.9150937467</v>
      </c>
      <c r="L115" s="28">
        <f t="shared" si="20"/>
        <v>2409526.0547036622</v>
      </c>
      <c r="M115" s="23">
        <f t="shared" si="21"/>
        <v>0.5</v>
      </c>
    </row>
    <row r="116" spans="2:15" x14ac:dyDescent="0.3">
      <c r="B116" s="34" t="str">
        <f t="shared" si="17"/>
        <v>Jun 20X2</v>
      </c>
      <c r="C116" s="28">
        <f t="shared" si="18"/>
        <v>959364.00000000012</v>
      </c>
      <c r="D116" s="28">
        <f t="shared" si="18"/>
        <v>1861623</v>
      </c>
      <c r="E116" s="28">
        <f t="shared" si="18"/>
        <v>1930149</v>
      </c>
      <c r="F116" s="28">
        <f t="shared" si="18"/>
        <v>2398410</v>
      </c>
      <c r="G116" s="23">
        <v>0.25</v>
      </c>
      <c r="H116" s="49" t="str">
        <f t="shared" si="19"/>
        <v>Jun 20X2</v>
      </c>
      <c r="I116" s="28">
        <f t="shared" si="20"/>
        <v>922379.4216781765</v>
      </c>
      <c r="J116" s="28">
        <f t="shared" si="20"/>
        <v>1707648.7199187812</v>
      </c>
      <c r="K116" s="28">
        <f t="shared" si="20"/>
        <v>1796326.5790877803</v>
      </c>
      <c r="L116" s="28">
        <f t="shared" si="20"/>
        <v>2333254.1793731931</v>
      </c>
      <c r="M116" s="23">
        <f t="shared" si="21"/>
        <v>0.75</v>
      </c>
    </row>
    <row r="117" spans="2:15" x14ac:dyDescent="0.3">
      <c r="C117" s="11"/>
      <c r="D117" s="11"/>
      <c r="E117" s="11"/>
      <c r="F117" s="11"/>
      <c r="G117" s="11"/>
      <c r="H117" s="11"/>
      <c r="I117" s="28"/>
      <c r="J117" s="28"/>
      <c r="K117" s="28"/>
      <c r="L117" s="28"/>
      <c r="M117" s="11"/>
    </row>
    <row r="118" spans="2:15" x14ac:dyDescent="0.3">
      <c r="C118" s="13" t="s">
        <v>122</v>
      </c>
      <c r="D118" s="32"/>
      <c r="E118" s="32"/>
      <c r="F118" s="12"/>
      <c r="I118" s="13" t="s">
        <v>53</v>
      </c>
      <c r="J118" s="32"/>
      <c r="K118" s="32"/>
      <c r="L118" s="12"/>
    </row>
    <row r="119" spans="2:15" ht="28.8" x14ac:dyDescent="0.3">
      <c r="B119" s="42" t="str">
        <f>B110</f>
        <v>Incurred Month</v>
      </c>
      <c r="C119" s="60" t="str">
        <f>C110</f>
        <v>Inpatient</v>
      </c>
      <c r="D119" s="60" t="str">
        <f>D110</f>
        <v>Outpatient</v>
      </c>
      <c r="E119" s="60" t="str">
        <f>E110</f>
        <v>Professional/Other</v>
      </c>
      <c r="F119" s="60" t="str">
        <f>F110</f>
        <v>Prescription Drugs</v>
      </c>
      <c r="G119" s="11"/>
      <c r="H119" s="60" t="str">
        <f t="shared" ref="H119:H125" si="22">B119</f>
        <v>Incurred Month</v>
      </c>
      <c r="I119" s="11"/>
      <c r="J119" s="11"/>
      <c r="K119" s="11"/>
      <c r="L119" s="11"/>
    </row>
    <row r="120" spans="2:15" x14ac:dyDescent="0.3">
      <c r="B120" s="34" t="str">
        <f t="shared" ref="B120:B125" si="23">B111</f>
        <v>Jan 20X2</v>
      </c>
      <c r="C120" s="28">
        <f t="shared" ref="C120:E125" si="24">C111*$G111+I111*$M111</f>
        <v>879840</v>
      </c>
      <c r="D120" s="28">
        <f t="shared" si="24"/>
        <v>1649700</v>
      </c>
      <c r="E120" s="28">
        <f t="shared" si="24"/>
        <v>1627704</v>
      </c>
      <c r="F120" s="28">
        <f t="shared" ref="F120:F125" si="25">F111</f>
        <v>2254590</v>
      </c>
      <c r="G120" s="28"/>
      <c r="H120" s="28" t="str">
        <f t="shared" si="22"/>
        <v>Jan 20X2</v>
      </c>
      <c r="I120" s="28">
        <f t="shared" ref="I120:L125" si="26">C120-C23</f>
        <v>1759.6800000000512</v>
      </c>
      <c r="J120" s="28">
        <f t="shared" si="26"/>
        <v>0</v>
      </c>
      <c r="K120" s="28">
        <f t="shared" si="26"/>
        <v>0</v>
      </c>
      <c r="L120" s="28">
        <f t="shared" si="26"/>
        <v>0</v>
      </c>
      <c r="O120" t="s">
        <v>121</v>
      </c>
    </row>
    <row r="121" spans="2:15" x14ac:dyDescent="0.3">
      <c r="B121" s="34" t="str">
        <f t="shared" si="23"/>
        <v>Feb 20X2</v>
      </c>
      <c r="C121" s="28">
        <f t="shared" si="24"/>
        <v>660918</v>
      </c>
      <c r="D121" s="28">
        <f t="shared" si="24"/>
        <v>1624290</v>
      </c>
      <c r="E121" s="28">
        <f t="shared" si="24"/>
        <v>1657896</v>
      </c>
      <c r="F121" s="28">
        <f t="shared" si="25"/>
        <v>2363622</v>
      </c>
      <c r="G121" s="28"/>
      <c r="H121" s="28" t="str">
        <f t="shared" si="22"/>
        <v>Feb 20X2</v>
      </c>
      <c r="I121" s="28">
        <f t="shared" si="26"/>
        <v>16522.95000000007</v>
      </c>
      <c r="J121" s="28">
        <f t="shared" si="26"/>
        <v>0</v>
      </c>
      <c r="K121" s="28">
        <f t="shared" si="26"/>
        <v>0</v>
      </c>
      <c r="L121" s="28">
        <f t="shared" si="26"/>
        <v>0</v>
      </c>
      <c r="O121" t="s">
        <v>120</v>
      </c>
    </row>
    <row r="122" spans="2:15" x14ac:dyDescent="0.3">
      <c r="B122" s="34" t="str">
        <f t="shared" si="23"/>
        <v>Mar 20X2</v>
      </c>
      <c r="C122" s="28">
        <f t="shared" si="24"/>
        <v>639914</v>
      </c>
      <c r="D122" s="28">
        <f t="shared" si="24"/>
        <v>1721148</v>
      </c>
      <c r="E122" s="28">
        <f t="shared" si="24"/>
        <v>1621851</v>
      </c>
      <c r="F122" s="28">
        <f t="shared" si="25"/>
        <v>2327963</v>
      </c>
      <c r="G122" s="28"/>
      <c r="H122" s="28" t="str">
        <f t="shared" si="22"/>
        <v>Mar 20X2</v>
      </c>
      <c r="I122" s="28">
        <f t="shared" si="26"/>
        <v>78069.508000000031</v>
      </c>
      <c r="J122" s="28">
        <f t="shared" si="26"/>
        <v>8605.7399999999907</v>
      </c>
      <c r="K122" s="28">
        <f t="shared" si="26"/>
        <v>0</v>
      </c>
      <c r="L122" s="28">
        <f t="shared" si="26"/>
        <v>0</v>
      </c>
    </row>
    <row r="123" spans="2:15" x14ac:dyDescent="0.3">
      <c r="B123" s="34" t="str">
        <f t="shared" si="23"/>
        <v>Apr 20X2</v>
      </c>
      <c r="C123" s="28">
        <f t="shared" si="24"/>
        <v>974815.70586062805</v>
      </c>
      <c r="D123" s="28">
        <f t="shared" si="24"/>
        <v>1735511.8172319275</v>
      </c>
      <c r="E123" s="28">
        <f t="shared" si="24"/>
        <v>1704335.4981319322</v>
      </c>
      <c r="F123" s="28">
        <f t="shared" si="25"/>
        <v>2376654</v>
      </c>
      <c r="G123" s="28"/>
      <c r="H123" s="28" t="str">
        <f t="shared" si="22"/>
        <v>Apr 20X2</v>
      </c>
      <c r="I123" s="28">
        <f t="shared" si="26"/>
        <v>189515.66586062801</v>
      </c>
      <c r="J123" s="28">
        <f t="shared" si="26"/>
        <v>74933.625231927494</v>
      </c>
      <c r="K123" s="28">
        <f t="shared" si="26"/>
        <v>26975.674131932203</v>
      </c>
      <c r="L123" s="28">
        <f t="shared" si="26"/>
        <v>0</v>
      </c>
      <c r="O123" t="s">
        <v>119</v>
      </c>
    </row>
    <row r="124" spans="2:15" x14ac:dyDescent="0.3">
      <c r="B124" s="34" t="str">
        <f t="shared" si="23"/>
        <v>May 20X2</v>
      </c>
      <c r="C124" s="28">
        <f t="shared" si="24"/>
        <v>840552.31957815937</v>
      </c>
      <c r="D124" s="28">
        <f t="shared" si="24"/>
        <v>1673743.7215667318</v>
      </c>
      <c r="E124" s="28">
        <f t="shared" si="24"/>
        <v>1866282.9575468735</v>
      </c>
      <c r="F124" s="28">
        <f t="shared" si="25"/>
        <v>2404688</v>
      </c>
      <c r="G124" s="28"/>
      <c r="H124" s="28" t="str">
        <f t="shared" si="22"/>
        <v>May 20X2</v>
      </c>
      <c r="I124" s="28">
        <f t="shared" si="26"/>
        <v>528821.51557815936</v>
      </c>
      <c r="J124" s="28">
        <f t="shared" si="26"/>
        <v>392623.06756673171</v>
      </c>
      <c r="K124" s="28">
        <f t="shared" si="26"/>
        <v>167278.39754687343</v>
      </c>
      <c r="L124" s="28">
        <f t="shared" si="26"/>
        <v>60117.200000000186</v>
      </c>
    </row>
    <row r="125" spans="2:15" x14ac:dyDescent="0.3">
      <c r="B125" s="34" t="str">
        <f t="shared" si="23"/>
        <v>Jun 20X2</v>
      </c>
      <c r="C125" s="28">
        <f t="shared" si="24"/>
        <v>931625.56625863235</v>
      </c>
      <c r="D125" s="28">
        <f t="shared" si="24"/>
        <v>1746142.289939086</v>
      </c>
      <c r="E125" s="28">
        <f t="shared" si="24"/>
        <v>1829782.1843158351</v>
      </c>
      <c r="F125" s="28">
        <f t="shared" si="25"/>
        <v>2398410</v>
      </c>
      <c r="G125" s="28"/>
      <c r="H125" s="28" t="str">
        <f t="shared" si="22"/>
        <v>Jun 20X2</v>
      </c>
      <c r="I125" s="28">
        <f t="shared" si="26"/>
        <v>786761.60225863231</v>
      </c>
      <c r="J125" s="28">
        <f t="shared" si="26"/>
        <v>979153.61393908598</v>
      </c>
      <c r="K125" s="28">
        <f t="shared" si="26"/>
        <v>1150369.7363158353</v>
      </c>
      <c r="L125" s="28">
        <f t="shared" si="26"/>
        <v>304598.07000000007</v>
      </c>
    </row>
    <row r="126" spans="2:15" ht="15" thickBot="1" x14ac:dyDescent="0.35">
      <c r="B126" s="42"/>
      <c r="C126" s="11"/>
      <c r="D126" s="11"/>
      <c r="E126" s="11"/>
      <c r="F126" s="11"/>
      <c r="G126" s="11"/>
      <c r="H126" s="11"/>
      <c r="I126" s="11"/>
      <c r="J126" s="11"/>
      <c r="K126" s="11"/>
      <c r="L126" s="11"/>
    </row>
    <row r="127" spans="2:15" ht="15" thickBot="1" x14ac:dyDescent="0.35">
      <c r="C127" s="11"/>
      <c r="D127" s="11"/>
      <c r="E127" s="11"/>
      <c r="F127" s="11"/>
      <c r="G127" s="11"/>
      <c r="H127" s="11" t="s">
        <v>118</v>
      </c>
      <c r="I127" s="30">
        <f>SUM(I120:L125)</f>
        <v>4766106.0464298064</v>
      </c>
      <c r="J127" s="11"/>
      <c r="K127" s="11"/>
      <c r="L127" s="11"/>
      <c r="O127" t="s">
        <v>117</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3AD15-8A71-4301-9CDA-7C8FB0018482}">
  <sheetPr>
    <tabColor theme="5" tint="0.39997558519241921"/>
  </sheetPr>
  <dimension ref="A1:V33"/>
  <sheetViews>
    <sheetView zoomScale="115" zoomScaleNormal="115" workbookViewId="0"/>
  </sheetViews>
  <sheetFormatPr defaultRowHeight="14.4" x14ac:dyDescent="0.3"/>
  <cols>
    <col min="2" max="2" width="22.44140625" customWidth="1"/>
    <col min="3" max="8" width="12.6640625" customWidth="1"/>
    <col min="9" max="22" width="12.33203125" bestFit="1" customWidth="1"/>
  </cols>
  <sheetData>
    <row r="1" spans="1:22" x14ac:dyDescent="0.3">
      <c r="A1" s="135" t="s">
        <v>507</v>
      </c>
    </row>
    <row r="3" spans="1:22" x14ac:dyDescent="0.3">
      <c r="A3" s="9" t="s">
        <v>7</v>
      </c>
    </row>
    <row r="4" spans="1:22" x14ac:dyDescent="0.3">
      <c r="A4" t="s">
        <v>46</v>
      </c>
    </row>
    <row r="5" spans="1:22" x14ac:dyDescent="0.3">
      <c r="A5" s="9"/>
      <c r="D5" s="14"/>
    </row>
    <row r="7" spans="1:22" x14ac:dyDescent="0.3">
      <c r="B7" s="8" t="s">
        <v>6</v>
      </c>
      <c r="C7" s="6"/>
      <c r="E7" s="8" t="s">
        <v>5</v>
      </c>
      <c r="F7" s="6"/>
      <c r="H7" s="8" t="s">
        <v>4</v>
      </c>
      <c r="I7" s="7"/>
      <c r="J7" s="7"/>
      <c r="K7" s="7"/>
      <c r="L7" s="7"/>
      <c r="M7" s="7"/>
      <c r="N7" s="7"/>
      <c r="O7" s="7"/>
      <c r="P7" s="7"/>
      <c r="Q7" s="7"/>
      <c r="R7" s="7"/>
      <c r="S7" s="7"/>
      <c r="T7" s="7"/>
      <c r="U7" s="7"/>
      <c r="V7" s="6"/>
    </row>
    <row r="8" spans="1:22" x14ac:dyDescent="0.3">
      <c r="B8" s="5" t="s">
        <v>157</v>
      </c>
      <c r="C8" s="3"/>
      <c r="E8" s="5" t="s">
        <v>156</v>
      </c>
      <c r="F8" s="3"/>
      <c r="H8" s="5" t="s">
        <v>155</v>
      </c>
      <c r="I8" s="4"/>
      <c r="J8" s="4"/>
      <c r="K8" s="4"/>
      <c r="L8" s="4"/>
      <c r="M8" s="4"/>
      <c r="N8" s="4"/>
      <c r="O8" s="4"/>
      <c r="P8" s="4"/>
      <c r="Q8" s="4"/>
      <c r="R8" s="4"/>
      <c r="S8" s="4"/>
      <c r="T8" s="4"/>
      <c r="U8" s="4"/>
      <c r="V8" s="3"/>
    </row>
    <row r="9" spans="1:22" x14ac:dyDescent="0.3">
      <c r="B9" s="22"/>
      <c r="C9" s="22"/>
      <c r="D9" s="22"/>
      <c r="E9" s="22"/>
      <c r="F9" s="22"/>
      <c r="H9" s="22"/>
      <c r="K9" s="22"/>
      <c r="L9" s="22"/>
    </row>
    <row r="10" spans="1:22" x14ac:dyDescent="0.3">
      <c r="B10" t="s">
        <v>154</v>
      </c>
      <c r="C10" s="17">
        <v>600</v>
      </c>
      <c r="E10" s="11" t="s">
        <v>112</v>
      </c>
      <c r="F10" s="11" t="s">
        <v>111</v>
      </c>
      <c r="H10" s="29" t="s">
        <v>44</v>
      </c>
      <c r="I10" s="29" t="s">
        <v>105</v>
      </c>
      <c r="J10" s="29" t="s">
        <v>103</v>
      </c>
      <c r="K10" s="29" t="s">
        <v>101</v>
      </c>
      <c r="L10" s="29" t="s">
        <v>99</v>
      </c>
      <c r="M10" s="29" t="s">
        <v>97</v>
      </c>
      <c r="N10" s="29" t="s">
        <v>95</v>
      </c>
      <c r="O10" s="29" t="s">
        <v>43</v>
      </c>
      <c r="P10" s="29" t="s">
        <v>42</v>
      </c>
      <c r="Q10" s="29" t="s">
        <v>41</v>
      </c>
      <c r="R10" s="29" t="s">
        <v>40</v>
      </c>
      <c r="S10" s="29" t="s">
        <v>39</v>
      </c>
      <c r="T10" s="29" t="s">
        <v>38</v>
      </c>
      <c r="U10" s="29" t="s">
        <v>37</v>
      </c>
      <c r="V10" s="29" t="s">
        <v>36</v>
      </c>
    </row>
    <row r="11" spans="1:22" x14ac:dyDescent="0.3">
      <c r="B11" t="s">
        <v>153</v>
      </c>
      <c r="C11" s="17">
        <v>459</v>
      </c>
      <c r="E11" s="49" t="s">
        <v>105</v>
      </c>
      <c r="F11" s="15">
        <v>2300</v>
      </c>
      <c r="H11" s="29" t="s">
        <v>105</v>
      </c>
      <c r="I11" s="29">
        <v>275452</v>
      </c>
      <c r="J11" s="29">
        <v>506125</v>
      </c>
      <c r="K11" s="29">
        <v>160422</v>
      </c>
      <c r="L11" s="29">
        <v>0</v>
      </c>
      <c r="M11" s="29">
        <v>0</v>
      </c>
      <c r="N11" s="29">
        <v>0</v>
      </c>
      <c r="O11" s="29">
        <v>0</v>
      </c>
      <c r="P11" s="29">
        <v>0</v>
      </c>
      <c r="Q11" s="29">
        <v>0</v>
      </c>
      <c r="R11" s="29">
        <v>0</v>
      </c>
      <c r="S11" s="29">
        <v>0</v>
      </c>
      <c r="T11" s="29">
        <v>0</v>
      </c>
      <c r="U11" s="29">
        <v>0</v>
      </c>
      <c r="V11" s="29">
        <v>0</v>
      </c>
    </row>
    <row r="12" spans="1:22" x14ac:dyDescent="0.3">
      <c r="B12" t="s">
        <v>152</v>
      </c>
      <c r="C12" s="17">
        <v>51</v>
      </c>
      <c r="E12" s="49" t="s">
        <v>103</v>
      </c>
      <c r="F12" s="15">
        <v>2437</v>
      </c>
      <c r="H12" s="29" t="s">
        <v>103</v>
      </c>
      <c r="I12" s="29">
        <v>0</v>
      </c>
      <c r="J12" s="29">
        <v>239594</v>
      </c>
      <c r="K12" s="29">
        <v>572937</v>
      </c>
      <c r="L12" s="29">
        <v>199799</v>
      </c>
      <c r="M12" s="29">
        <v>0</v>
      </c>
      <c r="N12" s="29">
        <v>0</v>
      </c>
      <c r="O12" s="29">
        <v>0</v>
      </c>
      <c r="P12" s="29">
        <v>0</v>
      </c>
      <c r="Q12" s="29">
        <v>0</v>
      </c>
      <c r="R12" s="29">
        <v>0</v>
      </c>
      <c r="S12" s="29">
        <v>0</v>
      </c>
      <c r="T12" s="29">
        <v>0</v>
      </c>
      <c r="U12" s="29">
        <v>0</v>
      </c>
      <c r="V12" s="29">
        <v>0</v>
      </c>
    </row>
    <row r="13" spans="1:22" x14ac:dyDescent="0.3">
      <c r="B13" t="s">
        <v>151</v>
      </c>
      <c r="C13" s="17">
        <v>48</v>
      </c>
      <c r="E13" s="49" t="s">
        <v>101</v>
      </c>
      <c r="F13" s="15">
        <v>2571</v>
      </c>
      <c r="H13" s="29" t="s">
        <v>101</v>
      </c>
      <c r="I13" s="29">
        <v>0</v>
      </c>
      <c r="J13" s="29">
        <v>0</v>
      </c>
      <c r="K13" s="29">
        <v>283054</v>
      </c>
      <c r="L13" s="29">
        <v>526378</v>
      </c>
      <c r="M13" s="29">
        <v>199236</v>
      </c>
      <c r="N13" s="29">
        <v>0</v>
      </c>
      <c r="O13" s="29">
        <v>0</v>
      </c>
      <c r="P13" s="29">
        <v>0</v>
      </c>
      <c r="Q13" s="29">
        <v>0</v>
      </c>
      <c r="R13" s="29">
        <v>0</v>
      </c>
      <c r="S13" s="29">
        <v>0</v>
      </c>
      <c r="T13" s="29">
        <v>0</v>
      </c>
      <c r="U13" s="29">
        <v>0</v>
      </c>
      <c r="V13" s="29">
        <v>0</v>
      </c>
    </row>
    <row r="14" spans="1:22" x14ac:dyDescent="0.3">
      <c r="A14" s="1"/>
      <c r="B14" t="s">
        <v>150</v>
      </c>
      <c r="C14" s="17">
        <v>18</v>
      </c>
      <c r="E14" s="49" t="s">
        <v>99</v>
      </c>
      <c r="F14" s="15">
        <v>2742</v>
      </c>
      <c r="H14" s="29" t="s">
        <v>99</v>
      </c>
      <c r="I14" s="29">
        <v>0</v>
      </c>
      <c r="J14" s="29">
        <v>0</v>
      </c>
      <c r="K14" s="29">
        <v>0</v>
      </c>
      <c r="L14" s="29">
        <v>275215</v>
      </c>
      <c r="M14" s="29">
        <v>569703</v>
      </c>
      <c r="N14" s="29">
        <v>223835</v>
      </c>
      <c r="O14" s="29">
        <v>0</v>
      </c>
      <c r="P14" s="29">
        <v>0</v>
      </c>
      <c r="Q14" s="29">
        <v>0</v>
      </c>
      <c r="R14" s="29">
        <v>0</v>
      </c>
      <c r="S14" s="29">
        <v>0</v>
      </c>
      <c r="T14" s="29">
        <v>0</v>
      </c>
      <c r="U14" s="29">
        <v>0</v>
      </c>
      <c r="V14" s="29">
        <v>0</v>
      </c>
    </row>
    <row r="15" spans="1:22" x14ac:dyDescent="0.3">
      <c r="A15" s="1"/>
      <c r="B15" t="s">
        <v>19</v>
      </c>
      <c r="C15" s="17">
        <v>24</v>
      </c>
      <c r="E15" s="49" t="s">
        <v>97</v>
      </c>
      <c r="F15" s="15">
        <v>2732</v>
      </c>
      <c r="H15" s="29" t="s">
        <v>97</v>
      </c>
      <c r="I15" s="29">
        <v>0</v>
      </c>
      <c r="J15" s="29">
        <v>0</v>
      </c>
      <c r="K15" s="29">
        <v>0</v>
      </c>
      <c r="L15" s="29">
        <v>0</v>
      </c>
      <c r="M15" s="29">
        <v>290340</v>
      </c>
      <c r="N15" s="29">
        <v>683055</v>
      </c>
      <c r="O15" s="29">
        <v>179534</v>
      </c>
      <c r="P15" s="29">
        <v>0</v>
      </c>
      <c r="Q15" s="29">
        <v>0</v>
      </c>
      <c r="R15" s="29">
        <v>0</v>
      </c>
      <c r="S15" s="29">
        <v>0</v>
      </c>
      <c r="T15" s="29">
        <v>0</v>
      </c>
      <c r="U15" s="29">
        <v>0</v>
      </c>
      <c r="V15" s="29">
        <v>0</v>
      </c>
    </row>
    <row r="16" spans="1:22" x14ac:dyDescent="0.3">
      <c r="A16" s="1"/>
      <c r="E16" s="49" t="s">
        <v>95</v>
      </c>
      <c r="F16" s="15">
        <v>2829</v>
      </c>
      <c r="H16" s="29" t="s">
        <v>95</v>
      </c>
      <c r="I16" s="29">
        <v>0</v>
      </c>
      <c r="J16" s="29">
        <v>0</v>
      </c>
      <c r="K16" s="29">
        <v>0</v>
      </c>
      <c r="L16" s="29">
        <v>0</v>
      </c>
      <c r="M16" s="29">
        <v>0</v>
      </c>
      <c r="N16" s="29">
        <v>326095</v>
      </c>
      <c r="O16" s="29">
        <v>565257</v>
      </c>
      <c r="P16" s="29">
        <v>187100</v>
      </c>
      <c r="Q16" s="29">
        <v>0</v>
      </c>
      <c r="R16" s="29">
        <v>0</v>
      </c>
      <c r="S16" s="29">
        <v>0</v>
      </c>
      <c r="T16" s="29">
        <v>0</v>
      </c>
      <c r="U16" s="29">
        <v>0</v>
      </c>
      <c r="V16" s="29">
        <v>0</v>
      </c>
    </row>
    <row r="17" spans="1:22" x14ac:dyDescent="0.3">
      <c r="E17" s="49" t="s">
        <v>43</v>
      </c>
      <c r="F17" s="15">
        <v>2890</v>
      </c>
      <c r="H17" s="29" t="s">
        <v>43</v>
      </c>
      <c r="I17" s="29">
        <v>0</v>
      </c>
      <c r="J17" s="29">
        <v>0</v>
      </c>
      <c r="K17" s="29">
        <v>0</v>
      </c>
      <c r="L17" s="29">
        <v>0</v>
      </c>
      <c r="M17" s="29">
        <v>0</v>
      </c>
      <c r="N17" s="29">
        <v>0</v>
      </c>
      <c r="O17" s="29">
        <v>346193</v>
      </c>
      <c r="P17" s="29">
        <v>690612</v>
      </c>
      <c r="Q17" s="29">
        <v>234730</v>
      </c>
      <c r="R17" s="29">
        <v>0</v>
      </c>
      <c r="S17" s="29">
        <v>0</v>
      </c>
      <c r="T17" s="29">
        <v>0</v>
      </c>
      <c r="U17" s="29">
        <v>0</v>
      </c>
      <c r="V17" s="29">
        <v>0</v>
      </c>
    </row>
    <row r="18" spans="1:22" x14ac:dyDescent="0.3">
      <c r="E18" s="49" t="s">
        <v>42</v>
      </c>
      <c r="F18" s="15">
        <v>3025</v>
      </c>
      <c r="H18" s="29" t="s">
        <v>42</v>
      </c>
      <c r="I18" s="29">
        <v>0</v>
      </c>
      <c r="J18" s="29">
        <v>0</v>
      </c>
      <c r="K18" s="29">
        <v>0</v>
      </c>
      <c r="L18" s="29">
        <v>0</v>
      </c>
      <c r="M18" s="29">
        <v>0</v>
      </c>
      <c r="N18" s="29">
        <v>0</v>
      </c>
      <c r="O18" s="29">
        <v>0</v>
      </c>
      <c r="P18" s="29">
        <v>367688</v>
      </c>
      <c r="Q18" s="29">
        <v>742871</v>
      </c>
      <c r="R18" s="29">
        <v>247734</v>
      </c>
      <c r="S18" s="29">
        <v>0</v>
      </c>
      <c r="T18" s="29">
        <v>0</v>
      </c>
      <c r="U18" s="29">
        <v>0</v>
      </c>
      <c r="V18" s="29">
        <v>0</v>
      </c>
    </row>
    <row r="19" spans="1:22" x14ac:dyDescent="0.3">
      <c r="E19" s="49" t="s">
        <v>41</v>
      </c>
      <c r="F19" s="15">
        <v>3054</v>
      </c>
      <c r="H19" s="29" t="s">
        <v>41</v>
      </c>
      <c r="I19" s="29">
        <v>0</v>
      </c>
      <c r="J19" s="29">
        <v>0</v>
      </c>
      <c r="K19" s="29">
        <v>0</v>
      </c>
      <c r="L19" s="29">
        <v>0</v>
      </c>
      <c r="M19" s="29">
        <v>0</v>
      </c>
      <c r="N19" s="29">
        <v>0</v>
      </c>
      <c r="O19" s="29">
        <v>0</v>
      </c>
      <c r="P19" s="29">
        <v>0</v>
      </c>
      <c r="Q19" s="29">
        <v>378364</v>
      </c>
      <c r="R19" s="29">
        <v>748105</v>
      </c>
      <c r="S19" s="29">
        <v>198737</v>
      </c>
      <c r="T19" s="29">
        <v>0</v>
      </c>
      <c r="U19" s="29">
        <v>0</v>
      </c>
      <c r="V19" s="29">
        <v>0</v>
      </c>
    </row>
    <row r="20" spans="1:22" x14ac:dyDescent="0.3">
      <c r="E20" s="49" t="s">
        <v>40</v>
      </c>
      <c r="F20" s="15">
        <v>3174</v>
      </c>
      <c r="H20" s="29" t="s">
        <v>40</v>
      </c>
      <c r="I20" s="29">
        <v>0</v>
      </c>
      <c r="J20" s="29">
        <v>0</v>
      </c>
      <c r="K20" s="29">
        <v>0</v>
      </c>
      <c r="L20" s="29">
        <v>0</v>
      </c>
      <c r="M20" s="29">
        <v>0</v>
      </c>
      <c r="N20" s="29">
        <v>0</v>
      </c>
      <c r="O20" s="29">
        <v>0</v>
      </c>
      <c r="P20" s="29">
        <v>0</v>
      </c>
      <c r="Q20" s="29">
        <v>0</v>
      </c>
      <c r="R20" s="29">
        <v>359594</v>
      </c>
      <c r="S20" s="29">
        <v>745002</v>
      </c>
      <c r="T20" s="29">
        <v>240741</v>
      </c>
      <c r="U20" s="29">
        <v>0</v>
      </c>
      <c r="V20" s="29">
        <v>0</v>
      </c>
    </row>
    <row r="21" spans="1:22" x14ac:dyDescent="0.3">
      <c r="E21" s="49" t="s">
        <v>39</v>
      </c>
      <c r="F21" s="15">
        <v>3324</v>
      </c>
      <c r="H21" s="29" t="s">
        <v>39</v>
      </c>
      <c r="I21" s="29">
        <v>0</v>
      </c>
      <c r="J21" s="29">
        <v>0</v>
      </c>
      <c r="K21" s="29">
        <v>0</v>
      </c>
      <c r="L21" s="29">
        <v>0</v>
      </c>
      <c r="M21" s="29">
        <v>0</v>
      </c>
      <c r="N21" s="29">
        <v>0</v>
      </c>
      <c r="O21" s="29">
        <v>0</v>
      </c>
      <c r="P21" s="29">
        <v>0</v>
      </c>
      <c r="Q21" s="29">
        <v>0</v>
      </c>
      <c r="R21" s="29">
        <v>0</v>
      </c>
      <c r="S21" s="29">
        <v>370853</v>
      </c>
      <c r="T21" s="29">
        <v>711922</v>
      </c>
      <c r="U21" s="29">
        <v>241949</v>
      </c>
      <c r="V21" s="29">
        <v>0</v>
      </c>
    </row>
    <row r="22" spans="1:22" x14ac:dyDescent="0.3">
      <c r="E22" s="49" t="s">
        <v>38</v>
      </c>
      <c r="F22" s="15">
        <v>3406</v>
      </c>
      <c r="H22" s="29" t="s">
        <v>38</v>
      </c>
      <c r="I22" s="29">
        <v>0</v>
      </c>
      <c r="J22" s="29">
        <v>0</v>
      </c>
      <c r="K22" s="29">
        <v>0</v>
      </c>
      <c r="L22" s="29">
        <v>0</v>
      </c>
      <c r="M22" s="29">
        <v>0</v>
      </c>
      <c r="N22" s="29">
        <v>0</v>
      </c>
      <c r="O22" s="29">
        <v>0</v>
      </c>
      <c r="P22" s="29">
        <v>0</v>
      </c>
      <c r="Q22" s="29">
        <v>0</v>
      </c>
      <c r="R22" s="29">
        <v>0</v>
      </c>
      <c r="S22" s="29">
        <v>0</v>
      </c>
      <c r="T22" s="29">
        <v>406740</v>
      </c>
      <c r="U22" s="29">
        <v>837892</v>
      </c>
      <c r="V22" s="29">
        <v>219235</v>
      </c>
    </row>
    <row r="23" spans="1:22" x14ac:dyDescent="0.3">
      <c r="E23" s="44"/>
      <c r="F23" s="2"/>
      <c r="H23" s="44"/>
      <c r="I23" s="2"/>
      <c r="J23" s="2"/>
      <c r="K23" s="2"/>
      <c r="L23" s="2"/>
      <c r="M23" s="2"/>
      <c r="N23" s="2"/>
      <c r="O23" s="2"/>
      <c r="P23" s="2"/>
      <c r="Q23" s="2"/>
      <c r="R23" s="2"/>
      <c r="S23" s="2"/>
      <c r="T23" s="2"/>
      <c r="U23" s="2"/>
      <c r="V23" s="2"/>
    </row>
    <row r="24" spans="1:22" x14ac:dyDescent="0.3">
      <c r="B24" t="s">
        <v>149</v>
      </c>
    </row>
    <row r="26" spans="1:22" x14ac:dyDescent="0.3">
      <c r="A26" t="s">
        <v>2</v>
      </c>
      <c r="B26" t="s">
        <v>148</v>
      </c>
    </row>
    <row r="27" spans="1:22" x14ac:dyDescent="0.3">
      <c r="A27" t="s">
        <v>14</v>
      </c>
      <c r="B27" s="21" t="s">
        <v>147</v>
      </c>
    </row>
    <row r="28" spans="1:22" x14ac:dyDescent="0.3">
      <c r="A28" t="s">
        <v>13</v>
      </c>
      <c r="B28" s="21" t="s">
        <v>146</v>
      </c>
    </row>
    <row r="29" spans="1:22" x14ac:dyDescent="0.3">
      <c r="A29" t="s">
        <v>145</v>
      </c>
      <c r="B29" s="21" t="s">
        <v>144</v>
      </c>
    </row>
    <row r="30" spans="1:22" x14ac:dyDescent="0.3">
      <c r="B30" s="21"/>
    </row>
    <row r="31" spans="1:22" x14ac:dyDescent="0.3">
      <c r="B31" s="21" t="s">
        <v>143</v>
      </c>
    </row>
    <row r="33" spans="1:2" x14ac:dyDescent="0.3">
      <c r="A33" t="s">
        <v>1</v>
      </c>
      <c r="B33" s="21" t="s">
        <v>491</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13BE5-6D51-4453-AFAD-15056BF0833F}">
  <sheetPr>
    <tabColor theme="9" tint="0.59999389629810485"/>
  </sheetPr>
  <dimension ref="A1:V77"/>
  <sheetViews>
    <sheetView zoomScale="115" zoomScaleNormal="115" workbookViewId="0"/>
  </sheetViews>
  <sheetFormatPr defaultRowHeight="14.4" x14ac:dyDescent="0.3"/>
  <cols>
    <col min="2" max="2" width="22.44140625" customWidth="1"/>
    <col min="3" max="3" width="15.44140625" customWidth="1"/>
    <col min="4" max="4" width="14.6640625" bestFit="1" customWidth="1"/>
    <col min="5" max="5" width="15.6640625" customWidth="1"/>
    <col min="6" max="6" width="14.6640625" bestFit="1" customWidth="1"/>
    <col min="7" max="7" width="20" bestFit="1" customWidth="1"/>
    <col min="8" max="8" width="12.6640625" customWidth="1"/>
    <col min="9" max="9" width="15.33203125" customWidth="1"/>
    <col min="10" max="10" width="15.109375" customWidth="1"/>
    <col min="11" max="11" width="14.88671875" customWidth="1"/>
    <col min="12" max="12" width="15.33203125" customWidth="1"/>
    <col min="13" max="13" width="13" customWidth="1"/>
    <col min="14" max="14" width="13.33203125" customWidth="1"/>
    <col min="15" max="15" width="15.77734375" customWidth="1"/>
    <col min="16" max="22" width="12.33203125" bestFit="1" customWidth="1"/>
  </cols>
  <sheetData>
    <row r="1" spans="1:22" x14ac:dyDescent="0.3">
      <c r="A1" s="135" t="s">
        <v>507</v>
      </c>
    </row>
    <row r="3" spans="1:22" x14ac:dyDescent="0.3">
      <c r="A3" s="9" t="s">
        <v>7</v>
      </c>
    </row>
    <row r="4" spans="1:22" x14ac:dyDescent="0.3">
      <c r="A4" t="s">
        <v>46</v>
      </c>
    </row>
    <row r="5" spans="1:22" x14ac:dyDescent="0.3">
      <c r="A5" s="9"/>
      <c r="D5" s="14"/>
    </row>
    <row r="7" spans="1:22" x14ac:dyDescent="0.3">
      <c r="B7" s="8" t="s">
        <v>6</v>
      </c>
      <c r="C7" s="6"/>
      <c r="E7" s="8" t="s">
        <v>5</v>
      </c>
      <c r="F7" s="6"/>
      <c r="H7" s="8" t="s">
        <v>4</v>
      </c>
      <c r="I7" s="7"/>
      <c r="J7" s="7"/>
      <c r="K7" s="7"/>
      <c r="L7" s="7"/>
      <c r="M7" s="7"/>
      <c r="N7" s="7"/>
      <c r="O7" s="7"/>
      <c r="P7" s="7"/>
      <c r="Q7" s="7"/>
      <c r="R7" s="7"/>
      <c r="S7" s="7"/>
      <c r="T7" s="7"/>
      <c r="U7" s="7"/>
      <c r="V7" s="6"/>
    </row>
    <row r="8" spans="1:22" x14ac:dyDescent="0.3">
      <c r="B8" s="5" t="s">
        <v>157</v>
      </c>
      <c r="C8" s="3"/>
      <c r="E8" s="5" t="s">
        <v>156</v>
      </c>
      <c r="F8" s="3"/>
      <c r="H8" s="5" t="s">
        <v>155</v>
      </c>
      <c r="I8" s="4"/>
      <c r="J8" s="4"/>
      <c r="K8" s="4"/>
      <c r="L8" s="4"/>
      <c r="M8" s="4"/>
      <c r="N8" s="4"/>
      <c r="O8" s="4"/>
      <c r="P8" s="4"/>
      <c r="Q8" s="4"/>
      <c r="R8" s="4"/>
      <c r="S8" s="4"/>
      <c r="T8" s="4"/>
      <c r="U8" s="4"/>
      <c r="V8" s="3"/>
    </row>
    <row r="9" spans="1:22" x14ac:dyDescent="0.3">
      <c r="B9" s="22"/>
      <c r="C9" s="22"/>
      <c r="D9" s="22"/>
      <c r="E9" s="22"/>
      <c r="F9" s="22"/>
      <c r="H9" s="22"/>
      <c r="K9" s="22"/>
      <c r="L9" s="22"/>
    </row>
    <row r="10" spans="1:22" x14ac:dyDescent="0.3">
      <c r="B10" t="s">
        <v>154</v>
      </c>
      <c r="C10" s="18">
        <v>600</v>
      </c>
      <c r="E10" s="11" t="s">
        <v>112</v>
      </c>
      <c r="F10" s="11" t="s">
        <v>111</v>
      </c>
      <c r="H10" s="11" t="s">
        <v>44</v>
      </c>
      <c r="I10" s="49" t="s">
        <v>105</v>
      </c>
      <c r="J10" s="49" t="s">
        <v>103</v>
      </c>
      <c r="K10" s="49" t="s">
        <v>101</v>
      </c>
      <c r="L10" s="49" t="s">
        <v>99</v>
      </c>
      <c r="M10" s="49" t="s">
        <v>97</v>
      </c>
      <c r="N10" s="49" t="s">
        <v>95</v>
      </c>
      <c r="O10" s="49" t="s">
        <v>43</v>
      </c>
      <c r="P10" s="49" t="s">
        <v>42</v>
      </c>
      <c r="Q10" s="49" t="s">
        <v>41</v>
      </c>
      <c r="R10" s="49" t="s">
        <v>40</v>
      </c>
      <c r="S10" s="49" t="s">
        <v>39</v>
      </c>
      <c r="T10" s="49" t="s">
        <v>38</v>
      </c>
      <c r="U10" s="49" t="s">
        <v>37</v>
      </c>
      <c r="V10" s="49" t="s">
        <v>36</v>
      </c>
    </row>
    <row r="11" spans="1:22" x14ac:dyDescent="0.3">
      <c r="B11" t="s">
        <v>153</v>
      </c>
      <c r="C11" s="18">
        <v>459</v>
      </c>
      <c r="E11" s="49" t="s">
        <v>105</v>
      </c>
      <c r="F11" s="15">
        <v>2300</v>
      </c>
      <c r="H11" s="49" t="s">
        <v>105</v>
      </c>
      <c r="I11" s="29">
        <v>275452</v>
      </c>
      <c r="J11" s="29">
        <v>506125</v>
      </c>
      <c r="K11" s="29">
        <v>160422</v>
      </c>
      <c r="L11" s="29">
        <v>0</v>
      </c>
      <c r="M11" s="29">
        <v>0</v>
      </c>
      <c r="N11" s="29">
        <v>0</v>
      </c>
      <c r="O11" s="29">
        <v>0</v>
      </c>
      <c r="P11" s="29">
        <v>0</v>
      </c>
      <c r="Q11" s="29">
        <v>0</v>
      </c>
      <c r="R11" s="29">
        <v>0</v>
      </c>
      <c r="S11" s="29">
        <v>0</v>
      </c>
      <c r="T11" s="29">
        <v>0</v>
      </c>
      <c r="U11" s="29">
        <v>0</v>
      </c>
      <c r="V11" s="29">
        <v>0</v>
      </c>
    </row>
    <row r="12" spans="1:22" x14ac:dyDescent="0.3">
      <c r="B12" t="s">
        <v>152</v>
      </c>
      <c r="C12" s="18">
        <v>51</v>
      </c>
      <c r="E12" s="49" t="s">
        <v>103</v>
      </c>
      <c r="F12" s="15">
        <v>2437</v>
      </c>
      <c r="H12" s="49" t="s">
        <v>103</v>
      </c>
      <c r="I12" s="29">
        <v>0</v>
      </c>
      <c r="J12" s="29">
        <v>239594</v>
      </c>
      <c r="K12" s="29">
        <v>572937</v>
      </c>
      <c r="L12" s="29">
        <v>199799</v>
      </c>
      <c r="M12" s="29">
        <v>0</v>
      </c>
      <c r="N12" s="29">
        <v>0</v>
      </c>
      <c r="O12" s="29">
        <v>0</v>
      </c>
      <c r="P12" s="29">
        <v>0</v>
      </c>
      <c r="Q12" s="29">
        <v>0</v>
      </c>
      <c r="R12" s="29">
        <v>0</v>
      </c>
      <c r="S12" s="29">
        <v>0</v>
      </c>
      <c r="T12" s="29">
        <v>0</v>
      </c>
      <c r="U12" s="29">
        <v>0</v>
      </c>
      <c r="V12" s="29">
        <v>0</v>
      </c>
    </row>
    <row r="13" spans="1:22" x14ac:dyDescent="0.3">
      <c r="B13" t="s">
        <v>151</v>
      </c>
      <c r="C13" s="18">
        <v>48</v>
      </c>
      <c r="E13" s="49" t="s">
        <v>101</v>
      </c>
      <c r="F13" s="15">
        <v>2571</v>
      </c>
      <c r="H13" s="49" t="s">
        <v>101</v>
      </c>
      <c r="I13" s="29">
        <v>0</v>
      </c>
      <c r="J13" s="29">
        <v>0</v>
      </c>
      <c r="K13" s="29">
        <v>283054</v>
      </c>
      <c r="L13" s="29">
        <v>526378</v>
      </c>
      <c r="M13" s="29">
        <v>199236</v>
      </c>
      <c r="N13" s="29">
        <v>0</v>
      </c>
      <c r="O13" s="29">
        <v>0</v>
      </c>
      <c r="P13" s="29">
        <v>0</v>
      </c>
      <c r="Q13" s="29">
        <v>0</v>
      </c>
      <c r="R13" s="29">
        <v>0</v>
      </c>
      <c r="S13" s="29">
        <v>0</v>
      </c>
      <c r="T13" s="29">
        <v>0</v>
      </c>
      <c r="U13" s="29">
        <v>0</v>
      </c>
      <c r="V13" s="29">
        <v>0</v>
      </c>
    </row>
    <row r="14" spans="1:22" x14ac:dyDescent="0.3">
      <c r="A14" s="1"/>
      <c r="B14" t="s">
        <v>150</v>
      </c>
      <c r="C14" s="18">
        <v>18</v>
      </c>
      <c r="E14" s="49" t="s">
        <v>99</v>
      </c>
      <c r="F14" s="15">
        <v>2742</v>
      </c>
      <c r="H14" s="49" t="s">
        <v>99</v>
      </c>
      <c r="I14" s="29">
        <v>0</v>
      </c>
      <c r="J14" s="29">
        <v>0</v>
      </c>
      <c r="K14" s="29">
        <v>0</v>
      </c>
      <c r="L14" s="29">
        <v>275215</v>
      </c>
      <c r="M14" s="29">
        <v>569703</v>
      </c>
      <c r="N14" s="29">
        <v>223835</v>
      </c>
      <c r="O14" s="29">
        <v>0</v>
      </c>
      <c r="P14" s="29">
        <v>0</v>
      </c>
      <c r="Q14" s="29">
        <v>0</v>
      </c>
      <c r="R14" s="29">
        <v>0</v>
      </c>
      <c r="S14" s="29">
        <v>0</v>
      </c>
      <c r="T14" s="29">
        <v>0</v>
      </c>
      <c r="U14" s="29">
        <v>0</v>
      </c>
      <c r="V14" s="29">
        <v>0</v>
      </c>
    </row>
    <row r="15" spans="1:22" x14ac:dyDescent="0.3">
      <c r="A15" s="1"/>
      <c r="B15" t="s">
        <v>19</v>
      </c>
      <c r="C15" s="18">
        <v>24</v>
      </c>
      <c r="E15" s="49" t="s">
        <v>97</v>
      </c>
      <c r="F15" s="15">
        <v>2732</v>
      </c>
      <c r="H15" s="49" t="s">
        <v>97</v>
      </c>
      <c r="I15" s="29">
        <v>0</v>
      </c>
      <c r="J15" s="29">
        <v>0</v>
      </c>
      <c r="K15" s="29">
        <v>0</v>
      </c>
      <c r="L15" s="29">
        <v>0</v>
      </c>
      <c r="M15" s="29">
        <v>290340</v>
      </c>
      <c r="N15" s="29">
        <v>683055</v>
      </c>
      <c r="O15" s="29">
        <v>179534</v>
      </c>
      <c r="P15" s="29">
        <v>0</v>
      </c>
      <c r="Q15" s="29">
        <v>0</v>
      </c>
      <c r="R15" s="29">
        <v>0</v>
      </c>
      <c r="S15" s="29">
        <v>0</v>
      </c>
      <c r="T15" s="29">
        <v>0</v>
      </c>
      <c r="U15" s="29">
        <v>0</v>
      </c>
      <c r="V15" s="29">
        <v>0</v>
      </c>
    </row>
    <row r="16" spans="1:22" x14ac:dyDescent="0.3">
      <c r="A16" s="1"/>
      <c r="E16" s="49" t="s">
        <v>95</v>
      </c>
      <c r="F16" s="15">
        <v>2829</v>
      </c>
      <c r="H16" s="49" t="s">
        <v>95</v>
      </c>
      <c r="I16" s="29">
        <v>0</v>
      </c>
      <c r="J16" s="29">
        <v>0</v>
      </c>
      <c r="K16" s="29">
        <v>0</v>
      </c>
      <c r="L16" s="29">
        <v>0</v>
      </c>
      <c r="M16" s="29">
        <v>0</v>
      </c>
      <c r="N16" s="29">
        <v>326095</v>
      </c>
      <c r="O16" s="29">
        <v>565257</v>
      </c>
      <c r="P16" s="29">
        <v>187100</v>
      </c>
      <c r="Q16" s="29">
        <v>0</v>
      </c>
      <c r="R16" s="29">
        <v>0</v>
      </c>
      <c r="S16" s="29">
        <v>0</v>
      </c>
      <c r="T16" s="29">
        <v>0</v>
      </c>
      <c r="U16" s="29">
        <v>0</v>
      </c>
      <c r="V16" s="29">
        <v>0</v>
      </c>
    </row>
    <row r="17" spans="1:22" x14ac:dyDescent="0.3">
      <c r="E17" s="49" t="s">
        <v>43</v>
      </c>
      <c r="F17" s="15">
        <v>2890</v>
      </c>
      <c r="H17" s="49" t="s">
        <v>43</v>
      </c>
      <c r="I17" s="29">
        <v>0</v>
      </c>
      <c r="J17" s="29">
        <v>0</v>
      </c>
      <c r="K17" s="29">
        <v>0</v>
      </c>
      <c r="L17" s="29">
        <v>0</v>
      </c>
      <c r="M17" s="29">
        <v>0</v>
      </c>
      <c r="N17" s="29">
        <v>0</v>
      </c>
      <c r="O17" s="29">
        <v>346193</v>
      </c>
      <c r="P17" s="29">
        <v>690612</v>
      </c>
      <c r="Q17" s="29">
        <v>234730</v>
      </c>
      <c r="R17" s="29">
        <v>0</v>
      </c>
      <c r="S17" s="29">
        <v>0</v>
      </c>
      <c r="T17" s="29">
        <v>0</v>
      </c>
      <c r="U17" s="29">
        <v>0</v>
      </c>
      <c r="V17" s="29">
        <v>0</v>
      </c>
    </row>
    <row r="18" spans="1:22" x14ac:dyDescent="0.3">
      <c r="E18" s="49" t="s">
        <v>42</v>
      </c>
      <c r="F18" s="15">
        <v>3025</v>
      </c>
      <c r="H18" s="49" t="s">
        <v>42</v>
      </c>
      <c r="I18" s="29">
        <v>0</v>
      </c>
      <c r="J18" s="29">
        <v>0</v>
      </c>
      <c r="K18" s="29">
        <v>0</v>
      </c>
      <c r="L18" s="29">
        <v>0</v>
      </c>
      <c r="M18" s="29">
        <v>0</v>
      </c>
      <c r="N18" s="29">
        <v>0</v>
      </c>
      <c r="O18" s="29">
        <v>0</v>
      </c>
      <c r="P18" s="29">
        <v>367688</v>
      </c>
      <c r="Q18" s="29">
        <v>742871</v>
      </c>
      <c r="R18" s="29">
        <v>247734</v>
      </c>
      <c r="S18" s="29">
        <v>0</v>
      </c>
      <c r="T18" s="29">
        <v>0</v>
      </c>
      <c r="U18" s="29">
        <v>0</v>
      </c>
      <c r="V18" s="29">
        <v>0</v>
      </c>
    </row>
    <row r="19" spans="1:22" x14ac:dyDescent="0.3">
      <c r="E19" s="49" t="s">
        <v>41</v>
      </c>
      <c r="F19" s="15">
        <v>3054</v>
      </c>
      <c r="H19" s="49" t="s">
        <v>41</v>
      </c>
      <c r="I19" s="29">
        <v>0</v>
      </c>
      <c r="J19" s="29">
        <v>0</v>
      </c>
      <c r="K19" s="29">
        <v>0</v>
      </c>
      <c r="L19" s="29">
        <v>0</v>
      </c>
      <c r="M19" s="29">
        <v>0</v>
      </c>
      <c r="N19" s="29">
        <v>0</v>
      </c>
      <c r="O19" s="29">
        <v>0</v>
      </c>
      <c r="P19" s="29">
        <v>0</v>
      </c>
      <c r="Q19" s="29">
        <v>378364</v>
      </c>
      <c r="R19" s="29">
        <v>748105</v>
      </c>
      <c r="S19" s="29">
        <v>198737</v>
      </c>
      <c r="T19" s="29">
        <v>0</v>
      </c>
      <c r="U19" s="29">
        <v>0</v>
      </c>
      <c r="V19" s="29">
        <v>0</v>
      </c>
    </row>
    <row r="20" spans="1:22" x14ac:dyDescent="0.3">
      <c r="E20" s="49" t="s">
        <v>40</v>
      </c>
      <c r="F20" s="15">
        <v>3174</v>
      </c>
      <c r="H20" s="49" t="s">
        <v>40</v>
      </c>
      <c r="I20" s="29">
        <v>0</v>
      </c>
      <c r="J20" s="29">
        <v>0</v>
      </c>
      <c r="K20" s="29">
        <v>0</v>
      </c>
      <c r="L20" s="29">
        <v>0</v>
      </c>
      <c r="M20" s="29">
        <v>0</v>
      </c>
      <c r="N20" s="29">
        <v>0</v>
      </c>
      <c r="O20" s="29">
        <v>0</v>
      </c>
      <c r="P20" s="29">
        <v>0</v>
      </c>
      <c r="Q20" s="29">
        <v>0</v>
      </c>
      <c r="R20" s="29">
        <v>359594</v>
      </c>
      <c r="S20" s="29">
        <v>745002</v>
      </c>
      <c r="T20" s="29">
        <v>240741</v>
      </c>
      <c r="U20" s="29">
        <v>0</v>
      </c>
      <c r="V20" s="29">
        <v>0</v>
      </c>
    </row>
    <row r="21" spans="1:22" x14ac:dyDescent="0.3">
      <c r="E21" s="49" t="s">
        <v>39</v>
      </c>
      <c r="F21" s="15">
        <v>3324</v>
      </c>
      <c r="H21" s="49" t="s">
        <v>39</v>
      </c>
      <c r="I21" s="29">
        <v>0</v>
      </c>
      <c r="J21" s="29">
        <v>0</v>
      </c>
      <c r="K21" s="29">
        <v>0</v>
      </c>
      <c r="L21" s="29">
        <v>0</v>
      </c>
      <c r="M21" s="29">
        <v>0</v>
      </c>
      <c r="N21" s="29">
        <v>0</v>
      </c>
      <c r="O21" s="29">
        <v>0</v>
      </c>
      <c r="P21" s="29">
        <v>0</v>
      </c>
      <c r="Q21" s="29">
        <v>0</v>
      </c>
      <c r="R21" s="29">
        <v>0</v>
      </c>
      <c r="S21" s="29">
        <v>370853</v>
      </c>
      <c r="T21" s="29">
        <v>711922</v>
      </c>
      <c r="U21" s="29">
        <v>241949</v>
      </c>
      <c r="V21" s="29">
        <v>0</v>
      </c>
    </row>
    <row r="22" spans="1:22" x14ac:dyDescent="0.3">
      <c r="E22" s="49" t="s">
        <v>38</v>
      </c>
      <c r="F22" s="15">
        <v>3406</v>
      </c>
      <c r="H22" s="49" t="s">
        <v>38</v>
      </c>
      <c r="I22" s="29">
        <v>0</v>
      </c>
      <c r="J22" s="29">
        <v>0</v>
      </c>
      <c r="K22" s="29">
        <v>0</v>
      </c>
      <c r="L22" s="29">
        <v>0</v>
      </c>
      <c r="M22" s="29">
        <v>0</v>
      </c>
      <c r="N22" s="29">
        <v>0</v>
      </c>
      <c r="O22" s="29">
        <v>0</v>
      </c>
      <c r="P22" s="29">
        <v>0</v>
      </c>
      <c r="Q22" s="29">
        <v>0</v>
      </c>
      <c r="R22" s="29">
        <v>0</v>
      </c>
      <c r="S22" s="29">
        <v>0</v>
      </c>
      <c r="T22" s="29">
        <v>406740</v>
      </c>
      <c r="U22" s="29">
        <v>837892</v>
      </c>
      <c r="V22" s="29">
        <v>219235</v>
      </c>
    </row>
    <row r="23" spans="1:22" x14ac:dyDescent="0.3">
      <c r="E23" s="44"/>
      <c r="F23" s="2"/>
      <c r="H23" s="44"/>
      <c r="I23" s="2"/>
      <c r="J23" s="2"/>
      <c r="K23" s="2"/>
      <c r="L23" s="2"/>
      <c r="M23" s="2"/>
      <c r="N23" s="2"/>
      <c r="O23" s="2"/>
      <c r="P23" s="2"/>
      <c r="Q23" s="2"/>
      <c r="R23" s="2"/>
      <c r="S23" s="2"/>
      <c r="T23" s="2"/>
      <c r="U23" s="2"/>
      <c r="V23" s="2"/>
    </row>
    <row r="24" spans="1:22" x14ac:dyDescent="0.3">
      <c r="B24" t="s">
        <v>149</v>
      </c>
    </row>
    <row r="26" spans="1:22" x14ac:dyDescent="0.3">
      <c r="A26" t="s">
        <v>2</v>
      </c>
      <c r="B26" t="s">
        <v>148</v>
      </c>
    </row>
    <row r="27" spans="1:22" x14ac:dyDescent="0.3">
      <c r="A27" t="s">
        <v>14</v>
      </c>
      <c r="B27" s="21" t="s">
        <v>147</v>
      </c>
    </row>
    <row r="28" spans="1:22" x14ac:dyDescent="0.3">
      <c r="A28" t="s">
        <v>13</v>
      </c>
      <c r="B28" s="21" t="s">
        <v>146</v>
      </c>
    </row>
    <row r="29" spans="1:22" x14ac:dyDescent="0.3">
      <c r="A29" t="s">
        <v>145</v>
      </c>
      <c r="B29" s="21" t="s">
        <v>144</v>
      </c>
    </row>
    <row r="30" spans="1:22" x14ac:dyDescent="0.3">
      <c r="B30" s="21"/>
    </row>
    <row r="31" spans="1:22" x14ac:dyDescent="0.3">
      <c r="B31" s="21" t="s">
        <v>143</v>
      </c>
    </row>
    <row r="32" spans="1:22" x14ac:dyDescent="0.3">
      <c r="B32" s="21"/>
    </row>
    <row r="33" spans="2:17" x14ac:dyDescent="0.3">
      <c r="B33" s="48" t="s">
        <v>192</v>
      </c>
      <c r="I33" s="14" t="s">
        <v>9</v>
      </c>
    </row>
    <row r="34" spans="2:17" x14ac:dyDescent="0.3">
      <c r="F34" s="16">
        <f>(C11-C12)/C10</f>
        <v>0.68</v>
      </c>
      <c r="G34" t="s">
        <v>191</v>
      </c>
      <c r="I34" t="s">
        <v>190</v>
      </c>
    </row>
    <row r="35" spans="2:17" ht="15" thickBot="1" x14ac:dyDescent="0.35">
      <c r="B35" t="s">
        <v>168</v>
      </c>
      <c r="C35" s="11" t="s">
        <v>111</v>
      </c>
      <c r="D35" s="11" t="s">
        <v>136</v>
      </c>
      <c r="E35" s="11" t="s">
        <v>18</v>
      </c>
      <c r="F35" s="11" t="s">
        <v>15</v>
      </c>
      <c r="G35" s="11" t="s">
        <v>53</v>
      </c>
    </row>
    <row r="36" spans="2:17" x14ac:dyDescent="0.3">
      <c r="B36" t="s">
        <v>163</v>
      </c>
      <c r="C36" s="15">
        <f>SUM(F11:F13)</f>
        <v>7308</v>
      </c>
      <c r="D36" s="28">
        <f>SUM(I11:K13)</f>
        <v>2037584</v>
      </c>
      <c r="E36" s="28">
        <f>C36*$C$10</f>
        <v>4384800</v>
      </c>
      <c r="F36" s="28">
        <f>E36*$F$34</f>
        <v>2981664</v>
      </c>
      <c r="G36" s="63">
        <f>F36-D36</f>
        <v>944080</v>
      </c>
      <c r="I36" t="s">
        <v>189</v>
      </c>
    </row>
    <row r="37" spans="2:17" x14ac:dyDescent="0.3">
      <c r="B37" t="s">
        <v>161</v>
      </c>
      <c r="C37" s="15">
        <f>SUM(F14:F16)</f>
        <v>8303</v>
      </c>
      <c r="D37" s="28">
        <f>SUM(L14:N16)</f>
        <v>2368243</v>
      </c>
      <c r="E37" s="28">
        <f>C37*$C$10</f>
        <v>4981800</v>
      </c>
      <c r="F37" s="28">
        <f>E37*$F$34</f>
        <v>3387624.0000000005</v>
      </c>
      <c r="G37" s="64">
        <f>F37-D37</f>
        <v>1019381.0000000005</v>
      </c>
      <c r="I37" t="s">
        <v>188</v>
      </c>
    </row>
    <row r="38" spans="2:17" x14ac:dyDescent="0.3">
      <c r="B38" t="s">
        <v>159</v>
      </c>
      <c r="C38" s="15">
        <f>SUM(F17:F19)</f>
        <v>8969</v>
      </c>
      <c r="D38" s="28">
        <f>SUM(O17:Q19)</f>
        <v>2760458</v>
      </c>
      <c r="E38" s="28">
        <f>C38*$C$10</f>
        <v>5381400</v>
      </c>
      <c r="F38" s="28">
        <f>E38*$F$34</f>
        <v>3659352.0000000005</v>
      </c>
      <c r="G38" s="64">
        <f>F38-D38</f>
        <v>898894.00000000047</v>
      </c>
      <c r="I38" t="s">
        <v>492</v>
      </c>
    </row>
    <row r="39" spans="2:17" ht="15" thickBot="1" x14ac:dyDescent="0.35">
      <c r="B39" t="s">
        <v>158</v>
      </c>
      <c r="C39" s="15">
        <f>SUM(F20:F22)</f>
        <v>9904</v>
      </c>
      <c r="D39" s="28">
        <f>SUM(R20:T22)</f>
        <v>2834852</v>
      </c>
      <c r="E39" s="28">
        <f>C39*$C$10</f>
        <v>5942400</v>
      </c>
      <c r="F39" s="28">
        <f>E39*$F$34</f>
        <v>4040832.0000000005</v>
      </c>
      <c r="G39" s="65">
        <f>F39-D39</f>
        <v>1205980.0000000005</v>
      </c>
      <c r="I39" t="s">
        <v>187</v>
      </c>
    </row>
    <row r="40" spans="2:17" x14ac:dyDescent="0.3">
      <c r="D40" s="17"/>
      <c r="E40" s="17"/>
      <c r="F40" s="17"/>
      <c r="G40" s="17"/>
    </row>
    <row r="41" spans="2:17" x14ac:dyDescent="0.3">
      <c r="B41" s="48" t="s">
        <v>186</v>
      </c>
      <c r="C41" s="20"/>
      <c r="D41" s="20"/>
      <c r="E41" s="20"/>
      <c r="G41" s="20"/>
      <c r="H41" s="20"/>
      <c r="I41" s="20"/>
      <c r="J41" s="20"/>
    </row>
    <row r="42" spans="2:17" x14ac:dyDescent="0.3">
      <c r="C42" s="47" t="s">
        <v>183</v>
      </c>
      <c r="D42" s="46"/>
      <c r="E42" s="46"/>
      <c r="F42" s="46"/>
      <c r="G42" s="46"/>
      <c r="H42" s="46"/>
      <c r="I42" s="46"/>
      <c r="J42" s="46"/>
      <c r="K42" s="46"/>
      <c r="L42" s="46"/>
      <c r="M42" s="46"/>
      <c r="N42" s="45"/>
      <c r="Q42" s="14" t="s">
        <v>9</v>
      </c>
    </row>
    <row r="43" spans="2:17" x14ac:dyDescent="0.3">
      <c r="B43" t="s">
        <v>185</v>
      </c>
      <c r="C43" s="49" t="s">
        <v>105</v>
      </c>
      <c r="D43" s="49" t="s">
        <v>103</v>
      </c>
      <c r="E43" s="49" t="s">
        <v>101</v>
      </c>
      <c r="F43" s="49" t="s">
        <v>99</v>
      </c>
      <c r="G43" s="49" t="s">
        <v>97</v>
      </c>
      <c r="H43" s="49" t="s">
        <v>95</v>
      </c>
      <c r="I43" s="49" t="s">
        <v>43</v>
      </c>
      <c r="J43" s="49" t="s">
        <v>42</v>
      </c>
      <c r="K43" s="49" t="s">
        <v>41</v>
      </c>
      <c r="L43" s="49" t="s">
        <v>40</v>
      </c>
      <c r="M43" s="49" t="s">
        <v>39</v>
      </c>
      <c r="N43" s="49" t="s">
        <v>38</v>
      </c>
    </row>
    <row r="44" spans="2:17" x14ac:dyDescent="0.3">
      <c r="B44" t="s">
        <v>104</v>
      </c>
      <c r="C44" s="50">
        <f>I11/SUM(I11:K11)</f>
        <v>0.29241220001295121</v>
      </c>
      <c r="D44" s="50">
        <f>J12/SUM(J12:L12)</f>
        <v>0.23667578753963628</v>
      </c>
      <c r="E44" s="50">
        <f>K13/SUM(K13:M13)</f>
        <v>0.2806215722120658</v>
      </c>
      <c r="F44" s="50">
        <f>L14/SUM(L14:N14)</f>
        <v>0.2575103882749335</v>
      </c>
      <c r="G44" s="50">
        <f>M15/SUM(M15:O15)</f>
        <v>0.25182816981791595</v>
      </c>
      <c r="H44" s="50">
        <f>N16/SUM(N16:P16)</f>
        <v>0.30237321642502402</v>
      </c>
      <c r="I44" s="50">
        <f>O17/SUM(O17:Q17)</f>
        <v>0.27226383858879227</v>
      </c>
      <c r="J44" s="50">
        <f>P18/SUM(P18:R18)</f>
        <v>0.270698590068564</v>
      </c>
      <c r="K44" s="50">
        <f>Q19/SUM(Q19:S19)</f>
        <v>0.28551334660422606</v>
      </c>
      <c r="L44" s="50">
        <f>R20/SUM(R20:T20)</f>
        <v>0.26728916249237178</v>
      </c>
      <c r="M44" s="50">
        <f>S21/SUM(S21:U21)</f>
        <v>0.27994737016918242</v>
      </c>
      <c r="N44" s="50">
        <f>T22/SUM(T22:V22)</f>
        <v>0.2778531109725132</v>
      </c>
      <c r="Q44" t="s">
        <v>184</v>
      </c>
    </row>
    <row r="45" spans="2:17" x14ac:dyDescent="0.3">
      <c r="B45" t="s">
        <v>102</v>
      </c>
      <c r="C45" s="50">
        <f>SUM(I11:J11)/SUM(I11:K11)</f>
        <v>0.8297004561575968</v>
      </c>
      <c r="D45" s="50">
        <f>SUM(J12:K12)/SUM(J12:L12)</f>
        <v>0.80263451641263228</v>
      </c>
      <c r="E45" s="50">
        <f>SUM(K13:L13)/SUM(K13:M13)</f>
        <v>0.80247613684582042</v>
      </c>
      <c r="F45" s="50">
        <f>SUM(L14:M14)/SUM(L14:N14)</f>
        <v>0.7905643305796568</v>
      </c>
      <c r="G45" s="50">
        <f>SUM(M15:N15)/SUM(M15:O15)</f>
        <v>0.84428009010095162</v>
      </c>
      <c r="H45" s="50">
        <f>SUM(N16:O16)/SUM(N16:P16)</f>
        <v>0.82651059110651193</v>
      </c>
      <c r="I45" s="50">
        <f>SUM(O17:P17)/SUM(O17:Q17)</f>
        <v>0.81539635165370994</v>
      </c>
      <c r="J45" s="50">
        <f>SUM(P18:Q18)/SUM(P18:R18)</f>
        <v>0.81761372546276834</v>
      </c>
      <c r="K45" s="50">
        <f>SUM(Q19:R19)/SUM(Q19:S19)</f>
        <v>0.85003312692517241</v>
      </c>
      <c r="L45" s="50">
        <f>SUM(R20:S20)/SUM(R20:T20)</f>
        <v>0.82105524489403026</v>
      </c>
      <c r="M45" s="50">
        <f>SUM(S21:T21)/SUM(S21:U21)</f>
        <v>0.81735893665397474</v>
      </c>
      <c r="N45" s="50">
        <f>SUM(T22:U22)/SUM(T22:V22)</f>
        <v>0.85023571130437392</v>
      </c>
    </row>
    <row r="46" spans="2:17" x14ac:dyDescent="0.3">
      <c r="B46" t="s">
        <v>100</v>
      </c>
      <c r="C46" s="50">
        <f>SUM(I11:K11)/SUM(I11:K11)</f>
        <v>1</v>
      </c>
      <c r="D46" s="50">
        <f>SUM(J12:L12)/SUM(J12:L12)</f>
        <v>1</v>
      </c>
      <c r="E46" s="50">
        <f>SUM(K13:M13)/SUM(K13:M13)</f>
        <v>1</v>
      </c>
      <c r="F46" s="50">
        <f>SUM(L14:N14)/SUM(L14:N14)</f>
        <v>1</v>
      </c>
      <c r="G46" s="50">
        <f>SUM(M15:O15)/SUM(M15:O15)</f>
        <v>1</v>
      </c>
      <c r="H46" s="50">
        <f>SUM(N16:P16)/SUM(N16:P16)</f>
        <v>1</v>
      </c>
      <c r="I46" s="50">
        <f>SUM(O17:Q17)/SUM(O17:Q17)</f>
        <v>1</v>
      </c>
      <c r="J46" s="50">
        <f>SUM(P18:R18)/SUM(P18:R18)</f>
        <v>1</v>
      </c>
      <c r="K46" s="50">
        <f>SUM(Q19:S19)/SUM(Q19:S19)</f>
        <v>1</v>
      </c>
      <c r="L46" s="50">
        <f>SUM(R20:T20)/SUM(R20:T20)</f>
        <v>1</v>
      </c>
      <c r="M46" s="50">
        <f>SUM(S21:U21)/SUM(S21:U21)</f>
        <v>1</v>
      </c>
      <c r="N46" s="50">
        <f>SUM(T22:V22)/SUM(T22:V22)</f>
        <v>1</v>
      </c>
    </row>
    <row r="47" spans="2:17" x14ac:dyDescent="0.3">
      <c r="C47" s="35"/>
      <c r="D47" s="35"/>
      <c r="E47" s="35"/>
      <c r="F47" s="35"/>
      <c r="G47" s="35"/>
      <c r="H47" s="35"/>
      <c r="I47" s="35"/>
      <c r="J47" s="35"/>
      <c r="K47" s="35"/>
      <c r="L47" s="35"/>
      <c r="M47" s="35"/>
      <c r="N47" s="35"/>
    </row>
    <row r="48" spans="2:17" x14ac:dyDescent="0.3">
      <c r="C48" s="47" t="s">
        <v>136</v>
      </c>
      <c r="D48" s="46"/>
      <c r="E48" s="45"/>
      <c r="F48" s="47" t="s">
        <v>183</v>
      </c>
      <c r="G48" s="46"/>
      <c r="H48" s="45"/>
      <c r="I48" s="47" t="s">
        <v>15</v>
      </c>
      <c r="J48" s="46"/>
      <c r="K48" s="45"/>
      <c r="L48" s="47" t="s">
        <v>53</v>
      </c>
      <c r="M48" s="46"/>
      <c r="N48" s="46"/>
      <c r="O48" s="45"/>
    </row>
    <row r="49" spans="2:17" x14ac:dyDescent="0.3">
      <c r="B49" t="s">
        <v>168</v>
      </c>
      <c r="C49" s="11" t="s">
        <v>104</v>
      </c>
      <c r="D49" s="11" t="s">
        <v>102</v>
      </c>
      <c r="E49" s="11" t="s">
        <v>100</v>
      </c>
      <c r="F49" s="11" t="s">
        <v>104</v>
      </c>
      <c r="G49" s="11" t="s">
        <v>102</v>
      </c>
      <c r="H49" s="11" t="s">
        <v>100</v>
      </c>
      <c r="I49" s="11" t="s">
        <v>104</v>
      </c>
      <c r="J49" s="11" t="s">
        <v>102</v>
      </c>
      <c r="K49" s="11" t="s">
        <v>100</v>
      </c>
      <c r="L49" s="11" t="s">
        <v>104</v>
      </c>
      <c r="M49" s="11" t="s">
        <v>102</v>
      </c>
      <c r="N49" s="11" t="s">
        <v>100</v>
      </c>
      <c r="O49" s="11" t="s">
        <v>8</v>
      </c>
    </row>
    <row r="50" spans="2:17" x14ac:dyDescent="0.3">
      <c r="B50" t="s">
        <v>163</v>
      </c>
      <c r="C50" s="28">
        <f>K13</f>
        <v>283054</v>
      </c>
      <c r="D50" s="28">
        <f>SUM(J12:K12)</f>
        <v>812531</v>
      </c>
      <c r="E50" s="28">
        <f>SUM(I11:K11)</f>
        <v>941999</v>
      </c>
      <c r="F50" s="50">
        <f>C44</f>
        <v>0.29241220001295121</v>
      </c>
      <c r="G50" s="50">
        <f>C45</f>
        <v>0.8297004561575968</v>
      </c>
      <c r="H50" s="50">
        <f>C46</f>
        <v>1</v>
      </c>
      <c r="I50" s="28">
        <f t="shared" ref="I50:K53" si="0">C50/F50</f>
        <v>967996.54729680659</v>
      </c>
      <c r="J50" s="28">
        <f t="shared" si="0"/>
        <v>979306.44001678657</v>
      </c>
      <c r="K50" s="28">
        <f t="shared" si="0"/>
        <v>941999</v>
      </c>
      <c r="L50" s="28">
        <f t="shared" ref="L50:N53" si="1">I50-C50</f>
        <v>684942.54729680659</v>
      </c>
      <c r="M50" s="28">
        <f t="shared" si="1"/>
        <v>166775.44001678657</v>
      </c>
      <c r="N50" s="28">
        <f t="shared" si="1"/>
        <v>0</v>
      </c>
      <c r="O50" s="66">
        <f>SUM(L50:N50)</f>
        <v>851717.98731359316</v>
      </c>
      <c r="Q50" t="s">
        <v>182</v>
      </c>
    </row>
    <row r="51" spans="2:17" x14ac:dyDescent="0.3">
      <c r="B51" t="s">
        <v>161</v>
      </c>
      <c r="C51" s="28">
        <f>N16</f>
        <v>326095</v>
      </c>
      <c r="D51" s="28">
        <f>SUM(M15:N15)</f>
        <v>973395</v>
      </c>
      <c r="E51" s="28">
        <f>SUM(L14:N14)</f>
        <v>1068753</v>
      </c>
      <c r="F51" s="50">
        <f>AVERAGE(C44:F44)</f>
        <v>0.26680498700989669</v>
      </c>
      <c r="G51" s="50">
        <f>AVERAGE(C45:F45)</f>
        <v>0.80634385999892655</v>
      </c>
      <c r="H51" s="50">
        <f>AVERAGE(C46:F46)</f>
        <v>1</v>
      </c>
      <c r="I51" s="28">
        <f t="shared" si="0"/>
        <v>1222222.2817293294</v>
      </c>
      <c r="J51" s="28">
        <f t="shared" si="0"/>
        <v>1207171.0944773559</v>
      </c>
      <c r="K51" s="28">
        <f t="shared" si="0"/>
        <v>1068753</v>
      </c>
      <c r="L51" s="28">
        <f t="shared" si="1"/>
        <v>896127.28172932938</v>
      </c>
      <c r="M51" s="28">
        <f t="shared" si="1"/>
        <v>233776.09447735595</v>
      </c>
      <c r="N51" s="28">
        <f t="shared" si="1"/>
        <v>0</v>
      </c>
      <c r="O51" s="66">
        <f>SUM(L51:N51)</f>
        <v>1129903.3762066853</v>
      </c>
      <c r="Q51" t="s">
        <v>181</v>
      </c>
    </row>
    <row r="52" spans="2:17" x14ac:dyDescent="0.3">
      <c r="B52" t="s">
        <v>159</v>
      </c>
      <c r="C52" s="28">
        <f>Q19</f>
        <v>378364</v>
      </c>
      <c r="D52" s="28">
        <f>SUM(P18:Q18)</f>
        <v>1110559</v>
      </c>
      <c r="E52" s="28">
        <f>SUM(O17:Q17)</f>
        <v>1271535</v>
      </c>
      <c r="F52" s="50">
        <f>AVERAGE(C44:I44)</f>
        <v>0.27052645326733132</v>
      </c>
      <c r="G52" s="50">
        <f>AVERAGE(C45:I45)</f>
        <v>0.8159374961224114</v>
      </c>
      <c r="H52" s="50">
        <f>AVERAGE(C46:I46)</f>
        <v>1</v>
      </c>
      <c r="I52" s="28">
        <f t="shared" si="0"/>
        <v>1398621.079122731</v>
      </c>
      <c r="J52" s="28">
        <f t="shared" si="0"/>
        <v>1361083.4227838793</v>
      </c>
      <c r="K52" s="28">
        <f t="shared" si="0"/>
        <v>1271535</v>
      </c>
      <c r="L52" s="28">
        <f t="shared" si="1"/>
        <v>1020257.079122731</v>
      </c>
      <c r="M52" s="28">
        <f t="shared" si="1"/>
        <v>250524.42278387933</v>
      </c>
      <c r="N52" s="28">
        <f t="shared" si="1"/>
        <v>0</v>
      </c>
      <c r="O52" s="66">
        <f>SUM(L52:N52)</f>
        <v>1270781.5019066103</v>
      </c>
      <c r="Q52" t="s">
        <v>180</v>
      </c>
    </row>
    <row r="53" spans="2:17" x14ac:dyDescent="0.3">
      <c r="B53" t="s">
        <v>158</v>
      </c>
      <c r="C53" s="28">
        <f>T22</f>
        <v>406740</v>
      </c>
      <c r="D53" s="28">
        <f>SUM(S21:T21)</f>
        <v>1082775</v>
      </c>
      <c r="E53" s="28">
        <f>SUM(R20:T20)</f>
        <v>1345337</v>
      </c>
      <c r="F53" s="50">
        <f>AVERAGE(C44:L44)</f>
        <v>0.27171862720364814</v>
      </c>
      <c r="G53" s="50">
        <f>AVERAGE(C45:L45)</f>
        <v>0.8200264570138851</v>
      </c>
      <c r="H53" s="50">
        <f>AVERAGE(C46:L46)</f>
        <v>1</v>
      </c>
      <c r="I53" s="28">
        <f t="shared" si="0"/>
        <v>1496916.1451531837</v>
      </c>
      <c r="J53" s="28">
        <f t="shared" si="0"/>
        <v>1320414.7143531321</v>
      </c>
      <c r="K53" s="28">
        <f t="shared" si="0"/>
        <v>1345337</v>
      </c>
      <c r="L53" s="28">
        <f t="shared" si="1"/>
        <v>1090176.1451531837</v>
      </c>
      <c r="M53" s="28">
        <f t="shared" si="1"/>
        <v>237639.71435313206</v>
      </c>
      <c r="N53" s="28">
        <f t="shared" si="1"/>
        <v>0</v>
      </c>
      <c r="O53" s="66">
        <f>SUM(L53:N53)</f>
        <v>1327815.8595063158</v>
      </c>
    </row>
    <row r="54" spans="2:17" x14ac:dyDescent="0.3">
      <c r="I54" s="17"/>
      <c r="J54" s="17"/>
      <c r="K54" s="17"/>
      <c r="L54" s="17"/>
      <c r="M54" s="17"/>
      <c r="N54" s="17"/>
      <c r="O54" s="17"/>
    </row>
    <row r="56" spans="2:17" x14ac:dyDescent="0.3">
      <c r="B56" s="48" t="s">
        <v>179</v>
      </c>
      <c r="Q56" s="14" t="s">
        <v>9</v>
      </c>
    </row>
    <row r="57" spans="2:17" x14ac:dyDescent="0.3">
      <c r="C57" s="47" t="s">
        <v>178</v>
      </c>
      <c r="D57" s="46"/>
      <c r="E57" s="46"/>
      <c r="F57" s="46"/>
      <c r="G57" s="46"/>
      <c r="H57" s="46"/>
      <c r="I57" s="46"/>
      <c r="J57" s="46"/>
      <c r="K57" s="46"/>
      <c r="L57" s="46"/>
      <c r="M57" s="46"/>
      <c r="N57" s="45"/>
    </row>
    <row r="58" spans="2:17" x14ac:dyDescent="0.3">
      <c r="C58" s="49" t="s">
        <v>105</v>
      </c>
      <c r="D58" s="49" t="s">
        <v>103</v>
      </c>
      <c r="E58" s="49" t="s">
        <v>101</v>
      </c>
      <c r="F58" s="49" t="s">
        <v>99</v>
      </c>
      <c r="G58" s="49" t="s">
        <v>97</v>
      </c>
      <c r="H58" s="49" t="s">
        <v>95</v>
      </c>
      <c r="I58" s="49" t="s">
        <v>43</v>
      </c>
      <c r="J58" s="49" t="s">
        <v>42</v>
      </c>
      <c r="K58" s="49" t="s">
        <v>41</v>
      </c>
      <c r="L58" s="49" t="s">
        <v>40</v>
      </c>
      <c r="M58" s="49" t="s">
        <v>39</v>
      </c>
      <c r="N58" s="49" t="s">
        <v>38</v>
      </c>
    </row>
    <row r="59" spans="2:17" x14ac:dyDescent="0.3">
      <c r="B59" t="s">
        <v>177</v>
      </c>
      <c r="C59" s="28">
        <f t="shared" ref="C59:N59" si="2">SUM(INDEX($I$11:$V$22,MATCH(C$58,$H$11:$H$22,0),))/C60</f>
        <v>409.56478260869568</v>
      </c>
      <c r="D59" s="28">
        <f t="shared" si="2"/>
        <v>415.40008206811655</v>
      </c>
      <c r="E59" s="28">
        <f t="shared" si="2"/>
        <v>392.32516530532865</v>
      </c>
      <c r="F59" s="28">
        <f t="shared" si="2"/>
        <v>389.77133479212256</v>
      </c>
      <c r="G59" s="28">
        <f t="shared" si="2"/>
        <v>422.00915080527085</v>
      </c>
      <c r="H59" s="28">
        <f t="shared" si="2"/>
        <v>381.2131495227996</v>
      </c>
      <c r="I59" s="28">
        <f t="shared" si="2"/>
        <v>439.97750865051904</v>
      </c>
      <c r="J59" s="28">
        <f t="shared" si="2"/>
        <v>449.02247933884297</v>
      </c>
      <c r="K59" s="28">
        <f t="shared" si="2"/>
        <v>433.9246889325475</v>
      </c>
      <c r="L59" s="28">
        <f t="shared" si="2"/>
        <v>423.86168872085699</v>
      </c>
      <c r="M59" s="28">
        <f t="shared" si="2"/>
        <v>398.53309265944642</v>
      </c>
      <c r="N59" s="28">
        <f t="shared" si="2"/>
        <v>429.79066353493835</v>
      </c>
      <c r="Q59" t="s">
        <v>176</v>
      </c>
    </row>
    <row r="60" spans="2:17" x14ac:dyDescent="0.3">
      <c r="B60" t="s">
        <v>111</v>
      </c>
      <c r="C60" s="15" cm="1">
        <f t="array" ref="C60:N60">TRANSPOSE(F11:F22)</f>
        <v>2300</v>
      </c>
      <c r="D60" s="15">
        <v>2437</v>
      </c>
      <c r="E60" s="15">
        <v>2571</v>
      </c>
      <c r="F60" s="15">
        <v>2742</v>
      </c>
      <c r="G60" s="15">
        <v>2732</v>
      </c>
      <c r="H60" s="15">
        <v>2829</v>
      </c>
      <c r="I60" s="15">
        <v>2890</v>
      </c>
      <c r="J60" s="15">
        <v>3025</v>
      </c>
      <c r="K60" s="15">
        <v>3054</v>
      </c>
      <c r="L60" s="15">
        <v>3174</v>
      </c>
      <c r="M60" s="15">
        <v>3324</v>
      </c>
      <c r="N60" s="15">
        <v>3406</v>
      </c>
    </row>
    <row r="61" spans="2:17" x14ac:dyDescent="0.3">
      <c r="C61" s="2"/>
      <c r="D61" s="2"/>
      <c r="E61" s="2"/>
      <c r="F61" s="2"/>
      <c r="G61" s="2"/>
      <c r="H61" s="2"/>
      <c r="I61" s="2"/>
      <c r="J61" s="2"/>
      <c r="K61" s="2"/>
      <c r="L61" s="2"/>
      <c r="M61" s="2"/>
      <c r="N61" s="2"/>
    </row>
    <row r="62" spans="2:17" x14ac:dyDescent="0.3">
      <c r="C62" s="11"/>
      <c r="D62" s="11"/>
      <c r="E62" s="11" t="s">
        <v>175</v>
      </c>
      <c r="F62" s="11"/>
      <c r="G62" s="11"/>
      <c r="I62" s="2"/>
      <c r="J62" s="2"/>
      <c r="K62" s="2"/>
      <c r="L62" s="2"/>
      <c r="M62" s="2"/>
      <c r="N62" s="2"/>
    </row>
    <row r="63" spans="2:17" ht="15" thickBot="1" x14ac:dyDescent="0.35">
      <c r="B63" t="s">
        <v>168</v>
      </c>
      <c r="C63" s="15" t="str">
        <f t="shared" ref="C63:D67" si="3">C35</f>
        <v>Enrollment</v>
      </c>
      <c r="D63" s="15" t="str">
        <f t="shared" si="3"/>
        <v>Paid Claims</v>
      </c>
      <c r="E63" s="11" t="s">
        <v>174</v>
      </c>
      <c r="F63" s="11" t="s">
        <v>15</v>
      </c>
      <c r="G63" s="11" t="s">
        <v>53</v>
      </c>
    </row>
    <row r="64" spans="2:17" x14ac:dyDescent="0.3">
      <c r="B64" t="s">
        <v>163</v>
      </c>
      <c r="C64" s="15">
        <f t="shared" si="3"/>
        <v>7308</v>
      </c>
      <c r="D64" s="28">
        <f t="shared" si="3"/>
        <v>2037584</v>
      </c>
      <c r="E64" s="28">
        <f>C59</f>
        <v>409.56478260869568</v>
      </c>
      <c r="F64" s="28">
        <f>E64*C64</f>
        <v>2993099.4313043482</v>
      </c>
      <c r="G64" s="63">
        <f>F64-D64</f>
        <v>955515.43130434817</v>
      </c>
      <c r="Q64" t="s">
        <v>173</v>
      </c>
    </row>
    <row r="65" spans="1:17" x14ac:dyDescent="0.3">
      <c r="B65" t="s">
        <v>161</v>
      </c>
      <c r="C65" s="15">
        <f t="shared" si="3"/>
        <v>8303</v>
      </c>
      <c r="D65" s="28">
        <f t="shared" si="3"/>
        <v>2368243</v>
      </c>
      <c r="E65" s="28">
        <f>SUMPRODUCT(C59:F59,C60:F60)/SUM(C60:F60)</f>
        <v>401.16915422885575</v>
      </c>
      <c r="F65" s="28">
        <f>E65*C65</f>
        <v>3330907.4875621893</v>
      </c>
      <c r="G65" s="64">
        <f>F65-D65</f>
        <v>962664.48756218934</v>
      </c>
      <c r="Q65" t="s">
        <v>172</v>
      </c>
    </row>
    <row r="66" spans="1:17" x14ac:dyDescent="0.3">
      <c r="B66" t="s">
        <v>159</v>
      </c>
      <c r="C66" s="15">
        <f t="shared" si="3"/>
        <v>8969</v>
      </c>
      <c r="D66" s="28">
        <f t="shared" si="3"/>
        <v>2760458</v>
      </c>
      <c r="E66" s="28">
        <f>SUMPRODUCT(C59:I59,C60:I60)/SUM(C60:I60)</f>
        <v>407.25722933895463</v>
      </c>
      <c r="F66" s="28">
        <f>E66*C66</f>
        <v>3652690.0899410839</v>
      </c>
      <c r="G66" s="64">
        <f>F66-D66</f>
        <v>892232.08994108392</v>
      </c>
      <c r="Q66" t="s">
        <v>171</v>
      </c>
    </row>
    <row r="67" spans="1:17" ht="15" thickBot="1" x14ac:dyDescent="0.35">
      <c r="B67" t="s">
        <v>158</v>
      </c>
      <c r="C67" s="15">
        <f t="shared" si="3"/>
        <v>9904</v>
      </c>
      <c r="D67" s="28">
        <f t="shared" si="3"/>
        <v>2834852</v>
      </c>
      <c r="E67" s="28">
        <f>SUMPRODUCT(C59:L59,C60:L60)/SUM(C60:L60)</f>
        <v>416.64271816675074</v>
      </c>
      <c r="F67" s="28">
        <f>E67*C67</f>
        <v>4126429.4807234993</v>
      </c>
      <c r="G67" s="65">
        <f>F67-D67</f>
        <v>1291577.4807234993</v>
      </c>
    </row>
    <row r="68" spans="1:17" x14ac:dyDescent="0.3">
      <c r="B68" s="21"/>
      <c r="D68" s="17"/>
      <c r="E68" s="17"/>
      <c r="F68" s="17"/>
      <c r="G68" s="17"/>
    </row>
    <row r="69" spans="1:17" x14ac:dyDescent="0.3">
      <c r="A69" t="s">
        <v>1</v>
      </c>
      <c r="B69" s="21" t="s">
        <v>491</v>
      </c>
    </row>
    <row r="71" spans="1:17" x14ac:dyDescent="0.3">
      <c r="B71" s="48" t="s">
        <v>170</v>
      </c>
      <c r="Q71" s="14" t="s">
        <v>9</v>
      </c>
    </row>
    <row r="72" spans="1:17" x14ac:dyDescent="0.3">
      <c r="C72" s="47" t="s">
        <v>53</v>
      </c>
      <c r="D72" s="46"/>
      <c r="E72" s="46"/>
      <c r="F72" s="45"/>
      <c r="H72" s="47" t="s">
        <v>169</v>
      </c>
      <c r="I72" s="46"/>
      <c r="J72" s="45"/>
    </row>
    <row r="73" spans="1:17" ht="15" thickBot="1" x14ac:dyDescent="0.35">
      <c r="B73" t="s">
        <v>168</v>
      </c>
      <c r="C73" s="11" t="s">
        <v>166</v>
      </c>
      <c r="D73" s="11" t="s">
        <v>165</v>
      </c>
      <c r="E73" s="11" t="s">
        <v>164</v>
      </c>
      <c r="F73" s="11" t="s">
        <v>167</v>
      </c>
      <c r="H73" s="11" t="s">
        <v>166</v>
      </c>
      <c r="I73" s="11" t="s">
        <v>165</v>
      </c>
      <c r="J73" s="11" t="s">
        <v>164</v>
      </c>
    </row>
    <row r="74" spans="1:17" ht="15" thickBot="1" x14ac:dyDescent="0.35">
      <c r="B74" t="s">
        <v>163</v>
      </c>
      <c r="C74" s="28">
        <f>G36</f>
        <v>944080</v>
      </c>
      <c r="D74" s="28">
        <f>O50</f>
        <v>851717.98731359316</v>
      </c>
      <c r="E74" s="28">
        <f>G64</f>
        <v>955515.43130434817</v>
      </c>
      <c r="F74" s="28">
        <f>SUM(L11:V13)</f>
        <v>925413</v>
      </c>
      <c r="H74" s="67">
        <f t="shared" ref="H74:J77" si="4">ABS(C74-$F74)/$F74</f>
        <v>2.0171534223098229E-2</v>
      </c>
      <c r="I74" s="68">
        <f t="shared" si="4"/>
        <v>7.9634728155328321E-2</v>
      </c>
      <c r="J74" s="68">
        <f t="shared" si="4"/>
        <v>3.2528645377089112E-2</v>
      </c>
      <c r="Q74" t="s">
        <v>162</v>
      </c>
    </row>
    <row r="75" spans="1:17" ht="15" thickBot="1" x14ac:dyDescent="0.35">
      <c r="B75" t="s">
        <v>161</v>
      </c>
      <c r="C75" s="28">
        <f>G37</f>
        <v>1019381.0000000005</v>
      </c>
      <c r="D75" s="28">
        <f>O51</f>
        <v>1129903.3762066853</v>
      </c>
      <c r="E75" s="28">
        <f>G65</f>
        <v>962664.48756218934</v>
      </c>
      <c r="F75" s="28">
        <f>SUM(O14:V16)</f>
        <v>931891</v>
      </c>
      <c r="H75" s="68">
        <f t="shared" si="4"/>
        <v>9.3884370596990924E-2</v>
      </c>
      <c r="I75" s="68">
        <f t="shared" si="4"/>
        <v>0.21248448177596449</v>
      </c>
      <c r="J75" s="67">
        <f t="shared" si="4"/>
        <v>3.3022625566927186E-2</v>
      </c>
      <c r="Q75" t="s">
        <v>160</v>
      </c>
    </row>
    <row r="76" spans="1:17" ht="15" thickBot="1" x14ac:dyDescent="0.35">
      <c r="B76" t="s">
        <v>159</v>
      </c>
      <c r="C76" s="28">
        <f>G38</f>
        <v>898894.00000000047</v>
      </c>
      <c r="D76" s="28">
        <f>O52</f>
        <v>1270781.5019066103</v>
      </c>
      <c r="E76" s="28">
        <f>G66</f>
        <v>892232.08994108392</v>
      </c>
      <c r="F76" s="28">
        <f>SUM(R17:V19)</f>
        <v>1194576</v>
      </c>
      <c r="H76" s="68">
        <f t="shared" si="4"/>
        <v>0.24752045914198806</v>
      </c>
      <c r="I76" s="67">
        <f t="shared" si="4"/>
        <v>6.3792928961079354E-2</v>
      </c>
      <c r="J76" s="68">
        <f t="shared" si="4"/>
        <v>0.25309725798853827</v>
      </c>
    </row>
    <row r="77" spans="1:17" ht="15" thickBot="1" x14ac:dyDescent="0.35">
      <c r="B77" t="s">
        <v>158</v>
      </c>
      <c r="C77" s="28">
        <f>G39</f>
        <v>1205980.0000000005</v>
      </c>
      <c r="D77" s="28">
        <f>O53</f>
        <v>1327815.8595063158</v>
      </c>
      <c r="E77" s="28">
        <f>G67</f>
        <v>1291577.4807234993</v>
      </c>
      <c r="F77" s="28">
        <f>SUM(U20:V22)</f>
        <v>1299076</v>
      </c>
      <c r="H77" s="68">
        <f t="shared" si="4"/>
        <v>7.1663243720921282E-2</v>
      </c>
      <c r="I77" s="68">
        <f t="shared" si="4"/>
        <v>2.2123308802807367E-2</v>
      </c>
      <c r="J77" s="67">
        <f t="shared" si="4"/>
        <v>5.7721944493629935E-3</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E2667-61D0-4FFF-9A20-224E8CE49A73}">
  <sheetPr>
    <tabColor theme="5" tint="0.39997558519241921"/>
  </sheetPr>
  <dimension ref="A1:H134"/>
  <sheetViews>
    <sheetView zoomScale="115" zoomScaleNormal="115" workbookViewId="0"/>
  </sheetViews>
  <sheetFormatPr defaultRowHeight="14.4" x14ac:dyDescent="0.3"/>
  <cols>
    <col min="2" max="2" width="25.109375" customWidth="1"/>
    <col min="3" max="3" width="16.109375" style="11" customWidth="1"/>
    <col min="4" max="4" width="15.5546875" style="11" customWidth="1"/>
    <col min="5" max="5" width="11.33203125" customWidth="1"/>
    <col min="6" max="6" width="34.44140625" bestFit="1" customWidth="1"/>
    <col min="7" max="8" width="11.33203125" customWidth="1"/>
    <col min="9" max="10" width="12.6640625" customWidth="1"/>
  </cols>
  <sheetData>
    <row r="1" spans="1:8" x14ac:dyDescent="0.3">
      <c r="A1" s="135" t="s">
        <v>507</v>
      </c>
    </row>
    <row r="3" spans="1:8" x14ac:dyDescent="0.3">
      <c r="A3" s="9" t="s">
        <v>7</v>
      </c>
    </row>
    <row r="4" spans="1:8" x14ac:dyDescent="0.3">
      <c r="A4" t="s">
        <v>257</v>
      </c>
      <c r="F4" s="14"/>
    </row>
    <row r="5" spans="1:8" x14ac:dyDescent="0.3">
      <c r="F5" s="14"/>
    </row>
    <row r="6" spans="1:8" x14ac:dyDescent="0.3">
      <c r="F6" s="14"/>
    </row>
    <row r="8" spans="1:8" x14ac:dyDescent="0.3">
      <c r="B8" s="132"/>
      <c r="C8" s="79" t="s">
        <v>6</v>
      </c>
      <c r="D8" s="80"/>
      <c r="F8" s="8" t="s">
        <v>5</v>
      </c>
      <c r="G8" s="7"/>
      <c r="H8" s="6"/>
    </row>
    <row r="9" spans="1:8" x14ac:dyDescent="0.3">
      <c r="B9" s="133"/>
      <c r="C9" s="81" t="s">
        <v>256</v>
      </c>
      <c r="D9" s="82"/>
      <c r="F9" s="5" t="s">
        <v>255</v>
      </c>
      <c r="G9" s="4"/>
      <c r="H9" s="3"/>
    </row>
    <row r="11" spans="1:8" ht="43.2" x14ac:dyDescent="0.3">
      <c r="B11" s="73"/>
      <c r="C11" s="83" t="s">
        <v>254</v>
      </c>
      <c r="D11" s="83" t="s">
        <v>253</v>
      </c>
      <c r="E11" s="73"/>
      <c r="G11" s="83" t="s">
        <v>254</v>
      </c>
      <c r="H11" s="83" t="s">
        <v>253</v>
      </c>
    </row>
    <row r="12" spans="1:8" x14ac:dyDescent="0.3">
      <c r="B12" s="75" t="s">
        <v>252</v>
      </c>
      <c r="C12" s="83"/>
      <c r="D12" s="83"/>
      <c r="E12" s="73"/>
      <c r="F12" s="75" t="s">
        <v>251</v>
      </c>
      <c r="G12" s="83"/>
      <c r="H12" s="83"/>
    </row>
    <row r="13" spans="1:8" x14ac:dyDescent="0.3">
      <c r="B13" s="73" t="s">
        <v>250</v>
      </c>
      <c r="C13" s="83">
        <v>7500</v>
      </c>
      <c r="D13" s="83">
        <v>3200</v>
      </c>
      <c r="E13" s="73"/>
      <c r="F13" s="73" t="s">
        <v>249</v>
      </c>
      <c r="G13" s="83"/>
      <c r="H13" s="83"/>
    </row>
    <row r="14" spans="1:8" x14ac:dyDescent="0.3">
      <c r="B14" s="73" t="s">
        <v>248</v>
      </c>
      <c r="C14" s="83">
        <v>300</v>
      </c>
      <c r="D14" s="83">
        <v>130</v>
      </c>
      <c r="E14" s="73"/>
      <c r="F14" s="73" t="s">
        <v>247</v>
      </c>
      <c r="G14" s="83">
        <v>850</v>
      </c>
      <c r="H14" s="83">
        <v>320</v>
      </c>
    </row>
    <row r="15" spans="1:8" x14ac:dyDescent="0.3">
      <c r="B15" s="73" t="s">
        <v>246</v>
      </c>
      <c r="C15" s="83">
        <v>120</v>
      </c>
      <c r="D15" s="83">
        <v>20</v>
      </c>
      <c r="E15" s="73"/>
      <c r="F15" s="73" t="s">
        <v>245</v>
      </c>
      <c r="G15" s="83">
        <v>400</v>
      </c>
      <c r="H15" s="83">
        <v>150</v>
      </c>
    </row>
    <row r="16" spans="1:8" x14ac:dyDescent="0.3">
      <c r="B16" s="73" t="s">
        <v>244</v>
      </c>
      <c r="C16" s="83">
        <f>SUM(C13:C15)</f>
        <v>7920</v>
      </c>
      <c r="D16" s="83">
        <f>SUM(D13:D15)</f>
        <v>3350</v>
      </c>
      <c r="E16" s="73"/>
      <c r="F16" s="73"/>
      <c r="G16" s="83"/>
      <c r="H16" s="83"/>
    </row>
    <row r="17" spans="2:8" x14ac:dyDescent="0.3">
      <c r="B17" s="73"/>
      <c r="C17" s="83"/>
      <c r="D17" s="83"/>
      <c r="E17" s="73"/>
      <c r="F17" s="73" t="s">
        <v>243</v>
      </c>
      <c r="G17" s="83"/>
      <c r="H17" s="83"/>
    </row>
    <row r="18" spans="2:8" x14ac:dyDescent="0.3">
      <c r="B18" s="75" t="s">
        <v>242</v>
      </c>
      <c r="C18" s="83"/>
      <c r="D18" s="83"/>
      <c r="E18" s="73"/>
      <c r="F18" s="73" t="s">
        <v>241</v>
      </c>
      <c r="G18" s="83">
        <v>90</v>
      </c>
      <c r="H18" s="83">
        <v>40</v>
      </c>
    </row>
    <row r="19" spans="2:8" x14ac:dyDescent="0.3">
      <c r="B19" s="73" t="s">
        <v>240</v>
      </c>
      <c r="C19" s="83">
        <v>5600</v>
      </c>
      <c r="D19" s="83">
        <v>2500</v>
      </c>
      <c r="E19" s="73"/>
      <c r="F19" s="73" t="s">
        <v>239</v>
      </c>
      <c r="G19" s="83">
        <v>220</v>
      </c>
      <c r="H19" s="83">
        <v>0</v>
      </c>
    </row>
    <row r="20" spans="2:8" x14ac:dyDescent="0.3">
      <c r="B20" s="73" t="s">
        <v>238</v>
      </c>
      <c r="C20" s="83">
        <v>100</v>
      </c>
      <c r="D20" s="83">
        <v>0</v>
      </c>
      <c r="E20" s="73"/>
      <c r="F20" s="73" t="s">
        <v>237</v>
      </c>
      <c r="G20" s="83">
        <f>SUM(G14:G19)</f>
        <v>1560</v>
      </c>
      <c r="H20" s="83">
        <f>SUM(H14:H19)</f>
        <v>510</v>
      </c>
    </row>
    <row r="21" spans="2:8" x14ac:dyDescent="0.3">
      <c r="B21" s="73" t="s">
        <v>236</v>
      </c>
      <c r="C21" s="83">
        <v>1300</v>
      </c>
      <c r="D21" s="83">
        <v>500</v>
      </c>
      <c r="E21" s="73"/>
      <c r="F21" s="73"/>
      <c r="G21" s="83"/>
      <c r="H21" s="83"/>
    </row>
    <row r="22" spans="2:8" x14ac:dyDescent="0.3">
      <c r="B22" s="73" t="s">
        <v>235</v>
      </c>
      <c r="C22" s="83">
        <f>SUM(C19:C21)</f>
        <v>7000</v>
      </c>
      <c r="D22" s="83">
        <f>SUM(D19:D21)</f>
        <v>3000</v>
      </c>
      <c r="E22" s="73"/>
      <c r="F22" s="73" t="s">
        <v>234</v>
      </c>
      <c r="G22" s="83">
        <v>1500</v>
      </c>
      <c r="H22" s="83">
        <v>400</v>
      </c>
    </row>
    <row r="23" spans="2:8" x14ac:dyDescent="0.3">
      <c r="B23" s="73"/>
      <c r="C23" s="83"/>
      <c r="D23" s="83"/>
      <c r="E23" s="73"/>
      <c r="F23" s="73" t="s">
        <v>233</v>
      </c>
      <c r="G23" s="83">
        <v>250</v>
      </c>
      <c r="H23" s="83">
        <v>60</v>
      </c>
    </row>
    <row r="24" spans="2:8" x14ac:dyDescent="0.3">
      <c r="B24" s="73" t="s">
        <v>232</v>
      </c>
      <c r="C24" s="83">
        <f>C16-C22</f>
        <v>920</v>
      </c>
      <c r="D24" s="83">
        <f>D16-D22</f>
        <v>350</v>
      </c>
      <c r="E24" s="73"/>
      <c r="F24" s="73" t="s">
        <v>231</v>
      </c>
      <c r="G24" s="83">
        <v>300</v>
      </c>
      <c r="H24" s="83">
        <v>80</v>
      </c>
    </row>
    <row r="25" spans="2:8" x14ac:dyDescent="0.3">
      <c r="C25" s="29"/>
      <c r="D25" s="29"/>
      <c r="E25" s="73"/>
      <c r="F25" s="73"/>
      <c r="G25" s="83"/>
      <c r="H25" s="83"/>
    </row>
    <row r="26" spans="2:8" x14ac:dyDescent="0.3">
      <c r="B26" s="73" t="s">
        <v>230</v>
      </c>
      <c r="C26" s="83">
        <v>70</v>
      </c>
      <c r="D26" s="83">
        <v>17</v>
      </c>
      <c r="E26" s="73"/>
      <c r="F26" s="73" t="s">
        <v>229</v>
      </c>
      <c r="G26" s="83">
        <f>SUM(G20:G24)</f>
        <v>3610</v>
      </c>
      <c r="H26" s="83">
        <f>SUM(H20:H24)</f>
        <v>1050</v>
      </c>
    </row>
    <row r="27" spans="2:8" x14ac:dyDescent="0.3">
      <c r="B27" s="73" t="s">
        <v>228</v>
      </c>
      <c r="C27" s="83">
        <v>5</v>
      </c>
      <c r="D27" s="83">
        <v>2</v>
      </c>
      <c r="E27" s="73"/>
      <c r="F27" s="73"/>
      <c r="G27" s="83"/>
      <c r="H27" s="83"/>
    </row>
    <row r="28" spans="2:8" x14ac:dyDescent="0.3">
      <c r="B28" s="73" t="s">
        <v>227</v>
      </c>
      <c r="C28" s="83">
        <f>C26-C27</f>
        <v>65</v>
      </c>
      <c r="D28" s="83">
        <f>D26-D27</f>
        <v>15</v>
      </c>
      <c r="E28" s="73"/>
      <c r="F28" s="75" t="s">
        <v>226</v>
      </c>
      <c r="G28" s="83"/>
      <c r="H28" s="83"/>
    </row>
    <row r="29" spans="2:8" x14ac:dyDescent="0.3">
      <c r="C29" s="29"/>
      <c r="D29" s="29"/>
      <c r="E29" s="73"/>
      <c r="F29" s="73" t="s">
        <v>225</v>
      </c>
      <c r="G29" s="83"/>
      <c r="H29" s="83"/>
    </row>
    <row r="30" spans="2:8" x14ac:dyDescent="0.3">
      <c r="B30" s="75" t="s">
        <v>224</v>
      </c>
      <c r="C30" s="83">
        <f>C24+C28</f>
        <v>985</v>
      </c>
      <c r="D30" s="83">
        <f>D24+D28</f>
        <v>365</v>
      </c>
      <c r="E30" s="73"/>
      <c r="F30" s="73" t="s">
        <v>223</v>
      </c>
      <c r="G30" s="83">
        <v>1100</v>
      </c>
      <c r="H30" s="83">
        <v>380</v>
      </c>
    </row>
    <row r="31" spans="2:8" x14ac:dyDescent="0.3">
      <c r="B31" s="73"/>
      <c r="C31" s="83"/>
      <c r="D31" s="83"/>
      <c r="E31" s="73"/>
      <c r="F31" s="73" t="s">
        <v>222</v>
      </c>
      <c r="G31" s="83">
        <v>360</v>
      </c>
      <c r="H31" s="83">
        <v>100</v>
      </c>
    </row>
    <row r="32" spans="2:8" x14ac:dyDescent="0.3">
      <c r="B32" s="73" t="s">
        <v>221</v>
      </c>
      <c r="C32" s="83">
        <f>C30*0.2</f>
        <v>197</v>
      </c>
      <c r="D32" s="83">
        <f>D30*0.2</f>
        <v>73</v>
      </c>
      <c r="E32" s="73"/>
      <c r="F32" s="73" t="s">
        <v>220</v>
      </c>
      <c r="G32" s="83">
        <v>280</v>
      </c>
      <c r="H32" s="83">
        <v>90</v>
      </c>
    </row>
    <row r="33" spans="2:8" x14ac:dyDescent="0.3">
      <c r="B33" s="73"/>
      <c r="C33" s="83"/>
      <c r="D33" s="83"/>
      <c r="E33" s="73"/>
      <c r="F33" s="73" t="s">
        <v>219</v>
      </c>
      <c r="G33" s="83">
        <f>SUM(G30:G32)</f>
        <v>1740</v>
      </c>
      <c r="H33" s="83">
        <f>SUM(H30:H32)</f>
        <v>570</v>
      </c>
    </row>
    <row r="34" spans="2:8" x14ac:dyDescent="0.3">
      <c r="B34" s="75" t="s">
        <v>218</v>
      </c>
      <c r="C34" s="83">
        <f>C30-C32</f>
        <v>788</v>
      </c>
      <c r="D34" s="83">
        <f>D30-D32</f>
        <v>292</v>
      </c>
      <c r="E34" s="73"/>
      <c r="F34" s="73"/>
      <c r="G34" s="83"/>
      <c r="H34" s="83"/>
    </row>
    <row r="35" spans="2:8" x14ac:dyDescent="0.3">
      <c r="B35" s="73"/>
      <c r="C35" s="83"/>
      <c r="D35" s="83"/>
      <c r="E35" s="73"/>
      <c r="F35" s="73" t="s">
        <v>217</v>
      </c>
      <c r="G35" s="83">
        <v>420</v>
      </c>
      <c r="H35" s="83">
        <v>180</v>
      </c>
    </row>
    <row r="36" spans="2:8" x14ac:dyDescent="0.3">
      <c r="B36" s="73"/>
      <c r="C36" s="84"/>
      <c r="D36" s="84"/>
      <c r="E36" s="73"/>
      <c r="F36" s="73" t="s">
        <v>216</v>
      </c>
      <c r="G36" s="83">
        <v>300</v>
      </c>
      <c r="H36" s="83">
        <v>70</v>
      </c>
    </row>
    <row r="37" spans="2:8" x14ac:dyDescent="0.3">
      <c r="B37" s="73"/>
      <c r="C37" s="84"/>
      <c r="D37" s="84"/>
      <c r="E37" s="73"/>
      <c r="F37" s="73"/>
      <c r="G37" s="83"/>
      <c r="H37" s="83"/>
    </row>
    <row r="38" spans="2:8" x14ac:dyDescent="0.3">
      <c r="B38" s="73"/>
      <c r="C38" s="84"/>
      <c r="D38" s="84"/>
      <c r="E38" s="73"/>
      <c r="F38" s="73" t="s">
        <v>215</v>
      </c>
      <c r="G38" s="83">
        <f>SUM(G33:G36)</f>
        <v>2460</v>
      </c>
      <c r="H38" s="83">
        <f>SUM(H33:H36)</f>
        <v>820</v>
      </c>
    </row>
    <row r="39" spans="2:8" x14ac:dyDescent="0.3">
      <c r="B39" s="73"/>
      <c r="C39" s="84"/>
      <c r="D39" s="84"/>
      <c r="E39" s="73"/>
      <c r="F39" s="73"/>
      <c r="G39" s="83"/>
      <c r="H39" s="83"/>
    </row>
    <row r="40" spans="2:8" x14ac:dyDescent="0.3">
      <c r="B40" s="73"/>
      <c r="C40" s="84"/>
      <c r="D40" s="84"/>
      <c r="E40" s="73"/>
      <c r="F40" s="73" t="s">
        <v>214</v>
      </c>
      <c r="G40" s="83"/>
      <c r="H40" s="83"/>
    </row>
    <row r="41" spans="2:8" x14ac:dyDescent="0.3">
      <c r="B41" s="73"/>
      <c r="C41" s="84"/>
      <c r="D41" s="84"/>
      <c r="E41" s="73"/>
      <c r="F41" s="73" t="s">
        <v>213</v>
      </c>
      <c r="G41" s="83">
        <v>400</v>
      </c>
      <c r="H41" s="83">
        <v>120</v>
      </c>
    </row>
    <row r="42" spans="2:8" x14ac:dyDescent="0.3">
      <c r="E42" s="73"/>
      <c r="F42" s="73" t="s">
        <v>212</v>
      </c>
      <c r="G42" s="83">
        <v>750</v>
      </c>
      <c r="H42" s="83">
        <v>110</v>
      </c>
    </row>
    <row r="43" spans="2:8" x14ac:dyDescent="0.3">
      <c r="B43" s="73"/>
      <c r="C43" s="84"/>
      <c r="D43" s="84"/>
      <c r="E43" s="73"/>
      <c r="F43" s="73" t="s">
        <v>211</v>
      </c>
      <c r="G43" s="83">
        <f>SUM(G41:G42)</f>
        <v>1150</v>
      </c>
      <c r="H43" s="83">
        <f>SUM(H41:H42)</f>
        <v>230</v>
      </c>
    </row>
    <row r="44" spans="2:8" x14ac:dyDescent="0.3">
      <c r="B44" s="73"/>
      <c r="C44" s="84"/>
      <c r="D44" s="84"/>
      <c r="E44" s="73"/>
      <c r="F44" s="73"/>
      <c r="G44" s="83"/>
      <c r="H44" s="83"/>
    </row>
    <row r="45" spans="2:8" x14ac:dyDescent="0.3">
      <c r="B45" s="73"/>
      <c r="C45" s="84"/>
      <c r="D45" s="84"/>
      <c r="E45" s="73"/>
      <c r="F45" s="73" t="s">
        <v>210</v>
      </c>
      <c r="G45" s="83">
        <f>G38+G43</f>
        <v>3610</v>
      </c>
      <c r="H45" s="83">
        <f>H38+H43</f>
        <v>1050</v>
      </c>
    </row>
    <row r="46" spans="2:8" x14ac:dyDescent="0.3">
      <c r="B46" s="73"/>
      <c r="C46" s="84"/>
      <c r="D46" s="84"/>
      <c r="E46" s="73"/>
    </row>
    <row r="47" spans="2:8" x14ac:dyDescent="0.3">
      <c r="B47" t="s">
        <v>209</v>
      </c>
      <c r="C47" s="84"/>
      <c r="D47" s="84"/>
      <c r="E47" s="73"/>
      <c r="F47" s="73"/>
      <c r="G47" s="73"/>
      <c r="H47" s="73"/>
    </row>
    <row r="48" spans="2:8" x14ac:dyDescent="0.3">
      <c r="C48" s="84"/>
      <c r="D48" s="84"/>
      <c r="E48" s="73"/>
      <c r="F48" s="73"/>
      <c r="G48" s="73"/>
      <c r="H48" s="73"/>
    </row>
    <row r="49" spans="1:8" x14ac:dyDescent="0.3">
      <c r="A49" t="s">
        <v>2</v>
      </c>
      <c r="B49" t="s">
        <v>208</v>
      </c>
      <c r="C49" s="84"/>
      <c r="D49" s="84"/>
      <c r="E49" s="73"/>
      <c r="F49" s="73"/>
      <c r="G49" s="73"/>
      <c r="H49" s="73"/>
    </row>
    <row r="50" spans="1:8" x14ac:dyDescent="0.3">
      <c r="E50" s="73"/>
      <c r="F50" s="73"/>
      <c r="G50" s="73"/>
      <c r="H50" s="73"/>
    </row>
    <row r="51" spans="1:8" x14ac:dyDescent="0.3">
      <c r="A51" t="s">
        <v>14</v>
      </c>
      <c r="B51" t="s">
        <v>207</v>
      </c>
      <c r="E51" s="73"/>
      <c r="F51" s="73"/>
      <c r="G51" s="73"/>
      <c r="H51" s="73"/>
    </row>
    <row r="52" spans="1:8" x14ac:dyDescent="0.3">
      <c r="A52" t="s">
        <v>13</v>
      </c>
      <c r="B52" t="s">
        <v>206</v>
      </c>
      <c r="E52" s="73"/>
      <c r="F52" s="73"/>
      <c r="G52" s="73"/>
      <c r="H52" s="73"/>
    </row>
    <row r="53" spans="1:8" x14ac:dyDescent="0.3">
      <c r="A53" t="s">
        <v>145</v>
      </c>
      <c r="B53" t="s">
        <v>205</v>
      </c>
    </row>
    <row r="54" spans="1:8" x14ac:dyDescent="0.3">
      <c r="A54" t="s">
        <v>204</v>
      </c>
      <c r="B54" t="s">
        <v>203</v>
      </c>
    </row>
    <row r="55" spans="1:8" x14ac:dyDescent="0.3">
      <c r="A55" t="s">
        <v>202</v>
      </c>
      <c r="B55" t="s">
        <v>201</v>
      </c>
    </row>
    <row r="57" spans="1:8" x14ac:dyDescent="0.3">
      <c r="A57" t="s">
        <v>1</v>
      </c>
      <c r="B57" t="s">
        <v>200</v>
      </c>
      <c r="E57" s="72"/>
    </row>
    <row r="58" spans="1:8" x14ac:dyDescent="0.3">
      <c r="E58" s="72"/>
    </row>
    <row r="59" spans="1:8" x14ac:dyDescent="0.3">
      <c r="B59" t="s">
        <v>199</v>
      </c>
      <c r="E59" s="72"/>
    </row>
    <row r="60" spans="1:8" x14ac:dyDescent="0.3">
      <c r="B60" t="s">
        <v>198</v>
      </c>
      <c r="E60" s="72"/>
    </row>
    <row r="61" spans="1:8" x14ac:dyDescent="0.3">
      <c r="E61" s="72"/>
    </row>
    <row r="62" spans="1:8" x14ac:dyDescent="0.3">
      <c r="B62" t="s">
        <v>197</v>
      </c>
      <c r="E62" s="72"/>
    </row>
    <row r="63" spans="1:8" x14ac:dyDescent="0.3">
      <c r="B63" t="s">
        <v>196</v>
      </c>
      <c r="E63" s="72"/>
    </row>
    <row r="64" spans="1:8" x14ac:dyDescent="0.3">
      <c r="B64" t="s">
        <v>195</v>
      </c>
      <c r="E64" s="72"/>
    </row>
    <row r="65" spans="1:5" x14ac:dyDescent="0.3">
      <c r="B65" t="s">
        <v>194</v>
      </c>
      <c r="E65" s="72"/>
    </row>
    <row r="66" spans="1:5" x14ac:dyDescent="0.3">
      <c r="E66" s="72"/>
    </row>
    <row r="67" spans="1:5" x14ac:dyDescent="0.3">
      <c r="A67" t="s">
        <v>0</v>
      </c>
      <c r="B67" t="s">
        <v>193</v>
      </c>
      <c r="E67" s="72"/>
    </row>
    <row r="68" spans="1:5" x14ac:dyDescent="0.3">
      <c r="E68" s="72"/>
    </row>
    <row r="69" spans="1:5" x14ac:dyDescent="0.3">
      <c r="E69" s="72"/>
    </row>
    <row r="70" spans="1:5" x14ac:dyDescent="0.3">
      <c r="E70" s="72"/>
    </row>
    <row r="71" spans="1:5" x14ac:dyDescent="0.3">
      <c r="E71" s="73"/>
    </row>
    <row r="72" spans="1:5" x14ac:dyDescent="0.3">
      <c r="E72" s="74"/>
    </row>
    <row r="73" spans="1:5" x14ac:dyDescent="0.3">
      <c r="E73" s="72"/>
    </row>
    <row r="74" spans="1:5" x14ac:dyDescent="0.3">
      <c r="E74" s="72"/>
    </row>
    <row r="75" spans="1:5" x14ac:dyDescent="0.3">
      <c r="E75" s="72"/>
    </row>
    <row r="76" spans="1:5" x14ac:dyDescent="0.3">
      <c r="E76" s="72"/>
    </row>
    <row r="77" spans="1:5" x14ac:dyDescent="0.3">
      <c r="E77" s="73"/>
    </row>
    <row r="78" spans="1:5" x14ac:dyDescent="0.3">
      <c r="E78" s="72"/>
    </row>
    <row r="79" spans="1:5" x14ac:dyDescent="0.3">
      <c r="E79" s="72"/>
    </row>
    <row r="80" spans="1:5" x14ac:dyDescent="0.3">
      <c r="E80" s="72"/>
    </row>
    <row r="81" spans="5:5" x14ac:dyDescent="0.3">
      <c r="E81" s="72"/>
    </row>
    <row r="82" spans="5:5" x14ac:dyDescent="0.3">
      <c r="E82" s="72"/>
    </row>
    <row r="83" spans="5:5" x14ac:dyDescent="0.3">
      <c r="E83" s="73"/>
    </row>
    <row r="84" spans="5:5" x14ac:dyDescent="0.3">
      <c r="E84" s="72"/>
    </row>
    <row r="85" spans="5:5" x14ac:dyDescent="0.3">
      <c r="E85" s="72"/>
    </row>
    <row r="86" spans="5:5" x14ac:dyDescent="0.3">
      <c r="E86" s="72"/>
    </row>
    <row r="87" spans="5:5" x14ac:dyDescent="0.3">
      <c r="E87" s="72"/>
    </row>
    <row r="88" spans="5:5" x14ac:dyDescent="0.3">
      <c r="E88" s="72"/>
    </row>
    <row r="89" spans="5:5" x14ac:dyDescent="0.3">
      <c r="E89" s="73"/>
    </row>
    <row r="90" spans="5:5" x14ac:dyDescent="0.3">
      <c r="E90" s="72"/>
    </row>
    <row r="91" spans="5:5" x14ac:dyDescent="0.3">
      <c r="E91" s="72"/>
    </row>
    <row r="92" spans="5:5" x14ac:dyDescent="0.3">
      <c r="E92" s="72"/>
    </row>
    <row r="93" spans="5:5" x14ac:dyDescent="0.3">
      <c r="E93" s="72"/>
    </row>
    <row r="94" spans="5:5" x14ac:dyDescent="0.3">
      <c r="E94" s="72"/>
    </row>
    <row r="95" spans="5:5" x14ac:dyDescent="0.3">
      <c r="E95" s="73"/>
    </row>
    <row r="96" spans="5:5" x14ac:dyDescent="0.3">
      <c r="E96" s="72"/>
    </row>
    <row r="97" spans="5:5" x14ac:dyDescent="0.3">
      <c r="E97" s="72"/>
    </row>
    <row r="98" spans="5:5" x14ac:dyDescent="0.3">
      <c r="E98" s="72"/>
    </row>
    <row r="99" spans="5:5" x14ac:dyDescent="0.3">
      <c r="E99" s="72"/>
    </row>
    <row r="100" spans="5:5" x14ac:dyDescent="0.3">
      <c r="E100" s="72"/>
    </row>
    <row r="101" spans="5:5" x14ac:dyDescent="0.3">
      <c r="E101" s="73"/>
    </row>
    <row r="102" spans="5:5" x14ac:dyDescent="0.3">
      <c r="E102" s="72"/>
    </row>
    <row r="103" spans="5:5" x14ac:dyDescent="0.3">
      <c r="E103" s="72"/>
    </row>
    <row r="104" spans="5:5" x14ac:dyDescent="0.3">
      <c r="E104" s="72"/>
    </row>
    <row r="105" spans="5:5" x14ac:dyDescent="0.3">
      <c r="E105" s="72"/>
    </row>
    <row r="106" spans="5:5" x14ac:dyDescent="0.3">
      <c r="E106" s="72"/>
    </row>
    <row r="107" spans="5:5" x14ac:dyDescent="0.3">
      <c r="E107" s="73"/>
    </row>
    <row r="108" spans="5:5" x14ac:dyDescent="0.3">
      <c r="E108" s="71"/>
    </row>
    <row r="109" spans="5:5" x14ac:dyDescent="0.3">
      <c r="E109" s="71"/>
    </row>
    <row r="110" spans="5:5" x14ac:dyDescent="0.3">
      <c r="E110" s="72"/>
    </row>
    <row r="111" spans="5:5" x14ac:dyDescent="0.3">
      <c r="E111" s="71"/>
    </row>
    <row r="112" spans="5:5" x14ac:dyDescent="0.3">
      <c r="E112" s="71"/>
    </row>
    <row r="113" spans="5:5" x14ac:dyDescent="0.3">
      <c r="E113" s="73"/>
    </row>
    <row r="114" spans="5:5" x14ac:dyDescent="0.3">
      <c r="E114" s="71"/>
    </row>
    <row r="115" spans="5:5" x14ac:dyDescent="0.3">
      <c r="E115" s="71"/>
    </row>
    <row r="116" spans="5:5" x14ac:dyDescent="0.3">
      <c r="E116" s="72"/>
    </row>
    <row r="117" spans="5:5" x14ac:dyDescent="0.3">
      <c r="E117" s="71"/>
    </row>
    <row r="118" spans="5:5" x14ac:dyDescent="0.3">
      <c r="E118" s="71"/>
    </row>
    <row r="119" spans="5:5" x14ac:dyDescent="0.3">
      <c r="E119" s="73"/>
    </row>
    <row r="120" spans="5:5" x14ac:dyDescent="0.3">
      <c r="E120" s="71"/>
    </row>
    <row r="121" spans="5:5" x14ac:dyDescent="0.3">
      <c r="E121" s="71"/>
    </row>
    <row r="122" spans="5:5" x14ac:dyDescent="0.3">
      <c r="E122" s="71"/>
    </row>
    <row r="123" spans="5:5" x14ac:dyDescent="0.3">
      <c r="E123" s="71"/>
    </row>
    <row r="124" spans="5:5" x14ac:dyDescent="0.3">
      <c r="E124" s="71"/>
    </row>
    <row r="125" spans="5:5" x14ac:dyDescent="0.3">
      <c r="E125" s="73"/>
    </row>
    <row r="126" spans="5:5" x14ac:dyDescent="0.3">
      <c r="E126" s="71"/>
    </row>
    <row r="127" spans="5:5" x14ac:dyDescent="0.3">
      <c r="E127" s="71"/>
    </row>
    <row r="128" spans="5:5" x14ac:dyDescent="0.3">
      <c r="E128" s="72"/>
    </row>
    <row r="129" spans="5:5" x14ac:dyDescent="0.3">
      <c r="E129" s="71"/>
    </row>
    <row r="130" spans="5:5" x14ac:dyDescent="0.3">
      <c r="E130" s="71"/>
    </row>
    <row r="131" spans="5:5" x14ac:dyDescent="0.3">
      <c r="E131" s="70"/>
    </row>
    <row r="132" spans="5:5" x14ac:dyDescent="0.3">
      <c r="E132" s="69"/>
    </row>
    <row r="133" spans="5:5" x14ac:dyDescent="0.3">
      <c r="E133" s="69"/>
    </row>
    <row r="134" spans="5:5" x14ac:dyDescent="0.3">
      <c r="E134" s="69"/>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7B771-2B54-4491-8EF0-45710230487B}">
  <sheetPr>
    <tabColor theme="9" tint="0.59999389629810485"/>
  </sheetPr>
  <dimension ref="A1:H211"/>
  <sheetViews>
    <sheetView zoomScale="115" zoomScaleNormal="115" workbookViewId="0"/>
  </sheetViews>
  <sheetFormatPr defaultRowHeight="14.4" x14ac:dyDescent="0.3"/>
  <cols>
    <col min="2" max="2" width="28.33203125" customWidth="1"/>
    <col min="3" max="5" width="11.33203125" customWidth="1"/>
    <col min="6" max="6" width="34.44140625" bestFit="1" customWidth="1"/>
    <col min="7" max="8" width="11.33203125" customWidth="1"/>
    <col min="9" max="10" width="12.6640625" customWidth="1"/>
  </cols>
  <sheetData>
    <row r="1" spans="1:8" x14ac:dyDescent="0.3">
      <c r="A1" s="135" t="s">
        <v>507</v>
      </c>
    </row>
    <row r="3" spans="1:8" x14ac:dyDescent="0.3">
      <c r="A3" s="9" t="s">
        <v>7</v>
      </c>
    </row>
    <row r="4" spans="1:8" x14ac:dyDescent="0.3">
      <c r="A4" t="s">
        <v>257</v>
      </c>
      <c r="F4" s="14"/>
    </row>
    <row r="5" spans="1:8" x14ac:dyDescent="0.3">
      <c r="F5" s="14"/>
    </row>
    <row r="6" spans="1:8" x14ac:dyDescent="0.3">
      <c r="F6" s="14"/>
    </row>
    <row r="8" spans="1:8" x14ac:dyDescent="0.3">
      <c r="B8" s="8" t="s">
        <v>6</v>
      </c>
      <c r="C8" s="7"/>
      <c r="D8" s="6"/>
      <c r="F8" s="8" t="s">
        <v>5</v>
      </c>
      <c r="G8" s="7"/>
      <c r="H8" s="6"/>
    </row>
    <row r="9" spans="1:8" x14ac:dyDescent="0.3">
      <c r="B9" s="5" t="s">
        <v>256</v>
      </c>
      <c r="C9" s="4"/>
      <c r="D9" s="3"/>
      <c r="F9" s="5" t="s">
        <v>255</v>
      </c>
      <c r="G9" s="4"/>
      <c r="H9" s="3"/>
    </row>
    <row r="11" spans="1:8" ht="43.2" x14ac:dyDescent="0.3">
      <c r="B11" s="73"/>
      <c r="C11" s="83" t="s">
        <v>254</v>
      </c>
      <c r="D11" s="83" t="s">
        <v>253</v>
      </c>
      <c r="E11" s="73"/>
      <c r="G11" s="83" t="s">
        <v>254</v>
      </c>
      <c r="H11" s="83" t="s">
        <v>253</v>
      </c>
    </row>
    <row r="12" spans="1:8" x14ac:dyDescent="0.3">
      <c r="B12" s="75" t="s">
        <v>252</v>
      </c>
      <c r="C12" s="83"/>
      <c r="D12" s="83"/>
      <c r="E12" s="73"/>
      <c r="F12" s="75" t="s">
        <v>251</v>
      </c>
      <c r="G12" s="83"/>
      <c r="H12" s="83"/>
    </row>
    <row r="13" spans="1:8" x14ac:dyDescent="0.3">
      <c r="B13" s="73" t="s">
        <v>250</v>
      </c>
      <c r="C13" s="83">
        <v>7500</v>
      </c>
      <c r="D13" s="83">
        <v>3200</v>
      </c>
      <c r="E13" s="73"/>
      <c r="F13" s="73" t="s">
        <v>249</v>
      </c>
      <c r="G13" s="83"/>
      <c r="H13" s="83"/>
    </row>
    <row r="14" spans="1:8" x14ac:dyDescent="0.3">
      <c r="B14" s="73" t="s">
        <v>248</v>
      </c>
      <c r="C14" s="83">
        <v>300</v>
      </c>
      <c r="D14" s="83">
        <v>130</v>
      </c>
      <c r="E14" s="73"/>
      <c r="F14" s="73" t="s">
        <v>247</v>
      </c>
      <c r="G14" s="83">
        <v>850</v>
      </c>
      <c r="H14" s="83">
        <v>320</v>
      </c>
    </row>
    <row r="15" spans="1:8" x14ac:dyDescent="0.3">
      <c r="B15" s="73" t="s">
        <v>246</v>
      </c>
      <c r="C15" s="83">
        <v>120</v>
      </c>
      <c r="D15" s="83">
        <v>20</v>
      </c>
      <c r="E15" s="73"/>
      <c r="F15" s="73" t="s">
        <v>245</v>
      </c>
      <c r="G15" s="83">
        <v>400</v>
      </c>
      <c r="H15" s="83">
        <v>150</v>
      </c>
    </row>
    <row r="16" spans="1:8" x14ac:dyDescent="0.3">
      <c r="B16" s="73" t="s">
        <v>244</v>
      </c>
      <c r="C16" s="83">
        <f>SUM(C13:C15)</f>
        <v>7920</v>
      </c>
      <c r="D16" s="83">
        <f>SUM(D13:D15)</f>
        <v>3350</v>
      </c>
      <c r="E16" s="73"/>
      <c r="F16" s="73"/>
      <c r="G16" s="83"/>
      <c r="H16" s="83"/>
    </row>
    <row r="17" spans="2:8" x14ac:dyDescent="0.3">
      <c r="B17" s="73"/>
      <c r="C17" s="83"/>
      <c r="D17" s="83"/>
      <c r="E17" s="73"/>
      <c r="F17" s="73" t="s">
        <v>243</v>
      </c>
      <c r="G17" s="83"/>
      <c r="H17" s="83"/>
    </row>
    <row r="18" spans="2:8" x14ac:dyDescent="0.3">
      <c r="B18" s="75" t="s">
        <v>242</v>
      </c>
      <c r="C18" s="83"/>
      <c r="D18" s="83"/>
      <c r="E18" s="73"/>
      <c r="F18" s="73" t="s">
        <v>241</v>
      </c>
      <c r="G18" s="83">
        <v>90</v>
      </c>
      <c r="H18" s="83">
        <v>40</v>
      </c>
    </row>
    <row r="19" spans="2:8" x14ac:dyDescent="0.3">
      <c r="B19" s="73" t="s">
        <v>240</v>
      </c>
      <c r="C19" s="83">
        <v>5600</v>
      </c>
      <c r="D19" s="83">
        <v>2500</v>
      </c>
      <c r="E19" s="73"/>
      <c r="F19" s="73" t="s">
        <v>239</v>
      </c>
      <c r="G19" s="83">
        <v>220</v>
      </c>
      <c r="H19" s="83">
        <v>0</v>
      </c>
    </row>
    <row r="20" spans="2:8" x14ac:dyDescent="0.3">
      <c r="B20" s="73" t="s">
        <v>238</v>
      </c>
      <c r="C20" s="83">
        <v>100</v>
      </c>
      <c r="D20" s="83">
        <v>0</v>
      </c>
      <c r="E20" s="73"/>
      <c r="F20" s="73" t="s">
        <v>237</v>
      </c>
      <c r="G20" s="83">
        <f>SUM(G14:G19)</f>
        <v>1560</v>
      </c>
      <c r="H20" s="83">
        <f>SUM(H14:H19)</f>
        <v>510</v>
      </c>
    </row>
    <row r="21" spans="2:8" x14ac:dyDescent="0.3">
      <c r="B21" s="73" t="s">
        <v>236</v>
      </c>
      <c r="C21" s="83">
        <v>1300</v>
      </c>
      <c r="D21" s="83">
        <v>500</v>
      </c>
      <c r="E21" s="73"/>
      <c r="F21" s="73"/>
      <c r="G21" s="83"/>
      <c r="H21" s="83"/>
    </row>
    <row r="22" spans="2:8" x14ac:dyDescent="0.3">
      <c r="B22" s="73" t="s">
        <v>235</v>
      </c>
      <c r="C22" s="83">
        <f>SUM(C19:C21)</f>
        <v>7000</v>
      </c>
      <c r="D22" s="83">
        <f>SUM(D19:D21)</f>
        <v>3000</v>
      </c>
      <c r="E22" s="73"/>
      <c r="F22" s="73" t="s">
        <v>234</v>
      </c>
      <c r="G22" s="83">
        <v>1500</v>
      </c>
      <c r="H22" s="83">
        <v>400</v>
      </c>
    </row>
    <row r="23" spans="2:8" x14ac:dyDescent="0.3">
      <c r="B23" s="73"/>
      <c r="C23" s="83"/>
      <c r="D23" s="83"/>
      <c r="E23" s="73"/>
      <c r="F23" s="73" t="s">
        <v>233</v>
      </c>
      <c r="G23" s="83">
        <v>250</v>
      </c>
      <c r="H23" s="83">
        <v>60</v>
      </c>
    </row>
    <row r="24" spans="2:8" x14ac:dyDescent="0.3">
      <c r="B24" s="73" t="s">
        <v>232</v>
      </c>
      <c r="C24" s="83">
        <f>C16-C22</f>
        <v>920</v>
      </c>
      <c r="D24" s="83">
        <f>D16-D22</f>
        <v>350</v>
      </c>
      <c r="E24" s="73"/>
      <c r="F24" s="73" t="s">
        <v>231</v>
      </c>
      <c r="G24" s="83">
        <v>300</v>
      </c>
      <c r="H24" s="83">
        <v>80</v>
      </c>
    </row>
    <row r="25" spans="2:8" x14ac:dyDescent="0.3">
      <c r="C25" s="29"/>
      <c r="D25" s="29"/>
      <c r="E25" s="73"/>
      <c r="F25" s="73"/>
      <c r="G25" s="83"/>
      <c r="H25" s="83"/>
    </row>
    <row r="26" spans="2:8" x14ac:dyDescent="0.3">
      <c r="B26" s="73" t="s">
        <v>230</v>
      </c>
      <c r="C26" s="83">
        <v>70</v>
      </c>
      <c r="D26" s="83">
        <v>17</v>
      </c>
      <c r="E26" s="73"/>
      <c r="F26" s="73" t="s">
        <v>229</v>
      </c>
      <c r="G26" s="83">
        <f>SUM(G20:G24)</f>
        <v>3610</v>
      </c>
      <c r="H26" s="83">
        <f>SUM(H20:H24)</f>
        <v>1050</v>
      </c>
    </row>
    <row r="27" spans="2:8" x14ac:dyDescent="0.3">
      <c r="B27" s="73" t="s">
        <v>228</v>
      </c>
      <c r="C27" s="83">
        <v>5</v>
      </c>
      <c r="D27" s="83">
        <v>2</v>
      </c>
      <c r="E27" s="73"/>
      <c r="F27" s="73"/>
      <c r="G27" s="83"/>
      <c r="H27" s="83"/>
    </row>
    <row r="28" spans="2:8" x14ac:dyDescent="0.3">
      <c r="B28" s="73" t="s">
        <v>227</v>
      </c>
      <c r="C28" s="83">
        <f>C26-C27</f>
        <v>65</v>
      </c>
      <c r="D28" s="83">
        <f>D26-D27</f>
        <v>15</v>
      </c>
      <c r="E28" s="73"/>
      <c r="F28" s="75" t="s">
        <v>226</v>
      </c>
      <c r="G28" s="83"/>
      <c r="H28" s="83"/>
    </row>
    <row r="29" spans="2:8" x14ac:dyDescent="0.3">
      <c r="C29" s="29"/>
      <c r="D29" s="29"/>
      <c r="E29" s="73"/>
      <c r="F29" s="73" t="s">
        <v>225</v>
      </c>
      <c r="G29" s="83"/>
      <c r="H29" s="83"/>
    </row>
    <row r="30" spans="2:8" x14ac:dyDescent="0.3">
      <c r="B30" s="75" t="s">
        <v>224</v>
      </c>
      <c r="C30" s="83">
        <f>C24+C28</f>
        <v>985</v>
      </c>
      <c r="D30" s="83">
        <f>D24+D28</f>
        <v>365</v>
      </c>
      <c r="E30" s="73"/>
      <c r="F30" s="73" t="s">
        <v>223</v>
      </c>
      <c r="G30" s="83">
        <v>1100</v>
      </c>
      <c r="H30" s="83">
        <v>380</v>
      </c>
    </row>
    <row r="31" spans="2:8" x14ac:dyDescent="0.3">
      <c r="B31" s="73"/>
      <c r="C31" s="83"/>
      <c r="D31" s="83"/>
      <c r="E31" s="73"/>
      <c r="F31" s="73" t="s">
        <v>222</v>
      </c>
      <c r="G31" s="83">
        <v>360</v>
      </c>
      <c r="H31" s="83">
        <v>100</v>
      </c>
    </row>
    <row r="32" spans="2:8" x14ac:dyDescent="0.3">
      <c r="B32" s="73" t="s">
        <v>221</v>
      </c>
      <c r="C32" s="83">
        <f>C30*0.2</f>
        <v>197</v>
      </c>
      <c r="D32" s="83">
        <f>D30*0.2</f>
        <v>73</v>
      </c>
      <c r="E32" s="73"/>
      <c r="F32" s="73" t="s">
        <v>220</v>
      </c>
      <c r="G32" s="83">
        <v>280</v>
      </c>
      <c r="H32" s="83">
        <v>90</v>
      </c>
    </row>
    <row r="33" spans="2:8" x14ac:dyDescent="0.3">
      <c r="B33" s="73"/>
      <c r="C33" s="83"/>
      <c r="D33" s="83"/>
      <c r="E33" s="73"/>
      <c r="F33" s="73" t="s">
        <v>219</v>
      </c>
      <c r="G33" s="83">
        <f>SUM(G30:G32)</f>
        <v>1740</v>
      </c>
      <c r="H33" s="83">
        <f>SUM(H30:H32)</f>
        <v>570</v>
      </c>
    </row>
    <row r="34" spans="2:8" x14ac:dyDescent="0.3">
      <c r="B34" s="75" t="s">
        <v>218</v>
      </c>
      <c r="C34" s="83">
        <f>C30-C32</f>
        <v>788</v>
      </c>
      <c r="D34" s="83">
        <f>D30-D32</f>
        <v>292</v>
      </c>
      <c r="E34" s="73"/>
      <c r="F34" s="73"/>
      <c r="G34" s="83"/>
      <c r="H34" s="83"/>
    </row>
    <row r="35" spans="2:8" x14ac:dyDescent="0.3">
      <c r="B35" s="73"/>
      <c r="C35" s="73"/>
      <c r="D35" s="73"/>
      <c r="E35" s="73"/>
      <c r="F35" s="73" t="s">
        <v>217</v>
      </c>
      <c r="G35" s="83">
        <v>420</v>
      </c>
      <c r="H35" s="83">
        <v>180</v>
      </c>
    </row>
    <row r="36" spans="2:8" x14ac:dyDescent="0.3">
      <c r="B36" s="73"/>
      <c r="C36" s="73"/>
      <c r="D36" s="73"/>
      <c r="E36" s="73"/>
      <c r="F36" s="73" t="s">
        <v>216</v>
      </c>
      <c r="G36" s="83">
        <v>300</v>
      </c>
      <c r="H36" s="83">
        <v>70</v>
      </c>
    </row>
    <row r="37" spans="2:8" x14ac:dyDescent="0.3">
      <c r="B37" s="73"/>
      <c r="C37" s="73"/>
      <c r="D37" s="73"/>
      <c r="E37" s="73"/>
      <c r="F37" s="73"/>
      <c r="G37" s="83"/>
      <c r="H37" s="83"/>
    </row>
    <row r="38" spans="2:8" x14ac:dyDescent="0.3">
      <c r="B38" s="73"/>
      <c r="C38" s="73"/>
      <c r="D38" s="73"/>
      <c r="E38" s="73"/>
      <c r="F38" s="73" t="s">
        <v>215</v>
      </c>
      <c r="G38" s="83">
        <f>SUM(G33:G36)</f>
        <v>2460</v>
      </c>
      <c r="H38" s="83">
        <f>SUM(H33:H36)</f>
        <v>820</v>
      </c>
    </row>
    <row r="39" spans="2:8" x14ac:dyDescent="0.3">
      <c r="B39" s="73"/>
      <c r="C39" s="73"/>
      <c r="D39" s="73"/>
      <c r="E39" s="73"/>
      <c r="F39" s="73"/>
      <c r="G39" s="83"/>
      <c r="H39" s="83"/>
    </row>
    <row r="40" spans="2:8" x14ac:dyDescent="0.3">
      <c r="B40" s="73"/>
      <c r="C40" s="73"/>
      <c r="D40" s="73"/>
      <c r="E40" s="73"/>
      <c r="F40" s="73" t="s">
        <v>214</v>
      </c>
      <c r="G40" s="83"/>
      <c r="H40" s="83"/>
    </row>
    <row r="41" spans="2:8" x14ac:dyDescent="0.3">
      <c r="B41" s="73"/>
      <c r="C41" s="73"/>
      <c r="D41" s="73"/>
      <c r="E41" s="73"/>
      <c r="F41" s="73" t="s">
        <v>213</v>
      </c>
      <c r="G41" s="83">
        <v>400</v>
      </c>
      <c r="H41" s="83">
        <v>120</v>
      </c>
    </row>
    <row r="42" spans="2:8" x14ac:dyDescent="0.3">
      <c r="E42" s="73"/>
      <c r="F42" s="73" t="s">
        <v>212</v>
      </c>
      <c r="G42" s="83">
        <v>750</v>
      </c>
      <c r="H42" s="83">
        <v>110</v>
      </c>
    </row>
    <row r="43" spans="2:8" x14ac:dyDescent="0.3">
      <c r="B43" s="73"/>
      <c r="C43" s="73"/>
      <c r="D43" s="73"/>
      <c r="E43" s="73"/>
      <c r="F43" s="73" t="s">
        <v>211</v>
      </c>
      <c r="G43" s="83">
        <f>SUM(G41:G42)</f>
        <v>1150</v>
      </c>
      <c r="H43" s="83">
        <f>SUM(H41:H42)</f>
        <v>230</v>
      </c>
    </row>
    <row r="44" spans="2:8" x14ac:dyDescent="0.3">
      <c r="B44" s="73"/>
      <c r="C44" s="73"/>
      <c r="D44" s="73"/>
      <c r="E44" s="73"/>
      <c r="F44" s="73"/>
      <c r="G44" s="83"/>
      <c r="H44" s="83"/>
    </row>
    <row r="45" spans="2:8" x14ac:dyDescent="0.3">
      <c r="B45" s="73"/>
      <c r="C45" s="73"/>
      <c r="D45" s="73"/>
      <c r="E45" s="73"/>
      <c r="F45" s="73" t="s">
        <v>210</v>
      </c>
      <c r="G45" s="83">
        <f>G38+G43</f>
        <v>3610</v>
      </c>
      <c r="H45" s="83">
        <f>H38+H43</f>
        <v>1050</v>
      </c>
    </row>
    <row r="46" spans="2:8" x14ac:dyDescent="0.3">
      <c r="B46" s="73"/>
      <c r="C46" s="73"/>
      <c r="D46" s="73"/>
      <c r="E46" s="73"/>
    </row>
    <row r="47" spans="2:8" x14ac:dyDescent="0.3">
      <c r="B47" t="s">
        <v>209</v>
      </c>
      <c r="C47" s="73"/>
      <c r="D47" s="73"/>
      <c r="E47" s="73"/>
      <c r="F47" s="73"/>
      <c r="G47" s="73"/>
      <c r="H47" s="73"/>
    </row>
    <row r="48" spans="2:8" x14ac:dyDescent="0.3">
      <c r="C48" s="73"/>
      <c r="D48" s="73"/>
      <c r="E48" s="73"/>
      <c r="F48" s="73"/>
      <c r="G48" s="73"/>
      <c r="H48" s="73"/>
    </row>
    <row r="49" spans="1:8" x14ac:dyDescent="0.3">
      <c r="A49" t="s">
        <v>2</v>
      </c>
      <c r="B49" t="s">
        <v>208</v>
      </c>
      <c r="C49" s="73"/>
      <c r="D49" s="73"/>
      <c r="E49" s="73"/>
      <c r="F49" s="73"/>
      <c r="G49" s="73"/>
      <c r="H49" s="73"/>
    </row>
    <row r="50" spans="1:8" x14ac:dyDescent="0.3">
      <c r="E50" s="73"/>
      <c r="F50" s="73"/>
      <c r="G50" s="73"/>
      <c r="H50" s="73"/>
    </row>
    <row r="51" spans="1:8" x14ac:dyDescent="0.3">
      <c r="A51" t="s">
        <v>14</v>
      </c>
      <c r="B51" t="s">
        <v>207</v>
      </c>
      <c r="E51" s="73"/>
      <c r="F51" s="73"/>
      <c r="G51" s="73"/>
      <c r="H51" s="73"/>
    </row>
    <row r="52" spans="1:8" x14ac:dyDescent="0.3">
      <c r="A52" t="s">
        <v>13</v>
      </c>
      <c r="B52" t="s">
        <v>206</v>
      </c>
      <c r="E52" s="73"/>
      <c r="F52" s="73"/>
      <c r="G52" s="73"/>
      <c r="H52" s="73"/>
    </row>
    <row r="53" spans="1:8" x14ac:dyDescent="0.3">
      <c r="A53" t="s">
        <v>145</v>
      </c>
      <c r="B53" t="s">
        <v>205</v>
      </c>
    </row>
    <row r="54" spans="1:8" x14ac:dyDescent="0.3">
      <c r="A54" t="s">
        <v>204</v>
      </c>
      <c r="B54" t="s">
        <v>203</v>
      </c>
    </row>
    <row r="55" spans="1:8" x14ac:dyDescent="0.3">
      <c r="A55" t="s">
        <v>202</v>
      </c>
      <c r="B55" t="s">
        <v>201</v>
      </c>
    </row>
    <row r="57" spans="1:8" ht="28.8" x14ac:dyDescent="0.3">
      <c r="C57" s="86" t="s">
        <v>254</v>
      </c>
      <c r="D57" s="86" t="s">
        <v>253</v>
      </c>
      <c r="E57" s="11"/>
      <c r="F57" s="14" t="s">
        <v>9</v>
      </c>
    </row>
    <row r="58" spans="1:8" x14ac:dyDescent="0.3">
      <c r="B58" t="s">
        <v>262</v>
      </c>
      <c r="C58" s="29">
        <f>C34</f>
        <v>788</v>
      </c>
      <c r="D58" s="29">
        <f>D34</f>
        <v>292</v>
      </c>
      <c r="E58" s="11"/>
      <c r="F58" t="s">
        <v>280</v>
      </c>
    </row>
    <row r="59" spans="1:8" ht="15" thickBot="1" x14ac:dyDescent="0.35">
      <c r="B59" t="s">
        <v>244</v>
      </c>
      <c r="C59" s="83">
        <f>C16</f>
        <v>7920</v>
      </c>
      <c r="D59" s="83">
        <f>D16</f>
        <v>3350</v>
      </c>
      <c r="E59" s="11"/>
      <c r="F59" t="s">
        <v>279</v>
      </c>
    </row>
    <row r="60" spans="1:8" ht="15" thickBot="1" x14ac:dyDescent="0.35">
      <c r="B60" t="s">
        <v>207</v>
      </c>
      <c r="C60" s="87">
        <f>C58/C59</f>
        <v>9.9494949494949497E-2</v>
      </c>
      <c r="D60" s="88">
        <f>D58/D59</f>
        <v>8.7164179104477615E-2</v>
      </c>
      <c r="E60" s="11"/>
      <c r="F60" t="s">
        <v>278</v>
      </c>
    </row>
    <row r="61" spans="1:8" x14ac:dyDescent="0.3">
      <c r="C61" s="11"/>
      <c r="D61" s="11"/>
      <c r="E61" s="11"/>
    </row>
    <row r="62" spans="1:8" x14ac:dyDescent="0.3">
      <c r="B62" t="s">
        <v>244</v>
      </c>
      <c r="C62" s="29">
        <f>C16</f>
        <v>7920</v>
      </c>
      <c r="D62" s="29">
        <f>D16</f>
        <v>3350</v>
      </c>
      <c r="E62" s="11"/>
      <c r="F62" t="s">
        <v>267</v>
      </c>
    </row>
    <row r="63" spans="1:8" ht="15" thickBot="1" x14ac:dyDescent="0.35">
      <c r="B63" t="s">
        <v>229</v>
      </c>
      <c r="C63" s="29">
        <f>G26</f>
        <v>3610</v>
      </c>
      <c r="D63" s="29">
        <f>H26</f>
        <v>1050</v>
      </c>
      <c r="E63" s="11"/>
      <c r="F63" t="s">
        <v>264</v>
      </c>
    </row>
    <row r="64" spans="1:8" ht="15" thickBot="1" x14ac:dyDescent="0.35">
      <c r="B64" t="s">
        <v>206</v>
      </c>
      <c r="C64" s="89">
        <f>C62/C63</f>
        <v>2.1939058171745152</v>
      </c>
      <c r="D64" s="90">
        <f>D62/D63</f>
        <v>3.1904761904761907</v>
      </c>
      <c r="E64" s="11"/>
      <c r="F64" t="s">
        <v>277</v>
      </c>
    </row>
    <row r="65" spans="1:6" x14ac:dyDescent="0.3">
      <c r="C65" s="11"/>
      <c r="D65" s="11"/>
      <c r="E65" s="11"/>
    </row>
    <row r="66" spans="1:6" x14ac:dyDescent="0.3">
      <c r="B66" t="s">
        <v>262</v>
      </c>
      <c r="C66" s="29">
        <f>C34</f>
        <v>788</v>
      </c>
      <c r="D66" s="29">
        <f>D34</f>
        <v>292</v>
      </c>
      <c r="E66" s="11"/>
      <c r="F66" t="s">
        <v>261</v>
      </c>
    </row>
    <row r="67" spans="1:6" ht="15" thickBot="1" x14ac:dyDescent="0.35">
      <c r="B67" t="s">
        <v>229</v>
      </c>
      <c r="C67" s="29">
        <f>G26</f>
        <v>3610</v>
      </c>
      <c r="D67" s="29">
        <f>H26</f>
        <v>1050</v>
      </c>
      <c r="E67" s="11"/>
      <c r="F67" t="s">
        <v>265</v>
      </c>
    </row>
    <row r="68" spans="1:6" ht="15" thickBot="1" x14ac:dyDescent="0.35">
      <c r="B68" t="s">
        <v>205</v>
      </c>
      <c r="C68" s="87">
        <f>C66/C67</f>
        <v>0.21828254847645429</v>
      </c>
      <c r="D68" s="88">
        <f>D66/D67</f>
        <v>0.27809523809523812</v>
      </c>
      <c r="E68" s="11"/>
      <c r="F68" t="s">
        <v>266</v>
      </c>
    </row>
    <row r="69" spans="1:6" x14ac:dyDescent="0.3">
      <c r="C69" s="11"/>
      <c r="D69" s="11"/>
      <c r="E69" s="11"/>
    </row>
    <row r="70" spans="1:6" x14ac:dyDescent="0.3">
      <c r="B70" t="s">
        <v>229</v>
      </c>
      <c r="C70" s="29">
        <f>G26</f>
        <v>3610</v>
      </c>
      <c r="D70" s="29">
        <f>H26</f>
        <v>1050</v>
      </c>
      <c r="E70" s="11"/>
      <c r="F70" t="s">
        <v>265</v>
      </c>
    </row>
    <row r="71" spans="1:6" ht="15" thickBot="1" x14ac:dyDescent="0.35">
      <c r="B71" t="s">
        <v>211</v>
      </c>
      <c r="C71" s="29">
        <f>G43</f>
        <v>1150</v>
      </c>
      <c r="D71" s="29">
        <f>H43</f>
        <v>230</v>
      </c>
      <c r="E71" s="11"/>
      <c r="F71" t="s">
        <v>264</v>
      </c>
    </row>
    <row r="72" spans="1:6" ht="15" thickBot="1" x14ac:dyDescent="0.35">
      <c r="B72" t="s">
        <v>203</v>
      </c>
      <c r="C72" s="91">
        <f>C70/C71</f>
        <v>3.1391304347826088</v>
      </c>
      <c r="D72" s="92">
        <f>D70/D71</f>
        <v>4.5652173913043477</v>
      </c>
      <c r="E72" s="11"/>
      <c r="F72" t="s">
        <v>263</v>
      </c>
    </row>
    <row r="73" spans="1:6" x14ac:dyDescent="0.3">
      <c r="C73" s="11"/>
      <c r="D73" s="11"/>
      <c r="E73" s="11"/>
    </row>
    <row r="74" spans="1:6" x14ac:dyDescent="0.3">
      <c r="B74" t="s">
        <v>262</v>
      </c>
      <c r="C74" s="29">
        <f>C34</f>
        <v>788</v>
      </c>
      <c r="D74" s="29">
        <f>D34</f>
        <v>292</v>
      </c>
      <c r="E74" s="11"/>
      <c r="F74" t="s">
        <v>261</v>
      </c>
    </row>
    <row r="75" spans="1:6" ht="15" thickBot="1" x14ac:dyDescent="0.35">
      <c r="B75" t="s">
        <v>211</v>
      </c>
      <c r="C75" s="29">
        <f>G43</f>
        <v>1150</v>
      </c>
      <c r="D75" s="29">
        <f>H43</f>
        <v>230</v>
      </c>
      <c r="E75" s="93"/>
      <c r="F75" t="s">
        <v>260</v>
      </c>
    </row>
    <row r="76" spans="1:6" ht="15" thickBot="1" x14ac:dyDescent="0.35">
      <c r="B76" t="s">
        <v>201</v>
      </c>
      <c r="C76" s="91">
        <f>C74/C75</f>
        <v>0.68521739130434778</v>
      </c>
      <c r="D76" s="92">
        <f>D74/D75</f>
        <v>1.2695652173913043</v>
      </c>
      <c r="E76" s="93"/>
      <c r="F76" t="s">
        <v>259</v>
      </c>
    </row>
    <row r="77" spans="1:6" x14ac:dyDescent="0.3">
      <c r="C77" s="11"/>
      <c r="D77" s="11"/>
      <c r="E77" s="93"/>
    </row>
    <row r="78" spans="1:6" x14ac:dyDescent="0.3">
      <c r="A78" t="s">
        <v>1</v>
      </c>
      <c r="B78" t="s">
        <v>200</v>
      </c>
      <c r="C78" s="11"/>
      <c r="D78" s="11"/>
      <c r="E78" s="93"/>
    </row>
    <row r="79" spans="1:6" x14ac:dyDescent="0.3">
      <c r="C79" s="11"/>
      <c r="D79" s="11"/>
      <c r="E79" s="93"/>
    </row>
    <row r="80" spans="1:6" ht="28.8" x14ac:dyDescent="0.3">
      <c r="C80" s="86" t="str">
        <f>C57</f>
        <v>CommunityCare</v>
      </c>
      <c r="D80" s="86" t="str">
        <f>D57</f>
        <v>Traditional Health</v>
      </c>
      <c r="E80" s="93"/>
    </row>
    <row r="81" spans="2:6" x14ac:dyDescent="0.3">
      <c r="B81" t="s">
        <v>207</v>
      </c>
      <c r="C81" s="94">
        <f>C60</f>
        <v>9.9494949494949497E-2</v>
      </c>
      <c r="D81" s="94">
        <f>D60</f>
        <v>8.7164179104477615E-2</v>
      </c>
      <c r="E81" s="93"/>
    </row>
    <row r="82" spans="2:6" x14ac:dyDescent="0.3">
      <c r="B82" t="s">
        <v>206</v>
      </c>
      <c r="C82" s="27">
        <f>C64</f>
        <v>2.1939058171745152</v>
      </c>
      <c r="D82" s="27">
        <f>D64</f>
        <v>3.1904761904761907</v>
      </c>
      <c r="E82" s="93"/>
    </row>
    <row r="83" spans="2:6" ht="15" thickBot="1" x14ac:dyDescent="0.35">
      <c r="B83" t="s">
        <v>205</v>
      </c>
      <c r="C83" s="94">
        <f>C81*C82</f>
        <v>0.21828254847645429</v>
      </c>
      <c r="D83" s="94">
        <f>D81*D82</f>
        <v>0.27809523809523812</v>
      </c>
      <c r="E83" s="93"/>
      <c r="F83" t="s">
        <v>276</v>
      </c>
    </row>
    <row r="84" spans="2:6" ht="15" thickBot="1" x14ac:dyDescent="0.35">
      <c r="C84" s="95" t="b">
        <f>C68=C83</f>
        <v>1</v>
      </c>
      <c r="D84" s="96" t="b">
        <f>D68=D83</f>
        <v>1</v>
      </c>
      <c r="E84" s="93"/>
    </row>
    <row r="85" spans="2:6" x14ac:dyDescent="0.3">
      <c r="C85" s="11"/>
      <c r="D85" s="11"/>
      <c r="E85" s="93"/>
    </row>
    <row r="86" spans="2:6" x14ac:dyDescent="0.3">
      <c r="B86" t="s">
        <v>205</v>
      </c>
      <c r="C86" s="94">
        <f>C83</f>
        <v>0.21828254847645429</v>
      </c>
      <c r="D86" s="94">
        <f>D83</f>
        <v>0.27809523809523812</v>
      </c>
      <c r="E86" s="93"/>
    </row>
    <row r="87" spans="2:6" x14ac:dyDescent="0.3">
      <c r="B87" t="s">
        <v>203</v>
      </c>
      <c r="C87" s="23">
        <f>C72</f>
        <v>3.1391304347826088</v>
      </c>
      <c r="D87" s="23">
        <f>D72</f>
        <v>4.5652173913043477</v>
      </c>
      <c r="E87" s="93"/>
    </row>
    <row r="88" spans="2:6" ht="15" thickBot="1" x14ac:dyDescent="0.35">
      <c r="B88" t="s">
        <v>201</v>
      </c>
      <c r="C88" s="23">
        <f>C76</f>
        <v>0.68521739130434778</v>
      </c>
      <c r="D88" s="23">
        <f>D76</f>
        <v>1.2695652173913043</v>
      </c>
      <c r="E88" s="93"/>
      <c r="F88" t="s">
        <v>275</v>
      </c>
    </row>
    <row r="89" spans="2:6" ht="15" thickBot="1" x14ac:dyDescent="0.35">
      <c r="C89" s="95" t="b">
        <f>C76=C88</f>
        <v>1</v>
      </c>
      <c r="D89" s="96" t="b">
        <f>D76=D88</f>
        <v>1</v>
      </c>
      <c r="E89" s="93"/>
    </row>
    <row r="90" spans="2:6" x14ac:dyDescent="0.3">
      <c r="C90" s="11"/>
      <c r="D90" s="11"/>
      <c r="E90" s="93"/>
    </row>
    <row r="91" spans="2:6" x14ac:dyDescent="0.3">
      <c r="B91" t="s">
        <v>199</v>
      </c>
      <c r="C91" s="11"/>
      <c r="D91" s="11"/>
      <c r="E91" s="93"/>
    </row>
    <row r="92" spans="2:6" x14ac:dyDescent="0.3">
      <c r="B92" t="s">
        <v>198</v>
      </c>
      <c r="C92" s="11"/>
      <c r="D92" s="11"/>
      <c r="E92" s="93"/>
    </row>
    <row r="93" spans="2:6" x14ac:dyDescent="0.3">
      <c r="C93" s="11"/>
      <c r="D93" s="11"/>
      <c r="E93" s="93"/>
    </row>
    <row r="94" spans="2:6" x14ac:dyDescent="0.3">
      <c r="B94" t="s">
        <v>197</v>
      </c>
      <c r="C94" s="11"/>
      <c r="D94" s="11"/>
      <c r="E94" s="93"/>
    </row>
    <row r="95" spans="2:6" x14ac:dyDescent="0.3">
      <c r="B95" t="s">
        <v>196</v>
      </c>
      <c r="C95" s="11"/>
      <c r="D95" s="11"/>
      <c r="E95" s="93"/>
    </row>
    <row r="96" spans="2:6" x14ac:dyDescent="0.3">
      <c r="B96" t="s">
        <v>195</v>
      </c>
      <c r="C96" s="11"/>
      <c r="D96" s="11"/>
      <c r="E96" s="93"/>
    </row>
    <row r="97" spans="1:6" x14ac:dyDescent="0.3">
      <c r="B97" t="s">
        <v>194</v>
      </c>
      <c r="C97" s="11"/>
      <c r="D97" s="11"/>
      <c r="E97" s="93"/>
    </row>
    <row r="98" spans="1:6" x14ac:dyDescent="0.3">
      <c r="C98" s="11"/>
      <c r="D98" s="11"/>
      <c r="E98" s="93"/>
    </row>
    <row r="99" spans="1:6" x14ac:dyDescent="0.3">
      <c r="A99" t="s">
        <v>0</v>
      </c>
      <c r="B99" t="s">
        <v>193</v>
      </c>
      <c r="C99" s="11"/>
      <c r="D99" s="11"/>
      <c r="E99" s="93"/>
    </row>
    <row r="100" spans="1:6" x14ac:dyDescent="0.3">
      <c r="C100" s="11"/>
      <c r="D100" s="11"/>
      <c r="E100" s="93"/>
    </row>
    <row r="101" spans="1:6" x14ac:dyDescent="0.3">
      <c r="C101" s="11"/>
      <c r="D101" s="11"/>
      <c r="E101" s="93"/>
    </row>
    <row r="102" spans="1:6" x14ac:dyDescent="0.3">
      <c r="C102" s="11"/>
      <c r="D102" s="11"/>
      <c r="E102" s="93"/>
      <c r="F102" s="14" t="s">
        <v>9</v>
      </c>
    </row>
    <row r="103" spans="1:6" x14ac:dyDescent="0.3">
      <c r="C103" s="11"/>
      <c r="D103" s="11"/>
      <c r="E103" s="93"/>
      <c r="F103" t="s">
        <v>274</v>
      </c>
    </row>
    <row r="104" spans="1:6" x14ac:dyDescent="0.3">
      <c r="C104" s="11"/>
      <c r="D104" s="11"/>
      <c r="E104" s="93"/>
      <c r="F104" t="s">
        <v>493</v>
      </c>
    </row>
    <row r="105" spans="1:6" x14ac:dyDescent="0.3">
      <c r="C105" s="11"/>
      <c r="D105" s="11"/>
      <c r="E105" s="93"/>
      <c r="F105" t="s">
        <v>273</v>
      </c>
    </row>
    <row r="106" spans="1:6" ht="28.8" x14ac:dyDescent="0.3">
      <c r="C106" s="86" t="s">
        <v>254</v>
      </c>
      <c r="D106" s="86" t="s">
        <v>258</v>
      </c>
      <c r="E106" s="93" t="s">
        <v>8</v>
      </c>
    </row>
    <row r="107" spans="1:6" x14ac:dyDescent="0.3">
      <c r="B107" t="s">
        <v>262</v>
      </c>
      <c r="C107" s="85">
        <f>C58</f>
        <v>788</v>
      </c>
      <c r="D107" s="28">
        <f>D108*D109</f>
        <v>189.28</v>
      </c>
      <c r="E107" s="104">
        <f>SUM(C107:D107)</f>
        <v>977.28</v>
      </c>
      <c r="F107" t="s">
        <v>272</v>
      </c>
    </row>
    <row r="108" spans="1:6" x14ac:dyDescent="0.3">
      <c r="B108" t="s">
        <v>244</v>
      </c>
      <c r="C108" s="85">
        <f>C59</f>
        <v>7920</v>
      </c>
      <c r="D108" s="85">
        <f>C108*0.2</f>
        <v>1584</v>
      </c>
      <c r="E108" s="104">
        <f>SUM(C108:D108)</f>
        <v>9504</v>
      </c>
      <c r="F108" t="s">
        <v>271</v>
      </c>
    </row>
    <row r="109" spans="1:6" x14ac:dyDescent="0.3">
      <c r="B109" t="s">
        <v>207</v>
      </c>
      <c r="C109" s="97">
        <f>C107/C108</f>
        <v>9.9494949494949497E-2</v>
      </c>
      <c r="D109" s="97">
        <f>C109+0.02</f>
        <v>0.1194949494949495</v>
      </c>
      <c r="E109" s="97">
        <f>E107/E108</f>
        <v>0.10282828282828282</v>
      </c>
      <c r="F109" t="s">
        <v>270</v>
      </c>
    </row>
    <row r="110" spans="1:6" x14ac:dyDescent="0.3">
      <c r="C110" s="11"/>
      <c r="D110" s="11"/>
      <c r="E110" s="93"/>
    </row>
    <row r="111" spans="1:6" x14ac:dyDescent="0.3">
      <c r="B111" t="s">
        <v>244</v>
      </c>
      <c r="C111" s="85">
        <f>C62</f>
        <v>7920</v>
      </c>
      <c r="D111" s="28">
        <f>D108</f>
        <v>1584</v>
      </c>
      <c r="E111" s="104">
        <f>SUM(C111:D111)</f>
        <v>9504</v>
      </c>
      <c r="F111" t="s">
        <v>267</v>
      </c>
    </row>
    <row r="112" spans="1:6" x14ac:dyDescent="0.3">
      <c r="B112" t="s">
        <v>229</v>
      </c>
      <c r="C112" s="85">
        <f>C63</f>
        <v>3610</v>
      </c>
      <c r="D112" s="85">
        <f>D111/D113</f>
        <v>1444</v>
      </c>
      <c r="E112" s="104">
        <f>SUM(C112:D112)</f>
        <v>5054</v>
      </c>
      <c r="F112" t="s">
        <v>269</v>
      </c>
    </row>
    <row r="113" spans="2:6" x14ac:dyDescent="0.3">
      <c r="B113" t="s">
        <v>206</v>
      </c>
      <c r="C113" s="98">
        <f>C111/C112</f>
        <v>2.1939058171745152</v>
      </c>
      <c r="D113" s="98">
        <f>C113*0.5</f>
        <v>1.0969529085872576</v>
      </c>
      <c r="E113" s="98">
        <f>E111/E112</f>
        <v>1.8804907004352989</v>
      </c>
      <c r="F113" t="s">
        <v>268</v>
      </c>
    </row>
    <row r="114" spans="2:6" x14ac:dyDescent="0.3">
      <c r="C114" s="11"/>
      <c r="D114" s="11"/>
      <c r="E114" s="84"/>
    </row>
    <row r="115" spans="2:6" x14ac:dyDescent="0.3">
      <c r="B115" t="s">
        <v>262</v>
      </c>
      <c r="C115" s="85">
        <f>C66</f>
        <v>788</v>
      </c>
      <c r="D115" s="28">
        <f>D107</f>
        <v>189.28</v>
      </c>
      <c r="E115" s="104">
        <f>SUM(C115:D115)</f>
        <v>977.28</v>
      </c>
      <c r="F115" t="s">
        <v>267</v>
      </c>
    </row>
    <row r="116" spans="2:6" x14ac:dyDescent="0.3">
      <c r="B116" t="s">
        <v>229</v>
      </c>
      <c r="C116" s="85">
        <f>C67</f>
        <v>3610</v>
      </c>
      <c r="D116" s="28">
        <f>D112</f>
        <v>1444</v>
      </c>
      <c r="E116" s="104">
        <f>SUM(C116:D116)</f>
        <v>5054</v>
      </c>
      <c r="F116" t="s">
        <v>267</v>
      </c>
    </row>
    <row r="117" spans="2:6" x14ac:dyDescent="0.3">
      <c r="B117" t="s">
        <v>205</v>
      </c>
      <c r="C117" s="97">
        <f>C115/C116</f>
        <v>0.21828254847645429</v>
      </c>
      <c r="D117" s="97">
        <f>D115/D116</f>
        <v>0.1310803324099723</v>
      </c>
      <c r="E117" s="97">
        <f>E115/E116</f>
        <v>0.19336762960031659</v>
      </c>
      <c r="F117" t="s">
        <v>266</v>
      </c>
    </row>
    <row r="118" spans="2:6" x14ac:dyDescent="0.3">
      <c r="C118" s="11"/>
      <c r="D118" s="11"/>
      <c r="E118" s="93"/>
    </row>
    <row r="119" spans="2:6" x14ac:dyDescent="0.3">
      <c r="B119" t="s">
        <v>229</v>
      </c>
      <c r="C119" s="85">
        <f>C70</f>
        <v>3610</v>
      </c>
      <c r="D119" s="28">
        <f>D112</f>
        <v>1444</v>
      </c>
      <c r="E119" s="104">
        <f>SUM(C119:D119)</f>
        <v>5054</v>
      </c>
      <c r="F119" t="s">
        <v>265</v>
      </c>
    </row>
    <row r="120" spans="2:6" x14ac:dyDescent="0.3">
      <c r="B120" t="s">
        <v>211</v>
      </c>
      <c r="C120" s="85">
        <f>C71</f>
        <v>1150</v>
      </c>
      <c r="D120" s="28">
        <f>D124</f>
        <v>276.23350253807109</v>
      </c>
      <c r="E120" s="104">
        <f>SUM(C120:D120)</f>
        <v>1426.2335025380712</v>
      </c>
      <c r="F120" t="s">
        <v>264</v>
      </c>
    </row>
    <row r="121" spans="2:6" x14ac:dyDescent="0.3">
      <c r="B121" t="s">
        <v>203</v>
      </c>
      <c r="C121" s="99">
        <f>C119/C120</f>
        <v>3.1391304347826088</v>
      </c>
      <c r="D121" s="99">
        <f>D119/D120</f>
        <v>5.2274615017089925</v>
      </c>
      <c r="E121" s="97">
        <f>E119/E120</f>
        <v>3.5435992710913693</v>
      </c>
      <c r="F121" t="s">
        <v>263</v>
      </c>
    </row>
    <row r="122" spans="2:6" x14ac:dyDescent="0.3">
      <c r="C122" s="11"/>
      <c r="D122" s="11"/>
      <c r="E122" s="93"/>
    </row>
    <row r="123" spans="2:6" x14ac:dyDescent="0.3">
      <c r="B123" t="s">
        <v>262</v>
      </c>
      <c r="C123" s="85">
        <f>C74</f>
        <v>788</v>
      </c>
      <c r="D123" s="28">
        <f>D115</f>
        <v>189.28</v>
      </c>
      <c r="E123" s="104">
        <f>SUM(C123:D123)</f>
        <v>977.28</v>
      </c>
      <c r="F123" t="s">
        <v>261</v>
      </c>
    </row>
    <row r="124" spans="2:6" x14ac:dyDescent="0.3">
      <c r="B124" t="s">
        <v>211</v>
      </c>
      <c r="C124" s="104">
        <f>C75</f>
        <v>1150</v>
      </c>
      <c r="D124" s="104">
        <f>D123/D125</f>
        <v>276.23350253807109</v>
      </c>
      <c r="E124" s="104">
        <f>SUM(C124:D124)</f>
        <v>1426.2335025380712</v>
      </c>
      <c r="F124" t="s">
        <v>260</v>
      </c>
    </row>
    <row r="125" spans="2:6" x14ac:dyDescent="0.3">
      <c r="B125" t="s">
        <v>201</v>
      </c>
      <c r="C125" s="97">
        <f>C123/C124</f>
        <v>0.68521739130434778</v>
      </c>
      <c r="D125" s="97">
        <f>C125</f>
        <v>0.68521739130434778</v>
      </c>
      <c r="E125" s="97">
        <f>E123/E124</f>
        <v>0.68521739130434778</v>
      </c>
      <c r="F125" t="s">
        <v>259</v>
      </c>
    </row>
    <row r="126" spans="2:6" x14ac:dyDescent="0.3">
      <c r="C126" s="11"/>
      <c r="D126" s="11"/>
      <c r="E126" s="93"/>
    </row>
    <row r="127" spans="2:6" ht="29.4" thickBot="1" x14ac:dyDescent="0.35">
      <c r="C127" s="86" t="s">
        <v>254</v>
      </c>
      <c r="D127" s="86" t="s">
        <v>258</v>
      </c>
      <c r="E127" s="93" t="s">
        <v>8</v>
      </c>
    </row>
    <row r="128" spans="2:6" x14ac:dyDescent="0.3">
      <c r="B128" t="str">
        <f>B109</f>
        <v>Net Profit Margin</v>
      </c>
      <c r="C128" s="100">
        <f>C109</f>
        <v>9.9494949494949497E-2</v>
      </c>
      <c r="D128" s="97">
        <f>D109</f>
        <v>0.1194949494949495</v>
      </c>
      <c r="E128" s="100">
        <f>E109</f>
        <v>0.10282828282828282</v>
      </c>
    </row>
    <row r="129" spans="2:5" x14ac:dyDescent="0.3">
      <c r="B129" t="str">
        <f>B113</f>
        <v>Total Asset Turnover</v>
      </c>
      <c r="C129" s="101">
        <f>C113</f>
        <v>2.1939058171745152</v>
      </c>
      <c r="D129" s="98">
        <f>D113</f>
        <v>1.0969529085872576</v>
      </c>
      <c r="E129" s="101">
        <f>E113</f>
        <v>1.8804907004352989</v>
      </c>
    </row>
    <row r="130" spans="2:5" x14ac:dyDescent="0.3">
      <c r="B130" t="str">
        <f>B117</f>
        <v>Return on Assets</v>
      </c>
      <c r="C130" s="102">
        <f>C117</f>
        <v>0.21828254847645429</v>
      </c>
      <c r="D130" s="97">
        <f>D117</f>
        <v>0.1310803324099723</v>
      </c>
      <c r="E130" s="102">
        <f>E117</f>
        <v>0.19336762960031659</v>
      </c>
    </row>
    <row r="131" spans="2:5" x14ac:dyDescent="0.3">
      <c r="B131" t="str">
        <f>B121</f>
        <v>Total Leverage Ratio</v>
      </c>
      <c r="C131" s="101">
        <f>C121</f>
        <v>3.1391304347826088</v>
      </c>
      <c r="D131" s="98">
        <f>D121</f>
        <v>5.2274615017089925</v>
      </c>
      <c r="E131" s="101">
        <f>E121</f>
        <v>3.5435992710913693</v>
      </c>
    </row>
    <row r="132" spans="2:5" ht="15" thickBot="1" x14ac:dyDescent="0.35">
      <c r="B132" t="str">
        <f>B125</f>
        <v>Return on Equity</v>
      </c>
      <c r="C132" s="103">
        <f>C125</f>
        <v>0.68521739130434778</v>
      </c>
      <c r="D132" s="97">
        <f>D125</f>
        <v>0.68521739130434778</v>
      </c>
      <c r="E132" s="103">
        <f>E125</f>
        <v>0.68521739130434778</v>
      </c>
    </row>
    <row r="133" spans="2:5" x14ac:dyDescent="0.3">
      <c r="E133" s="71"/>
    </row>
    <row r="134" spans="2:5" x14ac:dyDescent="0.3">
      <c r="E134" s="71"/>
    </row>
    <row r="135" spans="2:5" x14ac:dyDescent="0.3">
      <c r="E135" s="71"/>
    </row>
    <row r="136" spans="2:5" x14ac:dyDescent="0.3">
      <c r="E136" s="73"/>
    </row>
    <row r="137" spans="2:5" x14ac:dyDescent="0.3">
      <c r="E137" s="71"/>
    </row>
    <row r="138" spans="2:5" x14ac:dyDescent="0.3">
      <c r="E138" s="71"/>
    </row>
    <row r="139" spans="2:5" x14ac:dyDescent="0.3">
      <c r="E139" s="71"/>
    </row>
    <row r="140" spans="2:5" x14ac:dyDescent="0.3">
      <c r="E140" s="71"/>
    </row>
    <row r="141" spans="2:5" x14ac:dyDescent="0.3">
      <c r="E141" s="71"/>
    </row>
    <row r="142" spans="2:5" x14ac:dyDescent="0.3">
      <c r="E142" s="73"/>
    </row>
    <row r="143" spans="2:5" x14ac:dyDescent="0.3">
      <c r="E143" s="74"/>
    </row>
    <row r="144" spans="2:5" x14ac:dyDescent="0.3">
      <c r="E144" s="72"/>
    </row>
    <row r="145" spans="5:5" x14ac:dyDescent="0.3">
      <c r="E145" s="72"/>
    </row>
    <row r="146" spans="5:5" x14ac:dyDescent="0.3">
      <c r="E146" s="72"/>
    </row>
    <row r="147" spans="5:5" x14ac:dyDescent="0.3">
      <c r="E147" s="72"/>
    </row>
    <row r="148" spans="5:5" x14ac:dyDescent="0.3">
      <c r="E148" s="73"/>
    </row>
    <row r="149" spans="5:5" x14ac:dyDescent="0.3">
      <c r="E149" s="74"/>
    </row>
    <row r="150" spans="5:5" x14ac:dyDescent="0.3">
      <c r="E150" s="72"/>
    </row>
    <row r="151" spans="5:5" x14ac:dyDescent="0.3">
      <c r="E151" s="72"/>
    </row>
    <row r="152" spans="5:5" x14ac:dyDescent="0.3">
      <c r="E152" s="72"/>
    </row>
    <row r="153" spans="5:5" x14ac:dyDescent="0.3">
      <c r="E153" s="72"/>
    </row>
    <row r="154" spans="5:5" x14ac:dyDescent="0.3">
      <c r="E154" s="73"/>
    </row>
    <row r="155" spans="5:5" x14ac:dyDescent="0.3">
      <c r="E155" s="72"/>
    </row>
    <row r="156" spans="5:5" x14ac:dyDescent="0.3">
      <c r="E156" s="72"/>
    </row>
    <row r="157" spans="5:5" x14ac:dyDescent="0.3">
      <c r="E157" s="72"/>
    </row>
    <row r="158" spans="5:5" x14ac:dyDescent="0.3">
      <c r="E158" s="72"/>
    </row>
    <row r="159" spans="5:5" x14ac:dyDescent="0.3">
      <c r="E159" s="72"/>
    </row>
    <row r="160" spans="5:5" x14ac:dyDescent="0.3">
      <c r="E160" s="73"/>
    </row>
    <row r="161" spans="5:5" x14ac:dyDescent="0.3">
      <c r="E161" s="72"/>
    </row>
    <row r="162" spans="5:5" x14ac:dyDescent="0.3">
      <c r="E162" s="72"/>
    </row>
    <row r="163" spans="5:5" x14ac:dyDescent="0.3">
      <c r="E163" s="72"/>
    </row>
    <row r="164" spans="5:5" x14ac:dyDescent="0.3">
      <c r="E164" s="72"/>
    </row>
    <row r="165" spans="5:5" x14ac:dyDescent="0.3">
      <c r="E165" s="72"/>
    </row>
    <row r="166" spans="5:5" x14ac:dyDescent="0.3">
      <c r="E166" s="73"/>
    </row>
    <row r="167" spans="5:5" x14ac:dyDescent="0.3">
      <c r="E167" s="72"/>
    </row>
    <row r="168" spans="5:5" x14ac:dyDescent="0.3">
      <c r="E168" s="72"/>
    </row>
    <row r="169" spans="5:5" x14ac:dyDescent="0.3">
      <c r="E169" s="72"/>
    </row>
    <row r="170" spans="5:5" x14ac:dyDescent="0.3">
      <c r="E170" s="72"/>
    </row>
    <row r="171" spans="5:5" x14ac:dyDescent="0.3">
      <c r="E171" s="72"/>
    </row>
    <row r="172" spans="5:5" x14ac:dyDescent="0.3">
      <c r="E172" s="73"/>
    </row>
    <row r="173" spans="5:5" x14ac:dyDescent="0.3">
      <c r="E173" s="72"/>
    </row>
    <row r="174" spans="5:5" x14ac:dyDescent="0.3">
      <c r="E174" s="72"/>
    </row>
    <row r="175" spans="5:5" x14ac:dyDescent="0.3">
      <c r="E175" s="72"/>
    </row>
    <row r="176" spans="5:5" x14ac:dyDescent="0.3">
      <c r="E176" s="72"/>
    </row>
    <row r="177" spans="5:5" x14ac:dyDescent="0.3">
      <c r="E177" s="72"/>
    </row>
    <row r="178" spans="5:5" x14ac:dyDescent="0.3">
      <c r="E178" s="73"/>
    </row>
    <row r="179" spans="5:5" x14ac:dyDescent="0.3">
      <c r="E179" s="72"/>
    </row>
    <row r="180" spans="5:5" x14ac:dyDescent="0.3">
      <c r="E180" s="72"/>
    </row>
    <row r="181" spans="5:5" x14ac:dyDescent="0.3">
      <c r="E181" s="72"/>
    </row>
    <row r="182" spans="5:5" x14ac:dyDescent="0.3">
      <c r="E182" s="72"/>
    </row>
    <row r="183" spans="5:5" x14ac:dyDescent="0.3">
      <c r="E183" s="72"/>
    </row>
    <row r="184" spans="5:5" x14ac:dyDescent="0.3">
      <c r="E184" s="73"/>
    </row>
    <row r="185" spans="5:5" x14ac:dyDescent="0.3">
      <c r="E185" s="71"/>
    </row>
    <row r="186" spans="5:5" x14ac:dyDescent="0.3">
      <c r="E186" s="71"/>
    </row>
    <row r="187" spans="5:5" x14ac:dyDescent="0.3">
      <c r="E187" s="72"/>
    </row>
    <row r="188" spans="5:5" x14ac:dyDescent="0.3">
      <c r="E188" s="71"/>
    </row>
    <row r="189" spans="5:5" x14ac:dyDescent="0.3">
      <c r="E189" s="71"/>
    </row>
    <row r="190" spans="5:5" x14ac:dyDescent="0.3">
      <c r="E190" s="73"/>
    </row>
    <row r="191" spans="5:5" x14ac:dyDescent="0.3">
      <c r="E191" s="71"/>
    </row>
    <row r="192" spans="5:5" x14ac:dyDescent="0.3">
      <c r="E192" s="71"/>
    </row>
    <row r="193" spans="5:5" x14ac:dyDescent="0.3">
      <c r="E193" s="72"/>
    </row>
    <row r="194" spans="5:5" x14ac:dyDescent="0.3">
      <c r="E194" s="71"/>
    </row>
    <row r="195" spans="5:5" x14ac:dyDescent="0.3">
      <c r="E195" s="71"/>
    </row>
    <row r="196" spans="5:5" x14ac:dyDescent="0.3">
      <c r="E196" s="73"/>
    </row>
    <row r="197" spans="5:5" x14ac:dyDescent="0.3">
      <c r="E197" s="71"/>
    </row>
    <row r="198" spans="5:5" x14ac:dyDescent="0.3">
      <c r="E198" s="71"/>
    </row>
    <row r="199" spans="5:5" x14ac:dyDescent="0.3">
      <c r="E199" s="71"/>
    </row>
    <row r="200" spans="5:5" x14ac:dyDescent="0.3">
      <c r="E200" s="71"/>
    </row>
    <row r="201" spans="5:5" x14ac:dyDescent="0.3">
      <c r="E201" s="71"/>
    </row>
    <row r="202" spans="5:5" x14ac:dyDescent="0.3">
      <c r="E202" s="73"/>
    </row>
    <row r="203" spans="5:5" x14ac:dyDescent="0.3">
      <c r="E203" s="71"/>
    </row>
    <row r="204" spans="5:5" x14ac:dyDescent="0.3">
      <c r="E204" s="71"/>
    </row>
    <row r="205" spans="5:5" x14ac:dyDescent="0.3">
      <c r="E205" s="72"/>
    </row>
    <row r="206" spans="5:5" x14ac:dyDescent="0.3">
      <c r="E206" s="71"/>
    </row>
    <row r="207" spans="5:5" x14ac:dyDescent="0.3">
      <c r="E207" s="71"/>
    </row>
    <row r="208" spans="5:5" x14ac:dyDescent="0.3">
      <c r="E208" s="70"/>
    </row>
    <row r="209" spans="5:5" x14ac:dyDescent="0.3">
      <c r="E209" s="69"/>
    </row>
    <row r="210" spans="5:5" x14ac:dyDescent="0.3">
      <c r="E210" s="69"/>
    </row>
    <row r="211" spans="5:5" x14ac:dyDescent="0.3">
      <c r="E211" s="69"/>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F2E8CF4-3F5E-49E3-BBBD-4A87ED93C937}"/>
</file>

<file path=customXml/itemProps2.xml><?xml version="1.0" encoding="utf-8"?>
<ds:datastoreItem xmlns:ds="http://schemas.openxmlformats.org/officeDocument/2006/customXml" ds:itemID="{CC941A2C-C888-40DB-A966-5958AD610D26}"/>
</file>

<file path=customXml/itemProps3.xml><?xml version="1.0" encoding="utf-8"?>
<ds:datastoreItem xmlns:ds="http://schemas.openxmlformats.org/officeDocument/2006/customXml" ds:itemID="{11135526-6727-4094-8976-A0F1F017335C}"/>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Cover </vt:lpstr>
      <vt:lpstr>Q1 LO 1a-1e 1g Skwire Ch 39</vt:lpstr>
      <vt:lpstr>A1</vt:lpstr>
      <vt:lpstr>Q2 LO 1a-1e 1g Skwire Ch 39</vt:lpstr>
      <vt:lpstr>A2</vt:lpstr>
      <vt:lpstr>Q3 LO 1a-1e 1g Skwire Ch 39</vt:lpstr>
      <vt:lpstr>A3</vt:lpstr>
      <vt:lpstr>Q4 LO 2a 2b 2c Skwire Ch 43</vt:lpstr>
      <vt:lpstr>A4</vt:lpstr>
      <vt:lpstr>Q5 LO 2b 2c 2d CIA SEC</vt:lpstr>
      <vt:lpstr>A5</vt:lpstr>
      <vt:lpstr>Q6 LO 3c Swales Ch 4</vt:lpstr>
      <vt:lpstr>A6 </vt:lpstr>
      <vt:lpstr>Q8 LO 1a-1f GH201-100-25</vt:lpstr>
      <vt:lpstr>A8</vt:lpstr>
      <vt:lpstr>Q9 LO 1a-1f GH201-100-25</vt:lpstr>
      <vt:lpstr>A9</vt:lpstr>
      <vt:lpstr>Q10 LO 1a-1f GH201-100-25</vt:lpstr>
      <vt:lpstr>A10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2025-06-26T14:39:18Z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1ecdf243-b9b0-4f63-8694-76742e4201b7_Enabled">
    <vt:lpwstr>true</vt:lpwstr>
  </property>
  <property fmtid="{D5CDD505-2E9C-101B-9397-08002B2CF9AE}" pid="5" name="MSIP_Label_1ecdf243-b9b0-4f63-8694-76742e4201b7_SetDate">
    <vt:lpwstr>2025-05-26T18:56:48Z</vt:lpwstr>
  </property>
  <property fmtid="{D5CDD505-2E9C-101B-9397-08002B2CF9AE}" pid="6" name="MSIP_Label_1ecdf243-b9b0-4f63-8694-76742e4201b7_Method">
    <vt:lpwstr>Standard</vt:lpwstr>
  </property>
  <property fmtid="{D5CDD505-2E9C-101B-9397-08002B2CF9AE}" pid="7" name="MSIP_Label_1ecdf243-b9b0-4f63-8694-76742e4201b7_Name">
    <vt:lpwstr>Proprietary general</vt:lpwstr>
  </property>
  <property fmtid="{D5CDD505-2E9C-101B-9397-08002B2CF9AE}" pid="8" name="MSIP_Label_1ecdf243-b9b0-4f63-8694-76742e4201b7_SiteId">
    <vt:lpwstr>fabb61b8-3afe-4e75-b934-a47f782b8cd7</vt:lpwstr>
  </property>
  <property fmtid="{D5CDD505-2E9C-101B-9397-08002B2CF9AE}" pid="9" name="MSIP_Label_1ecdf243-b9b0-4f63-8694-76742e4201b7_ActionId">
    <vt:lpwstr>5b459eae-53fc-4b60-b772-13e127f8f777</vt:lpwstr>
  </property>
  <property fmtid="{D5CDD505-2E9C-101B-9397-08002B2CF9AE}" pid="10" name="MSIP_Label_1ecdf243-b9b0-4f63-8694-76742e4201b7_ContentBits">
    <vt:lpwstr>0</vt:lpwstr>
  </property>
  <property fmtid="{D5CDD505-2E9C-101B-9397-08002B2CF9AE}" pid="11" name="MSIP_Label_5758520d-550d-4582-9d54-20c7a1f3bf90_Enabled">
    <vt:lpwstr>true</vt:lpwstr>
  </property>
  <property fmtid="{D5CDD505-2E9C-101B-9397-08002B2CF9AE}" pid="12" name="MSIP_Label_5758520d-550d-4582-9d54-20c7a1f3bf90_SetDate">
    <vt:lpwstr>2025-06-01T22:14:45Z</vt:lpwstr>
  </property>
  <property fmtid="{D5CDD505-2E9C-101B-9397-08002B2CF9AE}" pid="13" name="MSIP_Label_5758520d-550d-4582-9d54-20c7a1f3bf90_Method">
    <vt:lpwstr>Privileged</vt:lpwstr>
  </property>
  <property fmtid="{D5CDD505-2E9C-101B-9397-08002B2CF9AE}" pid="14" name="MSIP_Label_5758520d-550d-4582-9d54-20c7a1f3bf90_Name">
    <vt:lpwstr>Confidential</vt:lpwstr>
  </property>
  <property fmtid="{D5CDD505-2E9C-101B-9397-08002B2CF9AE}" pid="15" name="MSIP_Label_5758520d-550d-4582-9d54-20c7a1f3bf90_SiteId">
    <vt:lpwstr>3425dff1-3121-4de4-a918-893fc94ebbbc</vt:lpwstr>
  </property>
  <property fmtid="{D5CDD505-2E9C-101B-9397-08002B2CF9AE}" pid="16" name="MSIP_Label_5758520d-550d-4582-9d54-20c7a1f3bf90_ActionId">
    <vt:lpwstr>8c605f45-af35-404e-9027-4318d77d5adc</vt:lpwstr>
  </property>
  <property fmtid="{D5CDD505-2E9C-101B-9397-08002B2CF9AE}" pid="17" name="MSIP_Label_5758520d-550d-4582-9d54-20c7a1f3bf90_ContentBits">
    <vt:lpwstr>0</vt:lpwstr>
  </property>
  <property fmtid="{D5CDD505-2E9C-101B-9397-08002B2CF9AE}" pid="18" name="MSIP_Label_5758520d-550d-4582-9d54-20c7a1f3bf90_Tag">
    <vt:lpwstr>10, 0, 1, 1</vt:lpwstr>
  </property>
  <property fmtid="{D5CDD505-2E9C-101B-9397-08002B2CF9AE}" pid="19" name="ContentTypeId">
    <vt:lpwstr>0x010100F6AE639BB4E74542A43DE6E767DBCE18</vt:lpwstr>
  </property>
</Properties>
</file>