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8.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docProps/custom.xml" ContentType="application/vnd.openxmlformats-officedocument.custom-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202300"/>
  <mc:AlternateContent xmlns:mc="http://schemas.openxmlformats.org/markup-compatibility/2006">
    <mc:Choice Requires="x15">
      <x15ac:absPath xmlns:x15ac="http://schemas.microsoft.com/office/spreadsheetml/2010/11/ac" url="https://societyofactuaries-my.sharepoint.com/personal/dnorris_soa_org/Documents/Documents/Projects/2025-26 Curriculum/FINAL GUIDED EXAMPLES/Fully Assembled/"/>
    </mc:Choice>
  </mc:AlternateContent>
  <xr:revisionPtr revIDLastSave="11" documentId="8_{4D5C5BE7-A54A-4D30-9BDD-DA3C4308830B}" xr6:coauthVersionLast="47" xr6:coauthVersionMax="47" xr10:uidLastSave="{021AC10A-2E85-4B72-B234-D29127121919}"/>
  <bookViews>
    <workbookView xWindow="28680" yWindow="-120" windowWidth="38640" windowHeight="21120" tabRatio="832" xr2:uid="{0C7824ED-9CF7-4E96-92E0-7997D45C1D36}"/>
  </bookViews>
  <sheets>
    <sheet name="Cover " sheetId="23" r:id="rId1"/>
    <sheet name="Table of Contents" sheetId="22" r:id="rId2"/>
    <sheet name="Q1" sheetId="2" r:id="rId3"/>
    <sheet name="A1" sheetId="3" r:id="rId4"/>
    <sheet name="Q2" sheetId="4" r:id="rId5"/>
    <sheet name="A2" sheetId="5" r:id="rId6"/>
    <sheet name="Q3" sheetId="6" r:id="rId7"/>
    <sheet name="A3" sheetId="7" r:id="rId8"/>
    <sheet name="Q4" sheetId="8" r:id="rId9"/>
    <sheet name="A4" sheetId="9" r:id="rId10"/>
    <sheet name="Q5" sheetId="10" r:id="rId11"/>
    <sheet name="A5" sheetId="11" r:id="rId12"/>
    <sheet name="Q6" sheetId="12" r:id="rId13"/>
    <sheet name="A6" sheetId="13" r:id="rId14"/>
    <sheet name="Q7" sheetId="14" r:id="rId15"/>
    <sheet name="A7" sheetId="15" r:id="rId16"/>
    <sheet name="Q8" sheetId="16" r:id="rId17"/>
    <sheet name="A8" sheetId="17" r:id="rId18"/>
    <sheet name="Q9" sheetId="18" r:id="rId19"/>
    <sheet name="A9" sheetId="19" r:id="rId20"/>
    <sheet name="Q10" sheetId="20" r:id="rId21"/>
    <sheet name="A10" sheetId="21" r:id="rId2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8" i="3" l="1"/>
  <c r="I81" i="11"/>
  <c r="I80" i="11"/>
  <c r="I79" i="11"/>
  <c r="I78" i="11"/>
  <c r="H55" i="19"/>
  <c r="G55" i="19"/>
  <c r="F55" i="19"/>
  <c r="E55" i="19"/>
  <c r="D55" i="19"/>
  <c r="D56" i="19" s="1"/>
  <c r="D57" i="19" s="1"/>
  <c r="C55" i="19"/>
  <c r="C56" i="19" s="1"/>
  <c r="C57" i="19" s="1"/>
  <c r="E57" i="19"/>
  <c r="H56" i="19"/>
  <c r="H57" i="19" s="1"/>
  <c r="G56" i="19"/>
  <c r="G57" i="19" s="1"/>
  <c r="F56" i="19"/>
  <c r="F57" i="19" s="1"/>
  <c r="E56" i="19"/>
  <c r="F47" i="19"/>
  <c r="E47" i="19"/>
  <c r="D47" i="19"/>
  <c r="C47" i="19"/>
  <c r="H46" i="19"/>
  <c r="H47" i="19" s="1"/>
  <c r="G46" i="19"/>
  <c r="G47" i="19" s="1"/>
  <c r="F46" i="19"/>
  <c r="E46" i="19"/>
  <c r="D46" i="19"/>
  <c r="C46" i="19"/>
  <c r="F85" i="17"/>
  <c r="B95" i="17"/>
  <c r="B94" i="17"/>
  <c r="B87" i="17"/>
  <c r="B86" i="17"/>
  <c r="H78" i="17"/>
  <c r="E66" i="17"/>
  <c r="D66" i="17"/>
  <c r="C66" i="17"/>
  <c r="B66" i="17"/>
  <c r="B84" i="17" s="1"/>
  <c r="B77" i="17"/>
  <c r="B76" i="17"/>
  <c r="B75" i="17"/>
  <c r="B93" i="17" s="1"/>
  <c r="B74" i="17"/>
  <c r="B92" i="17" s="1"/>
  <c r="B73" i="17"/>
  <c r="B91" i="17" s="1"/>
  <c r="B72" i="17"/>
  <c r="B90" i="17" s="1"/>
  <c r="B71" i="17"/>
  <c r="B89" i="17" s="1"/>
  <c r="B70" i="17"/>
  <c r="B88" i="17" s="1"/>
  <c r="B69" i="17"/>
  <c r="B68" i="17"/>
  <c r="B67" i="17"/>
  <c r="B85" i="17" s="1"/>
  <c r="E42" i="17"/>
  <c r="E67" i="17" s="1"/>
  <c r="E52" i="17"/>
  <c r="E77" i="17" s="1"/>
  <c r="D52" i="17"/>
  <c r="D77" i="17" s="1"/>
  <c r="G77" i="17" s="1"/>
  <c r="C52" i="17"/>
  <c r="C77" i="17" s="1"/>
  <c r="F77" i="17" s="1"/>
  <c r="I77" i="17" s="1"/>
  <c r="E95" i="17" s="1"/>
  <c r="E51" i="17"/>
  <c r="E76" i="17" s="1"/>
  <c r="D51" i="17"/>
  <c r="D76" i="17" s="1"/>
  <c r="G76" i="17" s="1"/>
  <c r="C51" i="17"/>
  <c r="C76" i="17" s="1"/>
  <c r="F76" i="17" s="1"/>
  <c r="I76" i="17" s="1"/>
  <c r="E94" i="17" s="1"/>
  <c r="E50" i="17"/>
  <c r="E75" i="17" s="1"/>
  <c r="D50" i="17"/>
  <c r="D75" i="17" s="1"/>
  <c r="G75" i="17" s="1"/>
  <c r="C50" i="17"/>
  <c r="C75" i="17" s="1"/>
  <c r="F75" i="17" s="1"/>
  <c r="I75" i="17" s="1"/>
  <c r="E93" i="17" s="1"/>
  <c r="E49" i="17"/>
  <c r="E74" i="17" s="1"/>
  <c r="D49" i="17"/>
  <c r="D74" i="17" s="1"/>
  <c r="G74" i="17" s="1"/>
  <c r="C49" i="17"/>
  <c r="C74" i="17" s="1"/>
  <c r="F74" i="17" s="1"/>
  <c r="I74" i="17" s="1"/>
  <c r="E92" i="17" s="1"/>
  <c r="E48" i="17"/>
  <c r="E73" i="17" s="1"/>
  <c r="D48" i="17"/>
  <c r="D73" i="17" s="1"/>
  <c r="G73" i="17" s="1"/>
  <c r="C48" i="17"/>
  <c r="C73" i="17" s="1"/>
  <c r="F73" i="17" s="1"/>
  <c r="I73" i="17" s="1"/>
  <c r="E91" i="17" s="1"/>
  <c r="E47" i="17"/>
  <c r="E72" i="17" s="1"/>
  <c r="D47" i="17"/>
  <c r="D72" i="17" s="1"/>
  <c r="G72" i="17" s="1"/>
  <c r="C47" i="17"/>
  <c r="C72" i="17" s="1"/>
  <c r="F72" i="17" s="1"/>
  <c r="I72" i="17" s="1"/>
  <c r="E90" i="17" s="1"/>
  <c r="E46" i="17"/>
  <c r="E71" i="17" s="1"/>
  <c r="D46" i="17"/>
  <c r="D71" i="17" s="1"/>
  <c r="D78" i="17" s="1"/>
  <c r="C46" i="17"/>
  <c r="C71" i="17" s="1"/>
  <c r="F71" i="17" s="1"/>
  <c r="I71" i="17" s="1"/>
  <c r="E89" i="17" s="1"/>
  <c r="E45" i="17"/>
  <c r="E70" i="17" s="1"/>
  <c r="D45" i="17"/>
  <c r="D70" i="17" s="1"/>
  <c r="G70" i="17" s="1"/>
  <c r="C45" i="17"/>
  <c r="C70" i="17" s="1"/>
  <c r="F70" i="17" s="1"/>
  <c r="I70" i="17" s="1"/>
  <c r="E88" i="17" s="1"/>
  <c r="E44" i="17"/>
  <c r="E69" i="17" s="1"/>
  <c r="D44" i="17"/>
  <c r="D69" i="17" s="1"/>
  <c r="G69" i="17" s="1"/>
  <c r="C44" i="17"/>
  <c r="C69" i="17" s="1"/>
  <c r="F69" i="17" s="1"/>
  <c r="I69" i="17" s="1"/>
  <c r="E87" i="17" s="1"/>
  <c r="E43" i="17"/>
  <c r="E68" i="17" s="1"/>
  <c r="E78" i="17" s="1"/>
  <c r="D43" i="17"/>
  <c r="D68" i="17" s="1"/>
  <c r="G68" i="17" s="1"/>
  <c r="C43" i="17"/>
  <c r="C68" i="17" s="1"/>
  <c r="F68" i="17" s="1"/>
  <c r="I68" i="17" s="1"/>
  <c r="E86" i="17" s="1"/>
  <c r="E30" i="16"/>
  <c r="D31" i="16"/>
  <c r="D32" i="16" s="1"/>
  <c r="D33" i="16" s="1"/>
  <c r="D34" i="16" s="1"/>
  <c r="D35" i="16" s="1"/>
  <c r="D36" i="16" s="1"/>
  <c r="D37" i="16" s="1"/>
  <c r="D38" i="16" s="1"/>
  <c r="D39" i="16" s="1"/>
  <c r="C31" i="16"/>
  <c r="C32" i="16" s="1"/>
  <c r="E32" i="16" s="1"/>
  <c r="D141" i="15"/>
  <c r="D110" i="15"/>
  <c r="D111" i="15" s="1"/>
  <c r="F78" i="17" l="1"/>
  <c r="G71" i="17"/>
  <c r="G78" i="17" s="1"/>
  <c r="D81" i="17" s="1"/>
  <c r="D86" i="17" s="1"/>
  <c r="C78" i="17"/>
  <c r="D80" i="17" s="1"/>
  <c r="C86" i="17" s="1"/>
  <c r="C87" i="17" s="1"/>
  <c r="E31" i="16"/>
  <c r="C33" i="16"/>
  <c r="D142" i="15"/>
  <c r="D112" i="15"/>
  <c r="F87" i="17" l="1"/>
  <c r="C88" i="17"/>
  <c r="D87" i="17"/>
  <c r="D88" i="17" s="1"/>
  <c r="D89" i="17" s="1"/>
  <c r="D90" i="17" s="1"/>
  <c r="D91" i="17" s="1"/>
  <c r="D92" i="17" s="1"/>
  <c r="D93" i="17" s="1"/>
  <c r="D94" i="17" s="1"/>
  <c r="D95" i="17" s="1"/>
  <c r="F86" i="17"/>
  <c r="C89" i="17"/>
  <c r="F88" i="17"/>
  <c r="E33" i="16"/>
  <c r="C34" i="16"/>
  <c r="D143" i="15"/>
  <c r="D113" i="15"/>
  <c r="C90" i="17" l="1"/>
  <c r="F89" i="17"/>
  <c r="E34" i="16"/>
  <c r="C35" i="16"/>
  <c r="D144" i="15"/>
  <c r="D114" i="15"/>
  <c r="C91" i="17" l="1"/>
  <c r="F90" i="17"/>
  <c r="E35" i="16"/>
  <c r="C36" i="16"/>
  <c r="D145" i="15"/>
  <c r="D115" i="15"/>
  <c r="D67" i="15"/>
  <c r="E67" i="15" s="1"/>
  <c r="E129" i="15" s="1"/>
  <c r="D66" i="15"/>
  <c r="E66" i="15" s="1"/>
  <c r="E128" i="15" s="1"/>
  <c r="D65" i="15"/>
  <c r="E65" i="15" s="1"/>
  <c r="E127" i="15" s="1"/>
  <c r="G153" i="15" s="1"/>
  <c r="D64" i="15"/>
  <c r="E64" i="15" s="1"/>
  <c r="E126" i="15" s="1"/>
  <c r="D63" i="15"/>
  <c r="E63" i="15" s="1"/>
  <c r="E125" i="15" s="1"/>
  <c r="D62" i="15"/>
  <c r="E62" i="15" s="1"/>
  <c r="E124" i="15" s="1"/>
  <c r="D61" i="15"/>
  <c r="E61" i="15" s="1"/>
  <c r="E123" i="15" s="1"/>
  <c r="D60" i="15"/>
  <c r="E60" i="15" s="1"/>
  <c r="E122" i="15" s="1"/>
  <c r="D59" i="15"/>
  <c r="E59" i="15" s="1"/>
  <c r="E121" i="15" s="1"/>
  <c r="D58" i="15"/>
  <c r="E58" i="15" s="1"/>
  <c r="E120" i="15" s="1"/>
  <c r="D57" i="15"/>
  <c r="E57" i="15" s="1"/>
  <c r="E119" i="15" s="1"/>
  <c r="G145" i="15" s="1"/>
  <c r="H145" i="15" s="1"/>
  <c r="D56" i="15"/>
  <c r="E56" i="15" s="1"/>
  <c r="E118" i="15" s="1"/>
  <c r="D55" i="15"/>
  <c r="E55" i="15" s="1"/>
  <c r="E117" i="15" s="1"/>
  <c r="D54" i="15"/>
  <c r="E54" i="15" s="1"/>
  <c r="E116" i="15" s="1"/>
  <c r="D53" i="15"/>
  <c r="E53" i="15" s="1"/>
  <c r="E115" i="15" s="1"/>
  <c r="D52" i="15"/>
  <c r="E52" i="15" s="1"/>
  <c r="E114" i="15" s="1"/>
  <c r="D51" i="15"/>
  <c r="E51" i="15" s="1"/>
  <c r="E113" i="15" s="1"/>
  <c r="D50" i="15"/>
  <c r="E50" i="15" s="1"/>
  <c r="E112" i="15" s="1"/>
  <c r="D49" i="15"/>
  <c r="E49" i="15" s="1"/>
  <c r="E111" i="15" s="1"/>
  <c r="D48" i="15"/>
  <c r="E48" i="15" s="1"/>
  <c r="E110" i="15" s="1"/>
  <c r="E155" i="15"/>
  <c r="E154" i="15"/>
  <c r="E153" i="15"/>
  <c r="E152" i="15"/>
  <c r="E151" i="15"/>
  <c r="E150" i="15"/>
  <c r="E149" i="15"/>
  <c r="E148" i="15"/>
  <c r="E147" i="15"/>
  <c r="E146" i="15"/>
  <c r="E145" i="15"/>
  <c r="E144" i="15"/>
  <c r="E143" i="15"/>
  <c r="E142" i="15"/>
  <c r="E141" i="15"/>
  <c r="C21" i="14"/>
  <c r="D82" i="13"/>
  <c r="C82" i="13"/>
  <c r="D81" i="13"/>
  <c r="C81" i="13"/>
  <c r="D80" i="13"/>
  <c r="C80" i="13"/>
  <c r="D79" i="13"/>
  <c r="C79" i="13"/>
  <c r="D78" i="13"/>
  <c r="C78" i="13"/>
  <c r="D77" i="13"/>
  <c r="C77" i="13"/>
  <c r="D76" i="13"/>
  <c r="C76" i="13"/>
  <c r="D75" i="13"/>
  <c r="C75" i="13"/>
  <c r="D74" i="13"/>
  <c r="C74" i="13"/>
  <c r="D73" i="13"/>
  <c r="C73" i="13"/>
  <c r="D72" i="13"/>
  <c r="C72" i="13"/>
  <c r="D71" i="13"/>
  <c r="C71" i="13"/>
  <c r="D70" i="13"/>
  <c r="C70" i="13"/>
  <c r="D69" i="13"/>
  <c r="C69" i="13"/>
  <c r="D68" i="13"/>
  <c r="C68" i="13"/>
  <c r="F68" i="13" s="1"/>
  <c r="D67" i="13"/>
  <c r="C67" i="13"/>
  <c r="D66" i="13"/>
  <c r="C66" i="13"/>
  <c r="D65" i="13"/>
  <c r="C65" i="13"/>
  <c r="D64" i="13"/>
  <c r="C64" i="13"/>
  <c r="D63" i="13"/>
  <c r="C63" i="13"/>
  <c r="C92" i="17" l="1"/>
  <c r="F91" i="17"/>
  <c r="E36" i="16"/>
  <c r="C37" i="16"/>
  <c r="F141" i="15"/>
  <c r="F142" i="15" s="1"/>
  <c r="F143" i="15" s="1"/>
  <c r="F144" i="15" s="1"/>
  <c r="F145" i="15" s="1"/>
  <c r="F146" i="15" s="1"/>
  <c r="F147" i="15" s="1"/>
  <c r="F148" i="15" s="1"/>
  <c r="F149" i="15" s="1"/>
  <c r="F150" i="15" s="1"/>
  <c r="F151" i="15" s="1"/>
  <c r="F152" i="15" s="1"/>
  <c r="F153" i="15" s="1"/>
  <c r="F154" i="15" s="1"/>
  <c r="F155" i="15" s="1"/>
  <c r="I149" i="15"/>
  <c r="I155" i="15"/>
  <c r="G143" i="15"/>
  <c r="H143" i="15" s="1"/>
  <c r="G151" i="15"/>
  <c r="G144" i="15"/>
  <c r="H144" i="15" s="1"/>
  <c r="G152" i="15"/>
  <c r="I152" i="15" s="1"/>
  <c r="I150" i="15"/>
  <c r="G146" i="15"/>
  <c r="H146" i="15" s="1"/>
  <c r="F128" i="15"/>
  <c r="G154" i="15"/>
  <c r="I154" i="15" s="1"/>
  <c r="I151" i="15"/>
  <c r="G147" i="15"/>
  <c r="I147" i="15" s="1"/>
  <c r="F129" i="15"/>
  <c r="G155" i="15"/>
  <c r="I145" i="15"/>
  <c r="G149" i="15"/>
  <c r="G148" i="15"/>
  <c r="I148" i="15" s="1"/>
  <c r="I153" i="15"/>
  <c r="G141" i="15"/>
  <c r="H141" i="15" s="1"/>
  <c r="G142" i="15"/>
  <c r="H142" i="15" s="1"/>
  <c r="G150" i="15"/>
  <c r="D146" i="15"/>
  <c r="F120" i="15"/>
  <c r="F112" i="15"/>
  <c r="G112" i="15" s="1"/>
  <c r="F113" i="15"/>
  <c r="G113" i="15" s="1"/>
  <c r="F122" i="15"/>
  <c r="F121" i="15"/>
  <c r="F114" i="15"/>
  <c r="G114" i="15" s="1"/>
  <c r="F115" i="15"/>
  <c r="G115" i="15" s="1"/>
  <c r="F123" i="15"/>
  <c r="F117" i="15"/>
  <c r="F125" i="15"/>
  <c r="F110" i="15"/>
  <c r="G110" i="15" s="1"/>
  <c r="F118" i="15"/>
  <c r="F126" i="15"/>
  <c r="F124" i="15"/>
  <c r="F111" i="15"/>
  <c r="G111" i="15" s="1"/>
  <c r="F116" i="15"/>
  <c r="G116" i="15" s="1"/>
  <c r="F119" i="15"/>
  <c r="F127" i="15"/>
  <c r="D116" i="15"/>
  <c r="E68" i="15"/>
  <c r="E70" i="15" s="1"/>
  <c r="E73" i="15" s="1"/>
  <c r="C22" i="14"/>
  <c r="E68" i="13"/>
  <c r="F70" i="13"/>
  <c r="F69" i="13"/>
  <c r="D27" i="6"/>
  <c r="C27" i="6"/>
  <c r="C26" i="7" s="1"/>
  <c r="C52" i="7" s="1"/>
  <c r="C83" i="7" s="1"/>
  <c r="D26" i="6"/>
  <c r="C26" i="6"/>
  <c r="C25" i="6" s="1"/>
  <c r="C24" i="7" s="1"/>
  <c r="C50" i="7" s="1"/>
  <c r="C81" i="7" s="1"/>
  <c r="C111" i="7"/>
  <c r="F95" i="7"/>
  <c r="E95" i="7"/>
  <c r="A69" i="7"/>
  <c r="A99" i="7" s="1"/>
  <c r="D124" i="7"/>
  <c r="C124" i="7"/>
  <c r="D121" i="7"/>
  <c r="C121" i="7"/>
  <c r="D116" i="7"/>
  <c r="C116" i="7"/>
  <c r="D115" i="7"/>
  <c r="C115" i="7"/>
  <c r="D94" i="7"/>
  <c r="C94" i="7"/>
  <c r="D90" i="7"/>
  <c r="C90" i="7"/>
  <c r="D37" i="7"/>
  <c r="D63" i="7" s="1"/>
  <c r="C37" i="7"/>
  <c r="C63" i="7" s="1"/>
  <c r="D36" i="7"/>
  <c r="D62" i="7" s="1"/>
  <c r="C36" i="7"/>
  <c r="C62" i="7" s="1"/>
  <c r="D33" i="7"/>
  <c r="D59" i="7" s="1"/>
  <c r="C33" i="7"/>
  <c r="C59" i="7" s="1"/>
  <c r="C28" i="7"/>
  <c r="E54" i="7" s="1"/>
  <c r="C27" i="7"/>
  <c r="C53" i="7" s="1"/>
  <c r="D23" i="7"/>
  <c r="D49" i="7" s="1"/>
  <c r="D80" i="7" s="1"/>
  <c r="C23" i="7"/>
  <c r="C49" i="7" s="1"/>
  <c r="C80" i="7" s="1"/>
  <c r="D29" i="6"/>
  <c r="D28" i="7" s="1"/>
  <c r="D54" i="7" s="1"/>
  <c r="D28" i="6"/>
  <c r="D27" i="7" s="1"/>
  <c r="D53" i="7" s="1"/>
  <c r="D25" i="7"/>
  <c r="F51" i="7" s="1"/>
  <c r="I77" i="11"/>
  <c r="G81" i="11"/>
  <c r="G80" i="11"/>
  <c r="G79" i="11"/>
  <c r="G78" i="11"/>
  <c r="G77" i="11"/>
  <c r="F81" i="11"/>
  <c r="F80" i="11"/>
  <c r="F79" i="11"/>
  <c r="F78" i="11"/>
  <c r="F77" i="11"/>
  <c r="E81" i="11"/>
  <c r="E80" i="11"/>
  <c r="E79" i="11"/>
  <c r="E78" i="11"/>
  <c r="E77" i="11"/>
  <c r="E69" i="11"/>
  <c r="F69" i="11" s="1"/>
  <c r="G69" i="11" s="1"/>
  <c r="H69" i="11" s="1"/>
  <c r="I69" i="11" s="1"/>
  <c r="E68" i="11"/>
  <c r="F68" i="11" s="1"/>
  <c r="G68" i="11" s="1"/>
  <c r="H68" i="11" s="1"/>
  <c r="I68" i="11" s="1"/>
  <c r="E67" i="11"/>
  <c r="F67" i="11" s="1"/>
  <c r="G67" i="11" s="1"/>
  <c r="H67" i="11" s="1"/>
  <c r="I67" i="11" s="1"/>
  <c r="E66" i="11"/>
  <c r="F66" i="11" s="1"/>
  <c r="G66" i="11" s="1"/>
  <c r="H66" i="11" s="1"/>
  <c r="I66" i="11" s="1"/>
  <c r="E65" i="11"/>
  <c r="F65" i="11" s="1"/>
  <c r="G65" i="11" s="1"/>
  <c r="H65" i="11" s="1"/>
  <c r="I65" i="11" s="1"/>
  <c r="I70" i="11" s="1"/>
  <c r="D87" i="9"/>
  <c r="C87" i="9"/>
  <c r="D86" i="9"/>
  <c r="D85" i="9"/>
  <c r="D84" i="9"/>
  <c r="D83" i="9"/>
  <c r="D82" i="9"/>
  <c r="D81" i="9"/>
  <c r="D80" i="9"/>
  <c r="D79" i="9"/>
  <c r="D78" i="9"/>
  <c r="D77" i="9"/>
  <c r="D76" i="9"/>
  <c r="C86" i="9"/>
  <c r="C85" i="9"/>
  <c r="C84" i="9"/>
  <c r="C83" i="9"/>
  <c r="C82" i="9"/>
  <c r="C81" i="9"/>
  <c r="C80" i="9"/>
  <c r="C76" i="9"/>
  <c r="D63" i="9"/>
  <c r="D53" i="9"/>
  <c r="D51" i="9"/>
  <c r="D52" i="9" s="1"/>
  <c r="D61" i="9" s="1"/>
  <c r="J76" i="5"/>
  <c r="H80" i="5"/>
  <c r="H79" i="5"/>
  <c r="H78" i="5"/>
  <c r="H77" i="5"/>
  <c r="H76" i="5"/>
  <c r="H75" i="5"/>
  <c r="H74" i="5"/>
  <c r="H73" i="5"/>
  <c r="H72" i="5"/>
  <c r="H71" i="5"/>
  <c r="H70" i="5"/>
  <c r="H69" i="5"/>
  <c r="D81" i="5"/>
  <c r="F80" i="5"/>
  <c r="J80" i="5" s="1"/>
  <c r="F79" i="5"/>
  <c r="J79" i="5" s="1"/>
  <c r="F78" i="5"/>
  <c r="J78" i="5" s="1"/>
  <c r="F77" i="5"/>
  <c r="J77" i="5" s="1"/>
  <c r="K77" i="5" s="1"/>
  <c r="F76" i="5"/>
  <c r="F75" i="5"/>
  <c r="J75" i="5" s="1"/>
  <c r="F74" i="5"/>
  <c r="J74" i="5" s="1"/>
  <c r="F73" i="5"/>
  <c r="J73" i="5" s="1"/>
  <c r="F72" i="5"/>
  <c r="J72" i="5" s="1"/>
  <c r="F71" i="5"/>
  <c r="J71" i="5" s="1"/>
  <c r="F70" i="5"/>
  <c r="J70" i="5" s="1"/>
  <c r="F69" i="5"/>
  <c r="J69" i="5" s="1"/>
  <c r="D61" i="5"/>
  <c r="H60" i="5"/>
  <c r="I60" i="5" s="1"/>
  <c r="J60" i="5" s="1"/>
  <c r="K60" i="5" s="1"/>
  <c r="H59" i="5"/>
  <c r="I59" i="5" s="1"/>
  <c r="H58" i="5"/>
  <c r="I58" i="5" s="1"/>
  <c r="H57" i="5"/>
  <c r="I57" i="5" s="1"/>
  <c r="H56" i="5"/>
  <c r="I56" i="5" s="1"/>
  <c r="H55" i="5"/>
  <c r="I55" i="5" s="1"/>
  <c r="H54" i="5"/>
  <c r="I54" i="5" s="1"/>
  <c r="J54" i="5" s="1"/>
  <c r="K54" i="5" s="1"/>
  <c r="H53" i="5"/>
  <c r="I53" i="5" s="1"/>
  <c r="H52" i="5"/>
  <c r="I52" i="5" s="1"/>
  <c r="J52" i="5" s="1"/>
  <c r="K52" i="5" s="1"/>
  <c r="H51" i="5"/>
  <c r="I51" i="5" s="1"/>
  <c r="H50" i="5"/>
  <c r="I50" i="5" s="1"/>
  <c r="H49" i="5"/>
  <c r="F60" i="5"/>
  <c r="F59" i="5"/>
  <c r="F58" i="5"/>
  <c r="F57" i="5"/>
  <c r="F56" i="5"/>
  <c r="F55" i="5"/>
  <c r="F54" i="5"/>
  <c r="F53" i="5"/>
  <c r="F52" i="5"/>
  <c r="F51" i="5"/>
  <c r="F50" i="5"/>
  <c r="F49" i="5"/>
  <c r="L53" i="5" l="1"/>
  <c r="M53" i="5" s="1"/>
  <c r="C25" i="7"/>
  <c r="E51" i="7" s="1"/>
  <c r="E82" i="7" s="1"/>
  <c r="C93" i="17"/>
  <c r="F92" i="17"/>
  <c r="E37" i="16"/>
  <c r="C38" i="16"/>
  <c r="D147" i="15"/>
  <c r="H147" i="15"/>
  <c r="I146" i="15"/>
  <c r="I142" i="15"/>
  <c r="I144" i="15"/>
  <c r="I141" i="15"/>
  <c r="I143" i="15"/>
  <c r="D117" i="15"/>
  <c r="G117" i="15"/>
  <c r="C23" i="14"/>
  <c r="E67" i="13"/>
  <c r="F67" i="13"/>
  <c r="E69" i="13"/>
  <c r="E70" i="13"/>
  <c r="F71" i="13"/>
  <c r="E71" i="13"/>
  <c r="C36" i="6"/>
  <c r="D26" i="7"/>
  <c r="D52" i="7" s="1"/>
  <c r="D83" i="7" s="1"/>
  <c r="F82" i="7"/>
  <c r="F113" i="7"/>
  <c r="I104" i="7"/>
  <c r="D25" i="6"/>
  <c r="D24" i="7" s="1"/>
  <c r="F50" i="7" s="1"/>
  <c r="F112" i="7" s="1"/>
  <c r="D111" i="7"/>
  <c r="E113" i="7"/>
  <c r="C112" i="7"/>
  <c r="C114" i="7"/>
  <c r="H104" i="7"/>
  <c r="C104" i="7"/>
  <c r="H73" i="7"/>
  <c r="H74" i="7"/>
  <c r="I73" i="7"/>
  <c r="I74" i="7"/>
  <c r="C54" i="7"/>
  <c r="E52" i="7"/>
  <c r="E114" i="7" s="1"/>
  <c r="F49" i="7"/>
  <c r="F53" i="7"/>
  <c r="F59" i="7"/>
  <c r="E62" i="7"/>
  <c r="F63" i="7"/>
  <c r="C51" i="7"/>
  <c r="D51" i="7"/>
  <c r="F62" i="7"/>
  <c r="E49" i="7"/>
  <c r="E53" i="7"/>
  <c r="E59" i="7"/>
  <c r="E63" i="7"/>
  <c r="E50" i="7"/>
  <c r="F54" i="7"/>
  <c r="C30" i="6"/>
  <c r="I82" i="11"/>
  <c r="D64" i="9"/>
  <c r="D54" i="9"/>
  <c r="D55" i="9" s="1"/>
  <c r="D56" i="9" s="1"/>
  <c r="H61" i="5"/>
  <c r="I75" i="5"/>
  <c r="K75" i="5"/>
  <c r="I79" i="5"/>
  <c r="K79" i="5"/>
  <c r="K74" i="5"/>
  <c r="I74" i="5"/>
  <c r="K78" i="5"/>
  <c r="I78" i="5"/>
  <c r="I72" i="5"/>
  <c r="K72" i="5"/>
  <c r="K76" i="5"/>
  <c r="I76" i="5"/>
  <c r="K70" i="5"/>
  <c r="I70" i="5"/>
  <c r="I71" i="5"/>
  <c r="K71" i="5"/>
  <c r="I80" i="5"/>
  <c r="K80" i="5"/>
  <c r="K69" i="5"/>
  <c r="K73" i="5"/>
  <c r="I73" i="5"/>
  <c r="I77" i="5"/>
  <c r="J59" i="5"/>
  <c r="K59" i="5" s="1"/>
  <c r="L59" i="5"/>
  <c r="M59" i="5" s="1"/>
  <c r="L50" i="5"/>
  <c r="M50" i="5" s="1"/>
  <c r="J50" i="5"/>
  <c r="K50" i="5" s="1"/>
  <c r="L58" i="5"/>
  <c r="M58" i="5" s="1"/>
  <c r="J58" i="5"/>
  <c r="K58" i="5" s="1"/>
  <c r="J51" i="5"/>
  <c r="K51" i="5" s="1"/>
  <c r="L51" i="5"/>
  <c r="M51" i="5" s="1"/>
  <c r="L55" i="5"/>
  <c r="M55" i="5" s="1"/>
  <c r="J55" i="5"/>
  <c r="K55" i="5" s="1"/>
  <c r="L56" i="5"/>
  <c r="M56" i="5" s="1"/>
  <c r="J56" i="5"/>
  <c r="K56" i="5" s="1"/>
  <c r="L57" i="5"/>
  <c r="M57" i="5" s="1"/>
  <c r="J57" i="5"/>
  <c r="K57" i="5" s="1"/>
  <c r="L52" i="5"/>
  <c r="M52" i="5" s="1"/>
  <c r="L60" i="5"/>
  <c r="M60" i="5" s="1"/>
  <c r="L54" i="5"/>
  <c r="M54" i="5" s="1"/>
  <c r="I49" i="5"/>
  <c r="J53" i="5"/>
  <c r="K53" i="5" s="1"/>
  <c r="F42" i="5"/>
  <c r="F41" i="5"/>
  <c r="F40" i="5"/>
  <c r="F39" i="5"/>
  <c r="F38" i="5"/>
  <c r="F37" i="5"/>
  <c r="F36" i="5"/>
  <c r="F35" i="5"/>
  <c r="F34" i="5"/>
  <c r="F33" i="5"/>
  <c r="F32" i="5"/>
  <c r="F31" i="5"/>
  <c r="F42" i="4"/>
  <c r="F41" i="4"/>
  <c r="F40" i="4"/>
  <c r="F39" i="4"/>
  <c r="F38" i="4"/>
  <c r="F37" i="4"/>
  <c r="F36" i="4"/>
  <c r="F35" i="4"/>
  <c r="F34" i="4"/>
  <c r="F33" i="4"/>
  <c r="F32" i="4"/>
  <c r="F31" i="4"/>
  <c r="E91" i="3"/>
  <c r="E97" i="3" s="1"/>
  <c r="E99" i="3" s="1"/>
  <c r="E90" i="3"/>
  <c r="E95" i="3" s="1"/>
  <c r="E96" i="3" s="1"/>
  <c r="D22" i="3"/>
  <c r="D22" i="2"/>
  <c r="C94" i="17" l="1"/>
  <c r="F93" i="17"/>
  <c r="E38" i="16"/>
  <c r="C39" i="16"/>
  <c r="I156" i="15"/>
  <c r="D148" i="15"/>
  <c r="H148" i="15"/>
  <c r="D118" i="15"/>
  <c r="G118" i="15"/>
  <c r="C24" i="14"/>
  <c r="F72" i="13"/>
  <c r="E72" i="13"/>
  <c r="F52" i="7"/>
  <c r="F114" i="7" s="1"/>
  <c r="D114" i="7"/>
  <c r="C39" i="6"/>
  <c r="C38" i="7" s="1"/>
  <c r="C35" i="7"/>
  <c r="D36" i="6"/>
  <c r="D50" i="7"/>
  <c r="D112" i="7" s="1"/>
  <c r="D30" i="6"/>
  <c r="D29" i="7" s="1"/>
  <c r="D55" i="7" s="1"/>
  <c r="E80" i="7"/>
  <c r="H103" i="7"/>
  <c r="E111" i="7"/>
  <c r="F80" i="7"/>
  <c r="I103" i="7"/>
  <c r="F111" i="7"/>
  <c r="E81" i="7"/>
  <c r="E112" i="7"/>
  <c r="D82" i="7"/>
  <c r="D113" i="7"/>
  <c r="C82" i="7"/>
  <c r="C113" i="7"/>
  <c r="C117" i="7" s="1"/>
  <c r="C29" i="7"/>
  <c r="C33" i="6"/>
  <c r="K81" i="5"/>
  <c r="D84" i="5" s="1"/>
  <c r="J81" i="5"/>
  <c r="I69" i="5"/>
  <c r="I81" i="5" s="1"/>
  <c r="D83" i="5" s="1"/>
  <c r="H81" i="5"/>
  <c r="L49" i="5"/>
  <c r="J49" i="5"/>
  <c r="E105" i="3"/>
  <c r="E106" i="3" s="1"/>
  <c r="E103" i="3"/>
  <c r="E104" i="3" s="1"/>
  <c r="E107" i="3"/>
  <c r="E100" i="3"/>
  <c r="E92" i="3"/>
  <c r="C95" i="17" l="1"/>
  <c r="F95" i="17" s="1"/>
  <c r="F94" i="17"/>
  <c r="E39" i="16"/>
  <c r="D149" i="15"/>
  <c r="H149" i="15"/>
  <c r="D119" i="15"/>
  <c r="G119" i="15"/>
  <c r="C25" i="14"/>
  <c r="E73" i="13"/>
  <c r="F73" i="13"/>
  <c r="F117" i="7"/>
  <c r="D39" i="6"/>
  <c r="D38" i="7" s="1"/>
  <c r="D35" i="7"/>
  <c r="E61" i="7"/>
  <c r="C61" i="7"/>
  <c r="C76" i="7"/>
  <c r="D117" i="7"/>
  <c r="E64" i="7"/>
  <c r="C64" i="7"/>
  <c r="F55" i="7"/>
  <c r="D104" i="7"/>
  <c r="E117" i="7"/>
  <c r="E55" i="7"/>
  <c r="C55" i="7"/>
  <c r="C35" i="6"/>
  <c r="C32" i="7"/>
  <c r="D33" i="6"/>
  <c r="M49" i="5"/>
  <c r="M61" i="5" s="1"/>
  <c r="D64" i="5" s="1"/>
  <c r="L61" i="5"/>
  <c r="J61" i="5"/>
  <c r="K49" i="5"/>
  <c r="K61" i="5" s="1"/>
  <c r="D63" i="5" s="1"/>
  <c r="E108" i="3"/>
  <c r="E109" i="3" s="1"/>
  <c r="E110" i="3" s="1"/>
  <c r="F96" i="17" l="1"/>
  <c r="D150" i="15"/>
  <c r="H150" i="15"/>
  <c r="D120" i="15"/>
  <c r="G120" i="15"/>
  <c r="C26" i="14"/>
  <c r="F74" i="13"/>
  <c r="E74" i="13"/>
  <c r="C85" i="7"/>
  <c r="D73" i="7"/>
  <c r="D74" i="7" s="1"/>
  <c r="C75" i="7"/>
  <c r="C93" i="7"/>
  <c r="F61" i="7"/>
  <c r="D76" i="7"/>
  <c r="D61" i="7"/>
  <c r="C123" i="7"/>
  <c r="C92" i="7"/>
  <c r="E123" i="7"/>
  <c r="E126" i="7" s="1"/>
  <c r="C106" i="7"/>
  <c r="D64" i="7"/>
  <c r="F64" i="7"/>
  <c r="C58" i="7"/>
  <c r="E58" i="7"/>
  <c r="D32" i="7"/>
  <c r="D35" i="6"/>
  <c r="C40" i="6"/>
  <c r="C39" i="7" s="1"/>
  <c r="C34" i="7"/>
  <c r="D151" i="15" l="1"/>
  <c r="H151" i="15"/>
  <c r="D121" i="15"/>
  <c r="G121" i="15"/>
  <c r="C27" i="14"/>
  <c r="E75" i="13"/>
  <c r="F75" i="13"/>
  <c r="D81" i="7"/>
  <c r="F81" i="7"/>
  <c r="D92" i="7"/>
  <c r="D123" i="7"/>
  <c r="D93" i="7"/>
  <c r="D85" i="7"/>
  <c r="D75" i="7"/>
  <c r="D106" i="7"/>
  <c r="F123" i="7"/>
  <c r="F126" i="7" s="1"/>
  <c r="C95" i="7"/>
  <c r="C125" i="7"/>
  <c r="C126" i="7" s="1"/>
  <c r="E121" i="7"/>
  <c r="C120" i="7"/>
  <c r="C122" i="7" s="1"/>
  <c r="H75" i="7"/>
  <c r="H76" i="7" s="1"/>
  <c r="C84" i="7"/>
  <c r="C60" i="7"/>
  <c r="E60" i="7"/>
  <c r="E65" i="7"/>
  <c r="C65" i="7"/>
  <c r="D58" i="7"/>
  <c r="F58" i="7"/>
  <c r="D34" i="7"/>
  <c r="D40" i="6"/>
  <c r="D39" i="7" s="1"/>
  <c r="D152" i="15" l="1"/>
  <c r="H152" i="15"/>
  <c r="D122" i="15"/>
  <c r="G122" i="15"/>
  <c r="C28" i="14"/>
  <c r="E76" i="13"/>
  <c r="F76" i="13"/>
  <c r="F121" i="7"/>
  <c r="D125" i="7"/>
  <c r="D126" i="7" s="1"/>
  <c r="E84" i="7"/>
  <c r="C89" i="7"/>
  <c r="C86" i="7"/>
  <c r="I75" i="7"/>
  <c r="I76" i="7" s="1"/>
  <c r="D84" i="7"/>
  <c r="C127" i="7"/>
  <c r="D95" i="7"/>
  <c r="D103" i="7"/>
  <c r="C105" i="7"/>
  <c r="H105" i="7" s="1"/>
  <c r="H106" i="7" s="1"/>
  <c r="E120" i="7" s="1"/>
  <c r="F65" i="7"/>
  <c r="D65" i="7"/>
  <c r="D60" i="7"/>
  <c r="F60" i="7"/>
  <c r="D153" i="15" l="1"/>
  <c r="H153" i="15"/>
  <c r="D123" i="15"/>
  <c r="G123" i="15"/>
  <c r="C29" i="14"/>
  <c r="F77" i="13"/>
  <c r="E77" i="13"/>
  <c r="D86" i="7"/>
  <c r="F84" i="7"/>
  <c r="F86" i="7" s="1"/>
  <c r="E89" i="7"/>
  <c r="E86" i="7"/>
  <c r="C91" i="7"/>
  <c r="C96" i="7" s="1"/>
  <c r="D89" i="7"/>
  <c r="D91" i="7" s="1"/>
  <c r="D96" i="7" s="1"/>
  <c r="D105" i="7"/>
  <c r="I105" i="7" s="1"/>
  <c r="I106" i="7" s="1"/>
  <c r="F120" i="7" s="1"/>
  <c r="F122" i="7" s="1"/>
  <c r="F127" i="7" s="1"/>
  <c r="D120" i="7"/>
  <c r="D122" i="7" s="1"/>
  <c r="D127" i="7" s="1"/>
  <c r="E122" i="7"/>
  <c r="E127" i="7" s="1"/>
  <c r="D154" i="15" l="1"/>
  <c r="H154" i="15"/>
  <c r="D124" i="15"/>
  <c r="G124" i="15"/>
  <c r="C30" i="14"/>
  <c r="F78" i="13"/>
  <c r="E78" i="13"/>
  <c r="E91" i="7"/>
  <c r="E96" i="7" s="1"/>
  <c r="F89" i="7"/>
  <c r="F91" i="7" s="1"/>
  <c r="F96" i="7" s="1"/>
  <c r="D155" i="15" l="1"/>
  <c r="H155" i="15"/>
  <c r="H156" i="15" s="1"/>
  <c r="I157" i="15" s="1"/>
  <c r="D125" i="15"/>
  <c r="G125" i="15"/>
  <c r="C31" i="14"/>
  <c r="F79" i="13"/>
  <c r="E79" i="13"/>
  <c r="D126" i="15" l="1"/>
  <c r="G126" i="15"/>
  <c r="C32" i="14"/>
  <c r="E80" i="13"/>
  <c r="F80" i="13"/>
  <c r="D127" i="15" l="1"/>
  <c r="G127" i="15"/>
  <c r="C33" i="14"/>
  <c r="E81" i="13"/>
  <c r="F81" i="13"/>
  <c r="D128" i="15" l="1"/>
  <c r="G128" i="15"/>
  <c r="C34" i="14"/>
  <c r="F82" i="13"/>
  <c r="F84" i="13" s="1"/>
  <c r="E82" i="13"/>
  <c r="E84" i="13" s="1"/>
  <c r="D129" i="15" l="1"/>
  <c r="G129" i="15"/>
  <c r="G130" i="15" s="1"/>
  <c r="C35" i="14"/>
  <c r="C36" i="14" l="1"/>
  <c r="C37" i="14" l="1"/>
  <c r="C38" i="14" l="1"/>
  <c r="C39" i="14" l="1"/>
</calcChain>
</file>

<file path=xl/sharedStrings.xml><?xml version="1.0" encoding="utf-8"?>
<sst xmlns="http://schemas.openxmlformats.org/spreadsheetml/2006/main" count="1217" uniqueCount="586">
  <si>
    <t xml:space="preserve">Guided Example #1 </t>
  </si>
  <si>
    <t>Topic</t>
  </si>
  <si>
    <t>Learning Outcomes</t>
  </si>
  <si>
    <t>Syllabus References</t>
  </si>
  <si>
    <t xml:space="preserve">This example tests the candidate's understanding of inforce reinsurance transactions, asset intensive reinsurance, counterparty risk, and the use of collateral. </t>
  </si>
  <si>
    <t>1d</t>
  </si>
  <si>
    <t>3e</t>
  </si>
  <si>
    <t>4c</t>
  </si>
  <si>
    <t>Explain reasons for using inforce reinsurance, approaches used for inforce reinsurance, and advantages and disadvantages of each approach</t>
  </si>
  <si>
    <t>Life, Health &amp; Annuity Reinsurance, Tiller, John E. and Tiller, Denise, 4th Edition, 2015, Ch. 7: Reinsurance of Inforce Risks</t>
  </si>
  <si>
    <t>Understand key international reinsurance regulatory frameworks, especially as they relate to the use of offshore reinsurance and private equity backed reinsurers</t>
  </si>
  <si>
    <t>Asset Intensive Reinsurance Ceded Offshore from U.S. Life Insurers (With Focus on Bermuda), AAA, Feb 2024</t>
  </si>
  <si>
    <t>Describe the concept of reinsurance counterparty credit risk and evaluate methods to reduce such risks</t>
  </si>
  <si>
    <t xml:space="preserve">ABC's regulatory regime uses an economic basis, similar to IFRS. Insurance and reinsurance contract liabilities consist of a best estimate assumption and a risk margin, and are discounted using risk-free interest rates plus an illiquidity premium. </t>
  </si>
  <si>
    <t xml:space="preserve">Describe the disadvantages of ZZZ's proposal. </t>
  </si>
  <si>
    <t xml:space="preserve">Solution </t>
  </si>
  <si>
    <t xml:space="preserve">You are the Chief Risk Officer of ABC Life Insurance company.  ABC has a large inforce block of whole life, non-participating life insurance contracts, with cash surrender values. </t>
  </si>
  <si>
    <t xml:space="preserve">The whole life block has the following characteristics: </t>
  </si>
  <si>
    <t>Number of policies</t>
  </si>
  <si>
    <t xml:space="preserve">Face Amount </t>
  </si>
  <si>
    <t xml:space="preserve">Policy Liabilities </t>
  </si>
  <si>
    <t xml:space="preserve">ABC will need to transfer approximately $4.2 billion of assets (or cash) to ZZZ in a regular coinsurance transaction. </t>
  </si>
  <si>
    <t xml:space="preserve">Depending on the assets ZZZ will accept as part of the transaction, ABC may be forced to sell assets which may result in realized gains and other accounting impacts. </t>
  </si>
  <si>
    <t xml:space="preserve">ZZZ will then be required to manage the $4.2 billion of assets. </t>
  </si>
  <si>
    <t xml:space="preserve">ABC will need to agree to the investment parameters that ZZZ follows, but could still be exposed to significant investment/reinvestment risk. </t>
  </si>
  <si>
    <t xml:space="preserve">ABC may not qualify for full statutory/local reserve credit for the transaction depending on the domicile of ZZZ and the regulations that ABC is subject to </t>
  </si>
  <si>
    <t xml:space="preserve">ABC is exposed to significant credit risk, in the event that ZZZ does not perform, is financially impaired, or becomes involvent. </t>
  </si>
  <si>
    <t>Syllabus Reference: 1</t>
  </si>
  <si>
    <t>Liquid Fixed Income</t>
  </si>
  <si>
    <t>Illiquid Fixed Income</t>
  </si>
  <si>
    <t>Liquid Public Equity</t>
  </si>
  <si>
    <t xml:space="preserve">You learn that ZZZ Re is domiciled in Bermuda. </t>
  </si>
  <si>
    <t xml:space="preserve">Explain the motivations for ZZZ's choice of domicile. </t>
  </si>
  <si>
    <t>Solution</t>
  </si>
  <si>
    <t>Syllabus Reference: 2</t>
  </si>
  <si>
    <t xml:space="preserve">Bermuda has a strong and internationally recognized regulatory framework. </t>
  </si>
  <si>
    <t xml:space="preserve">If ABC is a European insurer, it can benefit from the Solvency II equivalence that Bermuda reinsurers can offer. </t>
  </si>
  <si>
    <t xml:space="preserve">Comments: Candidates should demonstrate an understanding of the basis issues that can arise from coinsurance in this particular case (not all disadvantages from the Syllabus reference apply) </t>
  </si>
  <si>
    <t xml:space="preserve">Bermuda can offer additional investment flexibility, and access to asset classes that ABC may not have available </t>
  </si>
  <si>
    <t xml:space="preserve">a) (2 points) </t>
  </si>
  <si>
    <t xml:space="preserve">b) (1 point) </t>
  </si>
  <si>
    <t xml:space="preserve">Comments: Candidates should note that the question setup precludes ABC from being a US based insurer. As such, many of the benefits of Bermuda do not apply and the candidate would not receive credit for those items. </t>
  </si>
  <si>
    <t xml:space="preserve">There is potential for tax efficiency, but since ABC is not US domiciled the advantages are probably smaller (especially if ABC is subject to global minimum tax) </t>
  </si>
  <si>
    <t xml:space="preserve">c) (1 point) </t>
  </si>
  <si>
    <t xml:space="preserve">Recommend ways that ABC could mitigate these risks. </t>
  </si>
  <si>
    <t xml:space="preserve">You are concerned about the potential credit risk and other counterparty risks that ABC could be exposed to after entering into the coinsurance transaction with ZZZ Re. </t>
  </si>
  <si>
    <t xml:space="preserve">Solution: </t>
  </si>
  <si>
    <t xml:space="preserve">Syllabus Reference: 2 </t>
  </si>
  <si>
    <t>This could be done via coinsurance with funds withheld, coinsurance with collateral in trust, coinsurance with Letters of Credit, or by using a modified coinsurance structure</t>
  </si>
  <si>
    <t xml:space="preserve">Require collateral from ZZZ Re (ideally at the full liability level, or higher ie overcollateralize the ceded reserve) </t>
  </si>
  <si>
    <t xml:space="preserve">ABC is in discussions to reinsure the whole life block via a 100% quote-share indemnity reinsurance contract. ZZZ Re has proposed a traditional coinsurance transaction to ABC, whereby it would manage the assets backing the policy liabilities. </t>
  </si>
  <si>
    <t xml:space="preserve">Include investment guidelines that ZZZ must follow </t>
  </si>
  <si>
    <t xml:space="preserve">The guidelines would include limits on the assets that ZZZ can invest in, and should limit the illiquid assets or alternative (private credit for example) assets that can be held </t>
  </si>
  <si>
    <t xml:space="preserve">The guidelines may include duration limits so that ABC is not exposed to interest rate movements </t>
  </si>
  <si>
    <t xml:space="preserve">Include recapture provisions, so that ABC can take back the assets in the event of failure or potential failure of ZZZ Re to fulfil the reinsurance obligations </t>
  </si>
  <si>
    <t xml:space="preserve">These may include ratings or financial impairment triggers, capital level triggers, and insolvency triggers </t>
  </si>
  <si>
    <t xml:space="preserve">Liability Duration </t>
  </si>
  <si>
    <t>Asset Duration</t>
  </si>
  <si>
    <t xml:space="preserve">Comments: Candidates should demonstrate an understanding of the different risks that ABC is exposed to in a traditonal coinsurance transaction, and ways to mitigate these risks. </t>
  </si>
  <si>
    <t xml:space="preserve">Liquidity is important since the whole life policies have significant cash surrender values (ie ZZZ ability to pay death claims is not sufficient…needs to meet liquidity needs of ABC as well) </t>
  </si>
  <si>
    <t xml:space="preserve">After hearing your concerns on the potential risks ZZZ Re offers the following:  </t>
  </si>
  <si>
    <t xml:space="preserve">We can offer ABC collateral, via assets held in trust. </t>
  </si>
  <si>
    <t xml:space="preserve">ZZZ Re will further improve the ceding commmission by using the following asset allocation: </t>
  </si>
  <si>
    <t xml:space="preserve">ABC defines counterparty credit risk using the following formula: </t>
  </si>
  <si>
    <t xml:space="preserve">Credit Risk = max(Ceded Policy Liabilities - Collateral Provided by Reinsurer, 0) </t>
  </si>
  <si>
    <t xml:space="preserve">i) at the reinsurance transaction effective date </t>
  </si>
  <si>
    <t>Syllabus Reference: 3 and 4</t>
  </si>
  <si>
    <t xml:space="preserve">&lt;&lt;need to fill in #s…in ii) and iii) both the liability and asset values change…durations differ&gt;&gt; </t>
  </si>
  <si>
    <t xml:space="preserve">e) (1 point) </t>
  </si>
  <si>
    <t>Syllabus Reference: 2, 3 and 4</t>
  </si>
  <si>
    <t xml:space="preserve">Request overcollateralization going forward (ie at all quarterly reporting dates) so that market value risk is mitigated </t>
  </si>
  <si>
    <t xml:space="preserve">Adjust the duration target so that ABC is not exposed to interest rate movements (ideally down to 12 which ABC was originally comfortable with but candidates can suggest 14 with a +/-1 year for example as a valid target) </t>
  </si>
  <si>
    <t xml:space="preserve">reduce the illiquid fixed income, as ABC should be concerned with the higher illiquid asset mix due to high cash surrender values on the block </t>
  </si>
  <si>
    <t xml:space="preserve">Limit public equity if ABC is concerned with the potential for volatility (should help ZZZ Re as well as there would be less trust top ups with equity market movements) </t>
  </si>
  <si>
    <t xml:space="preserve">i) at inception </t>
  </si>
  <si>
    <t xml:space="preserve">Ceded Policy Liabilities </t>
  </si>
  <si>
    <t>Collateral Provided by Reinsurer</t>
  </si>
  <si>
    <t xml:space="preserve">Credit Risk </t>
  </si>
  <si>
    <t xml:space="preserve">Collateral provided by the reinsurer is at 105% i.e. overcollateralization </t>
  </si>
  <si>
    <t xml:space="preserve">Candidates should floor the exposure at zero, since it is negative at inception </t>
  </si>
  <si>
    <t>Change in Ceded Policy Liabilities</t>
  </si>
  <si>
    <t xml:space="preserve">This is the ceded liability, after the change in interest rates </t>
  </si>
  <si>
    <t>Fixed Income Collateral</t>
  </si>
  <si>
    <t>Change in FI Collateral Value</t>
  </si>
  <si>
    <t xml:space="preserve">New Collateral Value </t>
  </si>
  <si>
    <t xml:space="preserve">ii) assuming a 200bp increase in interest rates </t>
  </si>
  <si>
    <t xml:space="preserve">80% of the collateral is Fixed Income </t>
  </si>
  <si>
    <t>2% change in interest rates, with duration 10</t>
  </si>
  <si>
    <t xml:space="preserve">At the reinsurance transaction effective date, the market value of the assets will be 102% of the ceded policy liabilities. So ZZZ Re is providing you with an over-collateralization, which ABC should be happy with. </t>
  </si>
  <si>
    <t xml:space="preserve">To improve the ceding commission, ZZZ Re will maintain a target duration of 13 years for the trust assets. </t>
  </si>
  <si>
    <t>2% change in interest rates, with duration 13</t>
  </si>
  <si>
    <t xml:space="preserve">This is the collateral after the change in interest rates </t>
  </si>
  <si>
    <t>Credit Risk</t>
  </si>
  <si>
    <t xml:space="preserve">iii) assuming a 300bp increase in interest rates and a 30% decrease in public equity values </t>
  </si>
  <si>
    <t>Public Equity Collateral</t>
  </si>
  <si>
    <t>Change in Equity Collateral Value</t>
  </si>
  <si>
    <t>This is the credit exposure in this scenario</t>
  </si>
  <si>
    <t>3% change in interest rates, with duration 10</t>
  </si>
  <si>
    <t>3% change in interest rates, with duration 13</t>
  </si>
  <si>
    <t>20% of the collateral is public equity</t>
  </si>
  <si>
    <t xml:space="preserve">30% decrease in value </t>
  </si>
  <si>
    <t>This is the collateral after the change in interest rates and the equity decrease</t>
  </si>
  <si>
    <t xml:space="preserve">Adjust the duration target so that ABC is not exposed to interest rate movements (ideally down to 10 which ABC was originally comfortable with but candidates can suggest 10 with a +/-1 year for example as a valid target) </t>
  </si>
  <si>
    <t xml:space="preserve">d) (3 points) </t>
  </si>
  <si>
    <t xml:space="preserve">Request a higher overcollateralization, and ongoing overcollateralization (ie at all quarterly reporting dates) so that market value risk is mitigated </t>
  </si>
  <si>
    <t xml:space="preserve">Reduce the illiquid fixed income, as ABC should be concerned with the higher illiquid asset mix due to high cash surrender values on the block </t>
  </si>
  <si>
    <t>1. (8 points)</t>
  </si>
  <si>
    <t xml:space="preserve">1. (8 points) </t>
  </si>
  <si>
    <t xml:space="preserve">Candidates should understand that the 2% overcollateralization is only at inception and there is no requirement for ZZZ Re to "top up" the trust balance for any shortfall vs the liability </t>
  </si>
  <si>
    <t xml:space="preserve">Candidates should use the liability and fixed income durations as acceptable to "estimate" the changes in value </t>
  </si>
  <si>
    <t xml:space="preserve">Guided Example #2 </t>
  </si>
  <si>
    <t>1c</t>
  </si>
  <si>
    <t>1b</t>
  </si>
  <si>
    <t>Understand the key aspects of automatic and facultative reinsurance</t>
  </si>
  <si>
    <t>Explain various methods and perform financial statement calculations of reinsurance transactions, including yearly renewable term, coinsurance, modified coinsurance, and funds withheld arrangements</t>
  </si>
  <si>
    <t>Life, Health &amp; Annuity Reinsurance, Tiller, John E. and Tiller, Denise, 4th Edition, 2015, Ch. 4: Basic Methods of Reinsurance</t>
  </si>
  <si>
    <t xml:space="preserve">The reinsurance treaty contains the following terms: </t>
  </si>
  <si>
    <t xml:space="preserve">Reinsurance Premiums are paid on January 1, and all reinsurance recoveries are received on December 31. </t>
  </si>
  <si>
    <t xml:space="preserve">ABC Life has entered a risk premium (YRT) reinsurance treaty to cover all whole life insurance contracts that it issues this year. </t>
  </si>
  <si>
    <t xml:space="preserve">The Net Amount at Risk (NAAR) is equal to the policy face amount minus the policy cash surrender value, as of December 31 of a given policy year. </t>
  </si>
  <si>
    <t xml:space="preserve">This example tests the candidate's understanding of risk premium reinsurance (also called YRT), retention limits, and the determination of reinsurance premiums under different approaches. </t>
  </si>
  <si>
    <t xml:space="preserve">ABC Life issues the following whole life insurance contracts on January 1: </t>
  </si>
  <si>
    <t>Policy #</t>
  </si>
  <si>
    <t xml:space="preserve">The risk premium (YRT) rates per $1000 of NAAR, by Risk Class, are given as follows: </t>
  </si>
  <si>
    <t>Risk Class</t>
  </si>
  <si>
    <t>Face Amount</t>
  </si>
  <si>
    <t xml:space="preserve">ABC's initial retention is $100,000 per life insured. </t>
  </si>
  <si>
    <t>Male Non-Smoker (MNS)</t>
  </si>
  <si>
    <t>Male Smoker (MS)</t>
  </si>
  <si>
    <t>Female Non-Smoker (FNS)</t>
  </si>
  <si>
    <t>Female Smoker (FS)</t>
  </si>
  <si>
    <t>MNS</t>
  </si>
  <si>
    <t>MS</t>
  </si>
  <si>
    <t>FNS</t>
  </si>
  <si>
    <t>FS</t>
  </si>
  <si>
    <t>Policy Face Amount</t>
  </si>
  <si>
    <t>Cash Surrender Value (end of Year 1)</t>
  </si>
  <si>
    <t>Cash Surrender Value (end of Year 2)</t>
  </si>
  <si>
    <t xml:space="preserve">i) The Pro Rata method </t>
  </si>
  <si>
    <t xml:space="preserve">ii) The Constant Retention method </t>
  </si>
  <si>
    <t xml:space="preserve">a) Calculate the total reinsurance premium for each of Year 1 and Year 2 using: </t>
  </si>
  <si>
    <t xml:space="preserve">Approximate ABC's Credit Risk to ZZZ Re: </t>
  </si>
  <si>
    <t>Retention</t>
  </si>
  <si>
    <t>Original Amount Ceded</t>
  </si>
  <si>
    <t>Reinsured Percentage</t>
  </si>
  <si>
    <t>Year 1 Ceded NAAR</t>
  </si>
  <si>
    <t>Year 1 Ceded Premium</t>
  </si>
  <si>
    <t>Year 2 Ceded NAAR</t>
  </si>
  <si>
    <t>Year 2 Ceded Premium</t>
  </si>
  <si>
    <t>Total</t>
  </si>
  <si>
    <t xml:space="preserve">Candidates need to understand how the Ceded NAAR is determined using the Pro Rata approach, in order to determine the correct reinsurance premium. </t>
  </si>
  <si>
    <t xml:space="preserve">Candidates need to understand how the Ceded NAAR is determined using the Constant Retention approach, in order to determine the correct reinsurance premium. </t>
  </si>
  <si>
    <t xml:space="preserve">a) ( 6 points) Calculate the total reinsurance premium for each of Year 1 and Year 2 using: </t>
  </si>
  <si>
    <t xml:space="preserve">b) (1 point)  Explain the difference between the Year 2 reinsurance premium, as determined in i) and ii) above. </t>
  </si>
  <si>
    <t>Year 1 reinsurance premium</t>
  </si>
  <si>
    <t>Year 2 reinsurance premium</t>
  </si>
  <si>
    <t xml:space="preserve">The Year 2 reinsurance premium is lower under the Constant Retention method. </t>
  </si>
  <si>
    <t xml:space="preserve">Whereas under the Pro Rata approach, both ABC and the reinsurer share in the decrease in NAAR. </t>
  </si>
  <si>
    <t xml:space="preserve">This is because the decrease in NAAR is allocated 100%  to the reinsurer. </t>
  </si>
  <si>
    <t>2. (7 points)</t>
  </si>
  <si>
    <t xml:space="preserve">This example tests the candidate's understanding of the differences between coinsurance, coinsurance with funds withheld, and modified coinsurance. </t>
  </si>
  <si>
    <t>Life, Health &amp; Annuity Reinsurance, Tiller, John E. and Tiller, Denise, 4th Edition, 2015, Ch. 5: Advanced Methods of Structures of Reinsurance</t>
  </si>
  <si>
    <t>Guided Example #3</t>
  </si>
  <si>
    <t>Guided Example #4</t>
  </si>
  <si>
    <t xml:space="preserve">This example tests the candidate's understanding of non-proportional reinsurance. </t>
  </si>
  <si>
    <t>1f</t>
  </si>
  <si>
    <t>Describe and evaluate types of non-proportional reinsurance transactions</t>
  </si>
  <si>
    <t>Life, Health &amp; Annuity Reinsurance, Tiller, John E. and Tiller, Denise, 4th Edition, 2015, Ch. 17: Nonproportional Reinsurance</t>
  </si>
  <si>
    <t xml:space="preserve">ABC Life has the following portfolio of large term life insurance policies: </t>
  </si>
  <si>
    <t>Expected Mortality Rate</t>
  </si>
  <si>
    <t xml:space="preserve">ABC is evaluating a stop-loss reinsurance contract offered by ZZZ Re, with the following parameters: </t>
  </si>
  <si>
    <t>Maximum Retention per life</t>
  </si>
  <si>
    <t>Attachment Point</t>
  </si>
  <si>
    <t xml:space="preserve">of Expected Claims </t>
  </si>
  <si>
    <t>Limits</t>
  </si>
  <si>
    <t xml:space="preserve">90% of all covered claims in excess of the attachment point, up to a total maximum of $20,000,000. No maximum on any single life. </t>
  </si>
  <si>
    <t xml:space="preserve">a) (2 points) Calculate the amount ZZZ Re would pay if Policy #4 and Policy #5 both have death claims in the year. </t>
  </si>
  <si>
    <t xml:space="preserve">ABC is also evaluating a catastrophe  reinsurance contract offered by YYY Re, with the following parameters: </t>
  </si>
  <si>
    <t>Minimum Number of Claims</t>
  </si>
  <si>
    <t>Overall Deductible per Event</t>
  </si>
  <si>
    <t>Per Life Limit</t>
  </si>
  <si>
    <t>Maximum Amount Covered</t>
  </si>
  <si>
    <t xml:space="preserve">c) (2 points) Calculate the amount YYY Re would pay if Policy #s 3, 5, 6, 7, 10, 11, 12, 15, 16, 18, and 21 all have death claims in the year, from a single covered event. </t>
  </si>
  <si>
    <t>Expected Claims</t>
  </si>
  <si>
    <t>Claims for Policy 4 and 5</t>
  </si>
  <si>
    <t>Excess of Attachment</t>
  </si>
  <si>
    <t>90% reinsurer share</t>
  </si>
  <si>
    <t xml:space="preserve">ZZZ Re would pay </t>
  </si>
  <si>
    <t xml:space="preserve">b) (2 points) Calculate the amount of claims required for ZZZ Re to make the maximum payment under the stop-loss reinsurance contract. </t>
  </si>
  <si>
    <t>Maximum Stop-loss payment</t>
  </si>
  <si>
    <t>Adjustment for 90% share</t>
  </si>
  <si>
    <t>Claims for max payment</t>
  </si>
  <si>
    <t>Amount of Claim</t>
  </si>
  <si>
    <t>Apply Deductible</t>
  </si>
  <si>
    <t>Claims amount eligible for coverage is $140,000,000</t>
  </si>
  <si>
    <t xml:space="preserve">After deductible of $25,000,000 YYY Re will pay $115,000,000 </t>
  </si>
  <si>
    <t xml:space="preserve">4. (6 points) </t>
  </si>
  <si>
    <t xml:space="preserve">Expected claims = face x expected mortality </t>
  </si>
  <si>
    <t xml:space="preserve">Attachment point = expected claims x 110% </t>
  </si>
  <si>
    <t xml:space="preserve">Add up the claims for the 2 policies </t>
  </si>
  <si>
    <t xml:space="preserve">Amount eligible in excess of $11,000,000 </t>
  </si>
  <si>
    <t>reinsurer covers 90% of the excess</t>
  </si>
  <si>
    <t>This is the maximum the reinsurer will pay</t>
  </si>
  <si>
    <t xml:space="preserve">gross up the amount for the fact that reinsurer share is 90% </t>
  </si>
  <si>
    <t xml:space="preserve">This is the claim amount required to have the reinsurer max out their payment under stop-loss </t>
  </si>
  <si>
    <t>This policy exceeds the dedctible. Candidates should recognize that only $15M is covered</t>
  </si>
  <si>
    <t xml:space="preserve">Add up the eligible claims </t>
  </si>
  <si>
    <t xml:space="preserve">After $25M overall deductible, this is the payment that YYY Re will make </t>
  </si>
  <si>
    <t xml:space="preserve">Candidates should understand the different amounts ceded under each approach, and be able to explain why the Year 2 premiums differ. </t>
  </si>
  <si>
    <t>Guided Example #5</t>
  </si>
  <si>
    <t xml:space="preserve">This example tests the candidate's understanding of the errors and omissions clauses, in US and Canada, and then apply to a practical example where premiums were paid in error. </t>
  </si>
  <si>
    <t>2a</t>
  </si>
  <si>
    <t>4b</t>
  </si>
  <si>
    <t>Describe the elements within reinsurance treaties</t>
  </si>
  <si>
    <t>4a</t>
  </si>
  <si>
    <t>Describe features and considerations related to reinsurance administration</t>
  </si>
  <si>
    <t>Describe and evaluate concepts related to the management of reinsurance</t>
  </si>
  <si>
    <t>Life, Health &amp; Annuity Reinsurance, Tiller, John E. and Tiller, Denise, 4th Edition, 2015, Ch. 8: The Reinsurance Treaty</t>
  </si>
  <si>
    <t>Life, Health &amp; Annuity Reinsurance, Tiller, John E. and Tiller, Denise, 4th Edition, 2015, Ch. 23: Reinsurance Administration</t>
  </si>
  <si>
    <t>Life, Health &amp; Annuity Reinsurance, Tiller, John E. and Tiller, Denise, 4th Edition, 2015, Ch. 24: Managing Reinsurance</t>
  </si>
  <si>
    <t xml:space="preserve">5. (6 points) </t>
  </si>
  <si>
    <t xml:space="preserve">ABC Life sells life insurance, and reinsures portions of its life insurance contracts, in both Canada and the United States. </t>
  </si>
  <si>
    <t xml:space="preserve">The reinsurance adminstration team at ABC has just discovered an error in its reinsurance admin system, and has come to you for advice. </t>
  </si>
  <si>
    <t xml:space="preserve">The reinsurance administration team has provided you with the following data: </t>
  </si>
  <si>
    <t xml:space="preserve">The reinsurance administration team confirms that ABC Life has been paying incorrect reinsurance premiums for the past 5 years on two policies. </t>
  </si>
  <si>
    <t>Year</t>
  </si>
  <si>
    <t>NAAR</t>
  </si>
  <si>
    <t xml:space="preserve">Ceded Premium </t>
  </si>
  <si>
    <t xml:space="preserve">Canada Policy </t>
  </si>
  <si>
    <t>US Policy</t>
  </si>
  <si>
    <t>Canada</t>
  </si>
  <si>
    <t>US</t>
  </si>
  <si>
    <t xml:space="preserve">Table 1.1
Canada NAAR, Ceded Premium </t>
  </si>
  <si>
    <t xml:space="preserve">Table 1.2
US NAAR, Ceded Premium </t>
  </si>
  <si>
    <t xml:space="preserve">Table 1.3
Canada and US Interest Rates </t>
  </si>
  <si>
    <t>Rate</t>
  </si>
  <si>
    <t xml:space="preserve">a) (2 points) Describe the key aspects of the "Errors and Omissions" provisions that are typically contained in the reinsurance treaty, for both countries. </t>
  </si>
  <si>
    <t xml:space="preserve">b) (4 points) </t>
  </si>
  <si>
    <t xml:space="preserve">Calculate: </t>
  </si>
  <si>
    <t xml:space="preserve">i) the payment required for the Canada error, and which company makes this payment  </t>
  </si>
  <si>
    <t xml:space="preserve">ABC and the reinsurers have agreed to restore each other to the position they would have been in, had the error not occurred. </t>
  </si>
  <si>
    <t xml:space="preserve">In the US, YRT premiums were based on incorrect Net Amount at Risk, which was overstated in all years by 10%. </t>
  </si>
  <si>
    <t xml:space="preserve">In Canada, YRT premium rates for a Female Smoker policy incorrectly used Female Non-Smoker rates.  Female Smoker rates are 180% of Female Non-Smoker rates. </t>
  </si>
  <si>
    <t>In US</t>
  </si>
  <si>
    <t xml:space="preserve">- E&amp;O clauses are included since common law may relieve a non-deviating party from its obligations under the treaty </t>
  </si>
  <si>
    <t xml:space="preserve">- typically cover unintended errors </t>
  </si>
  <si>
    <t xml:space="preserve">- may include sunset dates, after which errors are not corrected </t>
  </si>
  <si>
    <t xml:space="preserve">a) (2 points) Describe the key aspects of the "Errors and Omissions" provisions that may be contained in the reinsurance treaty, for both countries. </t>
  </si>
  <si>
    <t>- typically calls for a good faith effort of both parties to resolve the issues</t>
  </si>
  <si>
    <t>In Canada</t>
  </si>
  <si>
    <t>- provisions describe errors and omissions to be either an inadvertent error, a misunderstanding, an omission, a delay, or an oversight made by either party</t>
  </si>
  <si>
    <t>- typically provides that both companies will be restored to the position they would have occupied if the error had not occurred</t>
  </si>
  <si>
    <t>- Both parties agree to restore both parties to the positions that would have existed if the failure had not occurred if possible</t>
  </si>
  <si>
    <t>- If this is not possible, then the parties agree to seek an equitable result. If the parties cannot agree to an equitable resolution, then the situation is submitted to dispute resolution</t>
  </si>
  <si>
    <t>- Both parties are expected to identify and correct such errors at the earliest possible date</t>
  </si>
  <si>
    <t>- A separate section may be added to cover the failure of a party to apply its business standards, such as underwriting, claims, management practices, and administrative processes</t>
  </si>
  <si>
    <t xml:space="preserve">YRT rate (non smoker) </t>
  </si>
  <si>
    <t xml:space="preserve">Correct Rate (smoker) </t>
  </si>
  <si>
    <t xml:space="preserve">Correct Premium </t>
  </si>
  <si>
    <t xml:space="preserve">Difference </t>
  </si>
  <si>
    <t xml:space="preserve">Under both treaties, reinsurance premiums are due at the beginning of each year. </t>
  </si>
  <si>
    <t xml:space="preserve">No claims have occurred on either policy. </t>
  </si>
  <si>
    <t xml:space="preserve">Accumulated to year-end 2025 </t>
  </si>
  <si>
    <t>ABC is required to pay 1331.86 to the Canada reinsurer</t>
  </si>
  <si>
    <t>Correct NAAR</t>
  </si>
  <si>
    <t xml:space="preserve">Assume the following: </t>
  </si>
  <si>
    <t>All cash flows occur at mid-year</t>
  </si>
  <si>
    <t xml:space="preserve">Assets backing the insurance contract liabilities earns 6% </t>
  </si>
  <si>
    <t xml:space="preserve">Surplus is invested in cash and earns 0% </t>
  </si>
  <si>
    <t xml:space="preserve">Prior to the reinsurance, you are given the Statutory Balance Sheet and Income Statement for ABC: </t>
  </si>
  <si>
    <t>Income Statement</t>
  </si>
  <si>
    <t>Year 1</t>
  </si>
  <si>
    <t>Year 2</t>
  </si>
  <si>
    <t>Premiums</t>
  </si>
  <si>
    <t>Investment Income</t>
  </si>
  <si>
    <t>Claims</t>
  </si>
  <si>
    <t>Change in Reserve</t>
  </si>
  <si>
    <t xml:space="preserve">Modco Adjustment </t>
  </si>
  <si>
    <t xml:space="preserve">Change in Modco Reserve </t>
  </si>
  <si>
    <t xml:space="preserve">Net Income </t>
  </si>
  <si>
    <t xml:space="preserve">Balance Sheet </t>
  </si>
  <si>
    <t>Invested Assets</t>
  </si>
  <si>
    <t>Reserve</t>
  </si>
  <si>
    <t xml:space="preserve">Modco Reserve </t>
  </si>
  <si>
    <t>Surplus</t>
  </si>
  <si>
    <t>Funds Withheld Receivable</t>
  </si>
  <si>
    <t>Total Assets</t>
  </si>
  <si>
    <t>Funds Withheld Payable</t>
  </si>
  <si>
    <t>Total Liabilities</t>
  </si>
  <si>
    <t xml:space="preserve">ABC's CFO believes that Modified Coinsurance and Coinsurance with Funds Withheld will result in less income and surplus for the reinsurer. </t>
  </si>
  <si>
    <t xml:space="preserve">3. (9 points) </t>
  </si>
  <si>
    <t xml:space="preserve">a) (9 points) Develop the Income Statement and Balance Sheet for both ABC and the Reinsurer for: </t>
  </si>
  <si>
    <t>ABC Life</t>
  </si>
  <si>
    <t>Reinsurer</t>
  </si>
  <si>
    <t xml:space="preserve">ABC Life is considering different types of coinsurance, for an insurance product that it issues. The coinsurance quota share will be 80% efective from the beginning of Year 1. </t>
  </si>
  <si>
    <t xml:space="preserve">Candidates should recognize there are no ceding commissions or expense allowances and as such the split of the direct business into retained/ceded is straightforward. </t>
  </si>
  <si>
    <t xml:space="preserve">Candidates must calculate the Modco adjustment, and the cash settlements, in order to develop the income statement and balance sheet </t>
  </si>
  <si>
    <t xml:space="preserve">Year 2 </t>
  </si>
  <si>
    <t>Opening Modco Reserve</t>
  </si>
  <si>
    <t>Modco Adjustment</t>
  </si>
  <si>
    <t>Modco Investment Credit</t>
  </si>
  <si>
    <t xml:space="preserve">Ending Modco Reserve </t>
  </si>
  <si>
    <t>Reinsurance Premiums</t>
  </si>
  <si>
    <t>Reinsurance Claims</t>
  </si>
  <si>
    <t>Cash Settlement to Reinsurer</t>
  </si>
  <si>
    <t xml:space="preserve">Premiums are still split by coinsurance percentage </t>
  </si>
  <si>
    <t xml:space="preserve">Modco so ABC gets full investment income on the assets held backing modco reserve (ie modco investment credit) </t>
  </si>
  <si>
    <t xml:space="preserve">Claims are still split by coinsurance percentage </t>
  </si>
  <si>
    <t>Reinsurer holds no reserve on Stat balances sheet under Modco</t>
  </si>
  <si>
    <t xml:space="preserve">Reinsurer funds the change in Modco reserve on ABC balance sheet </t>
  </si>
  <si>
    <t>Invested assets reflect the modco reserve held by ABC</t>
  </si>
  <si>
    <t>Modco reserve held by ABC</t>
  </si>
  <si>
    <t xml:space="preserve">ABC holds the Modco reserve on its balance sheet so it picks up the change in Modco reserve </t>
  </si>
  <si>
    <t xml:space="preserve">ABC has same retained amount as compared to coinsurance </t>
  </si>
  <si>
    <t xml:space="preserve">ABC holds all liabilities </t>
  </si>
  <si>
    <t>Surplus is identical to Coinsurance for both ABC and Reinsurer</t>
  </si>
  <si>
    <t>Net income is identical to Coinsurance for both ABC and Reinsurer</t>
  </si>
  <si>
    <t xml:space="preserve">Candidates must calculate the Funds Withheld adjustment and investment credit, and the cash settlements, in order to develop the income statement and balance sheet </t>
  </si>
  <si>
    <t>Opening Funds Withheld</t>
  </si>
  <si>
    <t>Funds Withheld Investment Credit</t>
  </si>
  <si>
    <t>Funds Withheld Adjustment</t>
  </si>
  <si>
    <t xml:space="preserve">Ending Funds Withheld </t>
  </si>
  <si>
    <t xml:space="preserve">Comments: Funds withheld investment credit is the investment income earned on assets backing the coinsurance reserves ceded </t>
  </si>
  <si>
    <t xml:space="preserve">The income statement for FWH is the same as for regular Coinsurance </t>
  </si>
  <si>
    <t xml:space="preserve">amount that ABC is holding on its balance sheet (assets) </t>
  </si>
  <si>
    <t xml:space="preserve">under FWH, ABC and Reinsurer have the same reserves as coinsurance </t>
  </si>
  <si>
    <t xml:space="preserve">ABC has a FWH liability, the assets that it holds for Reinsurer </t>
  </si>
  <si>
    <t xml:space="preserve">Invested assets are the same as in Modco (ABC holds all assets backing the reserves) </t>
  </si>
  <si>
    <t xml:space="preserve">i) (1 point) Coinsurance </t>
  </si>
  <si>
    <t xml:space="preserve">ii) (4 points) Modified Coinsurance </t>
  </si>
  <si>
    <t xml:space="preserve">iii) (4 points) Coinsurance with Funds Withheld </t>
  </si>
  <si>
    <t xml:space="preserve">The CFO is incorrect. Under each structure, the net income and surplus is the same for both ABC and Reinsurer </t>
  </si>
  <si>
    <t xml:space="preserve">ii) the payment required for the US error, and which company makes this payment  </t>
  </si>
  <si>
    <t>Guided Example #6</t>
  </si>
  <si>
    <t xml:space="preserve">This example tests the candidate's understanding of recapture provisions, with a practical application. </t>
  </si>
  <si>
    <t>2c</t>
  </si>
  <si>
    <t>Explain the considerations and process of managing insolvency of the ceding and assuming parties within a reinsurance transaction</t>
  </si>
  <si>
    <t>Life Reinsurance Treaty Recapture Provisions, SOA, Jun 2020</t>
  </si>
  <si>
    <t xml:space="preserve">a) (2 points) Describe the circumstances under which a ceding company would want a right to recapture under a reinsurance treaty. </t>
  </si>
  <si>
    <t xml:space="preserve">The reinsurance treaty has been in effect for 10 years. </t>
  </si>
  <si>
    <t xml:space="preserve">Your company's CFO asks if the treaty should be recaptured, when the option becomes available. </t>
  </si>
  <si>
    <t>Treaty Year</t>
  </si>
  <si>
    <t>Reinsurance Premium</t>
  </si>
  <si>
    <t xml:space="preserve">Expected Recoveries </t>
  </si>
  <si>
    <t xml:space="preserve">You are given the following information about a reinsurance treaty </t>
  </si>
  <si>
    <t xml:space="preserve">b) (4 points) Recommend whether or not the company should exercise its right to recapture. </t>
  </si>
  <si>
    <t xml:space="preserve">(you are to assume that the impact to the company's capital position is unaffected by any recapture) </t>
  </si>
  <si>
    <t xml:space="preserve">The recapture fee is $5,000,000 plus 0.5% of the expected future reinsurance premiums that would otherwise be payable discounted at 5% annual interest rate. </t>
  </si>
  <si>
    <t>Gain/Loss from Treaty</t>
  </si>
  <si>
    <t xml:space="preserve">0.5% of Premium </t>
  </si>
  <si>
    <t>PV at year 15</t>
  </si>
  <si>
    <t>The total recapture fee is 17,030,527</t>
  </si>
  <si>
    <t xml:space="preserve">The gain to the company on recapture is 23,393,731 (PV of future treaty gain/loss) </t>
  </si>
  <si>
    <t xml:space="preserve">Therefore the company should recapture when it can at year 15, since it will overall be a gain. </t>
  </si>
  <si>
    <t xml:space="preserve">Candidates should know they ignore anything that happens before year 15 (the company cannot recapture until after year 14) </t>
  </si>
  <si>
    <t xml:space="preserve">Candidates should recognize they need to consider the foregone premiums and recoveries. </t>
  </si>
  <si>
    <t xml:space="preserve">in this case, the future reinsurance premiums are higher than expected recoveries so the company avoids future expected losses by recapturing </t>
  </si>
  <si>
    <t xml:space="preserve">Reinsurer increases rates </t>
  </si>
  <si>
    <t>Reinsurer insolvency</t>
  </si>
  <si>
    <t xml:space="preserve">Reinsurer fails to provide security for reserve credit </t>
  </si>
  <si>
    <t xml:space="preserve">Reinsurer loss of license or other major failure to preserve cedant reserve credit </t>
  </si>
  <si>
    <t xml:space="preserve">After a specified period of time </t>
  </si>
  <si>
    <t xml:space="preserve">Some treaties may allow the reinsurer to adjust/increase premiums. In this case it may be financially better for the ceding company to recapture the risks. </t>
  </si>
  <si>
    <t xml:space="preserve">The ceding company should have the option to take back the risk if the reinsurer becomes financially impaired and may not be able to pay claims </t>
  </si>
  <si>
    <t xml:space="preserve">If the ceding company cannot obtain reserve credit the reinsurance has little value, and the option to recapture should be present </t>
  </si>
  <si>
    <t xml:space="preserve">as actual experience unfolds, the treaty may not be as effective as it was at inception. Period should be long enough for reinsurer to recoup upfront costs. </t>
  </si>
  <si>
    <t xml:space="preserve">Candidates need to compare the total recapture fee to the future gain/loss that they will incur by keeping the treaty in place. </t>
  </si>
  <si>
    <t xml:space="preserve">This example tests the candidate's understanding of reinsurance contracts, under IFRS17 accounting standard. Candidates are tested on the conceps of the CSM and risk of non-performance.  </t>
  </si>
  <si>
    <t>3d</t>
  </si>
  <si>
    <t>Understand IFRS and OSFI requirements related to reinsurance</t>
  </si>
  <si>
    <t>Guided Example #7</t>
  </si>
  <si>
    <t xml:space="preserve">The reinsurance risk adjustment is equal to 5% of the expected recoveries. </t>
  </si>
  <si>
    <t xml:space="preserve">ABC Life has purchased a reinsurance contract from XYZ Re, covering an inforce block of term insurance policies that it has previously issued. </t>
  </si>
  <si>
    <t xml:space="preserve">The IFRS17 discount rate for the reinsurance contract held is 3%. </t>
  </si>
  <si>
    <t xml:space="preserve">You realize that you have not included the risk of non-performance of XYZ Re. </t>
  </si>
  <si>
    <t xml:space="preserve">ABC's credit team provides you with the following information to determine the provision </t>
  </si>
  <si>
    <t>XYZ Re is currently rated AA-</t>
  </si>
  <si>
    <t xml:space="preserve">The expected reinsurance recoveries are given as follows: </t>
  </si>
  <si>
    <t xml:space="preserve">ABC Life pays a reinsurance premium of 260,000,000 at the beginning of Year 1. </t>
  </si>
  <si>
    <t xml:space="preserve">XYZ Re pays a ceding commission of 5,000,000 to ABC at the beginning of Year 1. </t>
  </si>
  <si>
    <t xml:space="preserve">If XYZ Re defaults, ABC Life receives no future reinsurance recoveries (i.e. the reinsurance contract terminates immediately and ABC Life has no further recourse). </t>
  </si>
  <si>
    <t xml:space="preserve">The discrete 1-year probability of defaults for a AA- rated company are given as follows: </t>
  </si>
  <si>
    <t>Probability of Default</t>
  </si>
  <si>
    <t xml:space="preserve">b) (3 points) Calculate the adjustment to the present value of future cash flows for the risk of non-performance of XYZ Re. </t>
  </si>
  <si>
    <t xml:space="preserve">Defaults occur at the middle of a given Year. </t>
  </si>
  <si>
    <t xml:space="preserve">At the end of Year 5, XYZ Re is downgraded to BBB. As a result of the downgrade, the probability of default increases by 50%. </t>
  </si>
  <si>
    <t xml:space="preserve">c) (3 points) Calculate the change in the risk of non-performance. </t>
  </si>
  <si>
    <t>old default</t>
  </si>
  <si>
    <t xml:space="preserve">new default </t>
  </si>
  <si>
    <t>Risk Adjustment</t>
  </si>
  <si>
    <t>Fulfilment cash flows</t>
  </si>
  <si>
    <t xml:space="preserve">Present Value of reinsurance recoveries </t>
  </si>
  <si>
    <t xml:space="preserve">Reinsurance Premium </t>
  </si>
  <si>
    <t>Reinsurance Ceding Commission</t>
  </si>
  <si>
    <t>Net Cost of Purchasing Reinsurance</t>
  </si>
  <si>
    <t xml:space="preserve">ABC Life's CSM is 8,740,031 (an asset, reflecting the cost of reinsurance) </t>
  </si>
  <si>
    <t>This is the amount that ABC expects to recover from XYZ</t>
  </si>
  <si>
    <t xml:space="preserve">This is the amount that ABC pays to XYX at beginning of Year 1 </t>
  </si>
  <si>
    <t xml:space="preserve">This is the amount that XYZ pays to ABC at beginning of Year 1 </t>
  </si>
  <si>
    <t xml:space="preserve">The sum of the above is the amount that ABC pays for the reinsurance </t>
  </si>
  <si>
    <t xml:space="preserve">Fulfilment cash flows </t>
  </si>
  <si>
    <t>Probability of Survival</t>
  </si>
  <si>
    <t xml:space="preserve">PV of fulfilment cash flows (loss on default) </t>
  </si>
  <si>
    <t>Expected losses</t>
  </si>
  <si>
    <t>The adjustment for risk of non-performance of XYZ is 10,934,015</t>
  </si>
  <si>
    <t xml:space="preserve">Candidates could do this calculation in different ways (a reserve approach, as above, or a cash flow triangle type approach) </t>
  </si>
  <si>
    <t>old survial</t>
  </si>
  <si>
    <t xml:space="preserve">It is now the the end of Year 5 and XYZ Re is downgraded to BBB. As a result of the downgrade, the probability of default increases by 50%. </t>
  </si>
  <si>
    <t>c) (3 points) Calculate the change in the provision for the risk of non-performance of XYZ Re.</t>
  </si>
  <si>
    <t>new survival</t>
  </si>
  <si>
    <t>old expected losses</t>
  </si>
  <si>
    <t>new expected losses</t>
  </si>
  <si>
    <t>The increase in provision for non-performance is 4,887,834</t>
  </si>
  <si>
    <t xml:space="preserve">The approach above determines the total amount of future cash flows that ABC would lose if XYZ defaults in a given year. </t>
  </si>
  <si>
    <t xml:space="preserve">Difference: </t>
  </si>
  <si>
    <t xml:space="preserve">Candidates need to recognize they need to determine the provision at beginning of Year 6, under both rating bases. </t>
  </si>
  <si>
    <t>Guided Example #8</t>
  </si>
  <si>
    <t xml:space="preserve">This example tests the candidate's understanding of fully reinsured business (100% reinsurance) and how different accounting bases may not result in a "net zero" income for the ceding company. </t>
  </si>
  <si>
    <t>3c</t>
  </si>
  <si>
    <t>Understand USGAAP and US Stat requirements related to reinsurance</t>
  </si>
  <si>
    <t>Fully Reinsured Business: Are the Financial Implications Neutralized, Or Not?, The Financial Reporter, Nov 2024</t>
  </si>
  <si>
    <t xml:space="preserve">ABC Life is considering a 100% coinsurance transaction on an inforce block of insurance contracts. </t>
  </si>
  <si>
    <t xml:space="preserve">ABC Life is a Canadian domiciled insurance company, and has US operations. </t>
  </si>
  <si>
    <t xml:space="preserve">ABC's US insurance entity is subject to all regular US GAAP and Stat reporting requirements. </t>
  </si>
  <si>
    <t xml:space="preserve">The company's CFO has asked you to explain the potential implications, considering both USGAAP LDTI and IFRS accounting requirements. </t>
  </si>
  <si>
    <t>i) Under US GAAP LDTI accounting requirements</t>
  </si>
  <si>
    <t xml:space="preserve">ii) Under IFRS accounting requirements </t>
  </si>
  <si>
    <t xml:space="preserve">a) (4 points) Explain why ABC may not experience non-zero go forward earnings on the block of 100% reinsured policies: </t>
  </si>
  <si>
    <t xml:space="preserve">The CFO is now considering ABC's consolidated financial statements, which are prepared on an IFRS basis. </t>
  </si>
  <si>
    <t xml:space="preserve">You are given the following information about the direct block of business: </t>
  </si>
  <si>
    <t>Time</t>
  </si>
  <si>
    <t xml:space="preserve">Benefits </t>
  </si>
  <si>
    <t>Expenses</t>
  </si>
  <si>
    <t>The expense allowance is set at 25,000 per calendar year. There is no upfront ceding commission, and there is no Time 0 reinsurance allowance.</t>
  </si>
  <si>
    <t xml:space="preserve">Both the direct insurance contract CSM and the reinsurance contract CSM amortize linearly. </t>
  </si>
  <si>
    <t xml:space="preserve">The provision for the risk of non-performance is set equal to 1% of the current period reinsurance premium. </t>
  </si>
  <si>
    <t xml:space="preserve">Assume that discount rates are zero, and for simplicity the risk adjustment is also zero for both the direct and reinsurance contracts. </t>
  </si>
  <si>
    <t xml:space="preserve">b) (4 points) Calculate ABC's IFRS net income for each of the next 10 years, after entering into the 100% coinsurance transaction with XYZ. </t>
  </si>
  <si>
    <t>Recoveries</t>
  </si>
  <si>
    <t>Allowances</t>
  </si>
  <si>
    <t>Risk of Non-Performance</t>
  </si>
  <si>
    <t>Direct Contracts</t>
  </si>
  <si>
    <t>Calculate direct CSM</t>
  </si>
  <si>
    <t>Calculate reinsurance CSM</t>
  </si>
  <si>
    <t xml:space="preserve">Ceded recoveries + allowanaces - ceded premiums + time 0 risk of non-performance </t>
  </si>
  <si>
    <t>Direct CSM release</t>
  </si>
  <si>
    <t xml:space="preserve"> XYZ Re fully performs its obligations over the lifetime of the reinsurance contract. </t>
  </si>
  <si>
    <t>Total Income</t>
  </si>
  <si>
    <t xml:space="preserve">Candidates need to include the change in the risk of non-performance each year, which by IFRS17 definition is recorded in P&amp;L. </t>
  </si>
  <si>
    <t>Reinsurance Contract</t>
  </si>
  <si>
    <t xml:space="preserve">Outflows less inflows on direct contracts (be careful not to miss the time zero expenses in the calculation) </t>
  </si>
  <si>
    <t xml:space="preserve">The components of net income are: </t>
  </si>
  <si>
    <t>Reinsurance  CSM release</t>
  </si>
  <si>
    <t>Change in Risk of Non-Performance</t>
  </si>
  <si>
    <t xml:space="preserve">The cost of reinsurance (ceding commission) may be paid at time zero, but is amortized over the life of the contract </t>
  </si>
  <si>
    <t xml:space="preserve">The cost of reinsurance (ceding commission) is deferred in the CSM and recognized over time. </t>
  </si>
  <si>
    <t xml:space="preserve">Different discount rates apply to the direct and ceded liability for future policy holder benefits </t>
  </si>
  <si>
    <t xml:space="preserve">The discount rate used for CSM accretion can differ between the direct and ceded groups, leading to a mismatch in CSM amortization </t>
  </si>
  <si>
    <t xml:space="preserve">Grouping - depending on the insurer's policy decisions, the direct and ceded groups may not align which can lead to timing differences in earnings </t>
  </si>
  <si>
    <t xml:space="preserve">The risk of non-performance of the reinsurer, and fluctuations in the balance which are reported in profit and loss, may create differences </t>
  </si>
  <si>
    <t xml:space="preserve">Direct and ceded contracts may have different contract boundaries, leading to different cash flows being included in the contract measurement </t>
  </si>
  <si>
    <t xml:space="preserve">If the direct contract uses the Variable Fee Approach, the reinsurance contract cannot. This can lead to mismatches in the ceded P&amp;L vs the direct contracts </t>
  </si>
  <si>
    <t xml:space="preserve">Credit spreads included in the discount rates can differ between direct and ceded contracts, leading to mismatches. </t>
  </si>
  <si>
    <t xml:space="preserve">a) (2 points) Calculate the contractual service margin for the reinsurance contract held. </t>
  </si>
  <si>
    <t>Guided Example #9</t>
  </si>
  <si>
    <t xml:space="preserve">This example tests the candidate's understanding of structured reinsurance, financing costs, and potential impact of US Actuarial Guideline 48 (AG48). </t>
  </si>
  <si>
    <t xml:space="preserve">i. a block of term life insurance contracts which are subject to the Valuation of Life Insurance Policies Model Regulation 830 (Model 830 or XXX) </t>
  </si>
  <si>
    <t>ii. A block of universal life insurance contracts which are subject to Actuarial Guideine XXXVIII (AG38 or AXXX)</t>
  </si>
  <si>
    <t xml:space="preserve">ABC Life has 2 blocks of life insurance contracts that plans to reinsure to a captive reinsurer, in order to finance the redundant statutory reserves: </t>
  </si>
  <si>
    <t xml:space="preserve">a) (3 points)  Explain the impact of AG48 on ABC's reserve financing. </t>
  </si>
  <si>
    <t xml:space="preserve">You are given the following information on the block of universal life insurance contracts: </t>
  </si>
  <si>
    <t>UL CRVM Reserve</t>
  </si>
  <si>
    <t>AG 38 Reserve</t>
  </si>
  <si>
    <t>Economic Reserve</t>
  </si>
  <si>
    <t>Actuarial Method Reserve</t>
  </si>
  <si>
    <t>Year 10</t>
  </si>
  <si>
    <t>Year 20</t>
  </si>
  <si>
    <t>Year 30</t>
  </si>
  <si>
    <t>Year 40</t>
  </si>
  <si>
    <t>Year 50</t>
  </si>
  <si>
    <t>Year 60</t>
  </si>
  <si>
    <t xml:space="preserve">b) (4 points) Calculate the amount financed (redundant reserve) </t>
  </si>
  <si>
    <t>i) Before the application of AG48</t>
  </si>
  <si>
    <t xml:space="preserve">ii) After the application of AG48 </t>
  </si>
  <si>
    <t>Retained Reserve</t>
  </si>
  <si>
    <t>Redundant Reserve</t>
  </si>
  <si>
    <t xml:space="preserve">The Retained Reserve equals the UL CRVM Reserve plus the Economic Reserve </t>
  </si>
  <si>
    <t xml:space="preserve">The redundant reserve equals the AG38 Reserve less the Retained Reserve </t>
  </si>
  <si>
    <t xml:space="preserve">Candidates must understand the total reserve (AG38) and the amount which is retained by ABC (UL CRVM + Economic Reserve) </t>
  </si>
  <si>
    <t>The Retained Reserve equals the UL CRVM Reserve plus the Actuarial Method Reserve</t>
  </si>
  <si>
    <t xml:space="preserve">Candidates must understand the total reserve (AG38) and the amount which is retained by ABC (UL CRVM + Actuarial Method Reserve) </t>
  </si>
  <si>
    <t xml:space="preserve">In Year 50 and Year 60 the Economic Reserve exceeds the Actuarial Method Reserve and candidates may be inclined to use the higher of the two, however that is not the case. </t>
  </si>
  <si>
    <t xml:space="preserve">AG48 applies to treaties entered into, or for new business added to existing treaties, after December 31, 2014 </t>
  </si>
  <si>
    <t>AG48 requires ABC to retain a new Actuarial Method Reserve (modified VM-20)</t>
  </si>
  <si>
    <t xml:space="preserve">There are also rules on the assets that back Other Security, which are any excess of the AG38 reserve over the AG48 reserve. </t>
  </si>
  <si>
    <t xml:space="preserve">Other Security assets are determined by the company's state regulator. </t>
  </si>
  <si>
    <t xml:space="preserve">Primary Security assets are typically cash or SVO listed securities. In Funds withheld and modco, other assets such as commercial loans can be used. </t>
  </si>
  <si>
    <t xml:space="preserve">It also restricts the type of assets which can back the Actuarial Method Reserve, or the Primary Security. </t>
  </si>
  <si>
    <t xml:space="preserve">AG48 requires ABC's appointed actuary to certify the Primary Security and Other Security amounts </t>
  </si>
  <si>
    <t>Candidates should describe the key impacts of AG48, and consider ABC's blocks in that commentary.</t>
  </si>
  <si>
    <t xml:space="preserve">i. a block of term life insurance contracts which are not subject to the Valuation of Life Insurance Policies Model Regulation 830 (Model 830 or XXX) </t>
  </si>
  <si>
    <t xml:space="preserve">AG48 only applies to ABC's universal life block, and not the term block </t>
  </si>
  <si>
    <t>Guided Example #10</t>
  </si>
  <si>
    <t>1h</t>
  </si>
  <si>
    <t>Understand the role of private equity involvement in the global reinsurance market and the use of offshore reinsurance</t>
  </si>
  <si>
    <t xml:space="preserve">This example tests the candidate's understanding of the increase in asset intensive reinsurance and the approaches taken by the ceding and assuming company regulators in respect of that increase. </t>
  </si>
  <si>
    <t xml:space="preserve">a) (3 points) Explain the recent increase in asset intensive reinsurance transactions. </t>
  </si>
  <si>
    <t xml:space="preserve">b) (3 points) Describe the role of private equity (both standalone private equity firms, and private equity backed (re)insurers) in asset intensive reinsurance transactions. </t>
  </si>
  <si>
    <t xml:space="preserve">c) (4 points) Compare and contrast the regulatory actions being undertaken by US and Bermuda regulators, in response to the increase in asset intensive reinsurance and the use of offshore reinsurance. </t>
  </si>
  <si>
    <t xml:space="preserve">This topic is discussed in several of the syllabus references. An ideal response will summarize the key points from those readings, demonstrating that the candidate understands the material </t>
  </si>
  <si>
    <t xml:space="preserve">Direct insurers are under pressure to offer different product guarantees (interest rate or crediting rate guarantees, cost of insurance charges) due to periods of prolonged low interest rates. </t>
  </si>
  <si>
    <t xml:space="preserve">Direct insurers also under pressure due to regulatory changes since the 2008 financial crisis, and generally long duration products with guarantees are facing higher capital requirements. </t>
  </si>
  <si>
    <t>Source 2</t>
  </si>
  <si>
    <t>Direct insurers may want/need to increase returns to shareholders</t>
  </si>
  <si>
    <t>Direct insurers may want to exit lower return, or capital intensive, lines of business</t>
  </si>
  <si>
    <t>Source 1</t>
  </si>
  <si>
    <t>Reinsurers may find certain blocks of buiness (annuities or pension risk) attractive, and a diversification vs traditional mortality business</t>
  </si>
  <si>
    <t xml:space="preserve">Reinsurers , specifically offshore reinsurers, can hold less liquid / higher yielding credit, as compared to onshore insurers </t>
  </si>
  <si>
    <t xml:space="preserve">Reinsurers can benefit from increased fee income, improving returns and diversifying business models </t>
  </si>
  <si>
    <t xml:space="preserve">Source 2 </t>
  </si>
  <si>
    <t xml:space="preserve">PE firms built significant origination capability, centered around fixed annuities and fixed-indexed annuities. </t>
  </si>
  <si>
    <t>Direct insurers also use PE companies to de-risk balance sheets through reinsurance transactions and to manage portions of their own portfolios to earn the illiquidity premiums on investments</t>
  </si>
  <si>
    <t xml:space="preserve">Private equity firms seek higher yields, relative to traditional fixed income insurance portfolios which can improve inforce reinsurance pricing . </t>
  </si>
  <si>
    <t xml:space="preserve">In many cases, PE firm assets are also less liquid which can be a good match to long duration insurance or annuity liabilities (better ALM for ceding company, post reinsurance) </t>
  </si>
  <si>
    <t xml:space="preserve">PE firms can partner directly with traditional reinsurers, to offer asset intensive reinsurance solutions (better investment capability brought into the transaction) </t>
  </si>
  <si>
    <t xml:space="preserve">PE firms can access different sources of capital, outside of the traditional reinsurer capital markets. </t>
  </si>
  <si>
    <t xml:space="preserve">PE firms have flexibiilty in where they are domiciled which can lead to efficiencies for ceding companies (Bermuda for example) </t>
  </si>
  <si>
    <t xml:space="preserve">this can be capital efficiency, admittance of different asset classes, or economic balance sheets which can improve overall results </t>
  </si>
  <si>
    <t xml:space="preserve">Both regulators aim to maintain a robust insurance and reinsurance market, with adequate and appropriate supervision. </t>
  </si>
  <si>
    <t xml:space="preserve">Neither regulator would want to see a failure of a regulated (re)insurance company however they acknowledge that captial requirements cannot guarantee such an outcome </t>
  </si>
  <si>
    <t xml:space="preserve">US regulators are more focused on the policyholders/customers and design legislation and rules to ultimately protect the policyholder </t>
  </si>
  <si>
    <t xml:space="preserve">US regulators have recently become concerned with the rise in offshore reinsurance and asset intensive reinsurance </t>
  </si>
  <si>
    <t xml:space="preserve">Both regulators recognize the importance of cross border reinsurance to the pension protection gap and the insurance protection gap </t>
  </si>
  <si>
    <t xml:space="preserve">the themes are around whether the investments held in the offshore reinsurance are appropriate and the regulatory framework that the reinsurer is subject to </t>
  </si>
  <si>
    <t xml:space="preserve">US regulators are considering a look through to the assets held by the reinsurer for asset adequacy testing purposes (gross of reinsurance approach) </t>
  </si>
  <si>
    <t>Reinsurers may have better access to capital as well as significant expertise in investment and asset liability management to support this business</t>
  </si>
  <si>
    <t>Source 3</t>
  </si>
  <si>
    <t xml:space="preserve">Bermuda has specific rules which it applies to private equity (re)insurers </t>
  </si>
  <si>
    <t xml:space="preserve">includes additional licensing requirements (shareholder structure, business plan, asset portfolio details, capital strategy, communication with cedant's regulator) </t>
  </si>
  <si>
    <t xml:space="preserve">also includes additional supervisory monitoring (investment strategy, liquidity and ALM, risk management, coporate governance, and solvency) </t>
  </si>
  <si>
    <t xml:space="preserve">Bermuda requires prior approval for all PE reinsurance and asset intensive transactions (which is also dependent on ceding entity's regulator being comfortable with the transaction) </t>
  </si>
  <si>
    <t xml:space="preserve">Bermuda has a "prudent person principle" requirement for all illiquid assets to ensure they are appropriate to the asset intensive transaction </t>
  </si>
  <si>
    <t xml:space="preserve">Candidates should draw information about the US (NAIC) and Bermuda (BMA) supervisory activities from Sources 3, 4, and 5. A well laid out response, along the lines of the one below, should earn full credit </t>
  </si>
  <si>
    <t>Example #</t>
  </si>
  <si>
    <t>1d, 3e, 4c</t>
  </si>
  <si>
    <t>1b, 1c</t>
  </si>
  <si>
    <t>2a, 4a, 4b</t>
  </si>
  <si>
    <t>2a, 2c</t>
  </si>
  <si>
    <t>3c, 3d</t>
  </si>
  <si>
    <t>1c, 3c</t>
  </si>
  <si>
    <t>1h, 3e</t>
  </si>
  <si>
    <t>Example Topic</t>
  </si>
  <si>
    <t>Points</t>
  </si>
  <si>
    <t>CP341-117-25: Collateral Structures in the Bermuda Long-term Insurance Market</t>
  </si>
  <si>
    <t>CP341-118-25: Management of Collateralised Reinsurance</t>
  </si>
  <si>
    <t>CP341-112-25: IFRS 17 Pocket Guide on Reinsurance Contracts Held</t>
  </si>
  <si>
    <t>CP341-103-25: The Rising Tide of Offshore Life Reinsurance Raises Yellow Caution Flag</t>
  </si>
  <si>
    <t>CP341-104-25: Private Equity and Life Insurers</t>
  </si>
  <si>
    <t>CP341-113-25: Supervision and Regulation of PE Insurers in Bermuda</t>
  </si>
  <si>
    <t>CP341-114-25: The Bermuda Monetary Authority’s Approach to Private Equity-Owned (Re)insurers</t>
  </si>
  <si>
    <t xml:space="preserve">CP341-108-25: The Heat is on for US Asset-Intensive Reinsurance Regulations </t>
  </si>
  <si>
    <t>Impacts of AG48, Reinsurance News, November 2015</t>
  </si>
  <si>
    <t>Recommend changes to the collateral that you will request from ZZZ Re.</t>
  </si>
  <si>
    <t xml:space="preserve">Recommend changes to the collateral that you will request from ZZZ Re. </t>
  </si>
  <si>
    <t xml:space="preserve">6. (6 points) </t>
  </si>
  <si>
    <t xml:space="preserve">7. (8 points) </t>
  </si>
  <si>
    <t xml:space="preserve">83 (8 points) </t>
  </si>
  <si>
    <t xml:space="preserve">8. (8 points) </t>
  </si>
  <si>
    <t xml:space="preserve">9. (7 points) </t>
  </si>
  <si>
    <t>10. (10 points)</t>
  </si>
  <si>
    <t xml:space="preserve">The US reinsurer is required to pay 1381.15 to ABC </t>
  </si>
  <si>
    <t xml:space="preserve">The treaty allows the ceding company to recapture 100% of the risks after the treaty has been in force for 14 years (i.e. at the beginning of year 15 of the treaty). </t>
  </si>
  <si>
    <t xml:space="preserve">XYZ Re offers to fully reinsure the block of business, effective from Time 0 (100% coinsurance). </t>
  </si>
  <si>
    <t xml:space="preserve">Alternatively, PE firms have founded, or purchased, reinsurance companies and reinsure business and manage the asset risk in a single entity </t>
  </si>
  <si>
    <t>GUIDED EXAMPLES</t>
  </si>
  <si>
    <t>o</t>
  </si>
  <si>
    <t xml:space="preserve">These guided examples are intended to enhance specific curriculum resources where additional examples, practice calculations, and/or application of material could benefit candidates. These are not part of the required syllabus but are intended to make the required syllabus topics easier to master. These examples may be longer, more in depth, and/or include more calculation than would likely be used in an assessment environment.  </t>
  </si>
  <si>
    <t xml:space="preserve">These guided examples are presented in two formats – a version where candidates can attempt to navigate the problem/situation independently, and a narrated version where a solution is presented along with assistance to explain the steps involved.  </t>
  </si>
  <si>
    <t xml:space="preserve">These guided examples present one method of arriving at a solution; there could be equally appropriate alternative solutions. </t>
  </si>
  <si>
    <t>These guided examples are not intended to approximate a course assessment, and candidates should not use them as proxies for assessment items. For examples of assessment items, we recommend referencing the curated past exam questions for this course.</t>
  </si>
  <si>
    <t>education@soa.org</t>
  </si>
  <si>
    <t>Version 2025-1</t>
  </si>
  <si>
    <t>Updated: July 8, 2025</t>
  </si>
  <si>
    <t xml:space="preserve">Copyright © Society of Actuaries </t>
  </si>
  <si>
    <t>CP 341 - Advanced Life Reinsurance</t>
  </si>
  <si>
    <t>These guided examples have been developed by an actuary with subject matter expertise, with review and modifications by course curriculum committee volunteers and SOA staff. We will continue to refine and expand this example set over time; candidates who would like to recommend source material that could benefit from additional guided examples should reach out 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</si>
</sst>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 #,##0.000_);_(* \(#,##0.000\);_(* &quot;-&quot;??_);_(@_)"/>
    <numFmt numFmtId="167" formatCode="_(* #,##0.0000_);_(* \(#,##0.0000\);_(* &quot;-&quot;??_);_(@_)"/>
    <numFmt numFmtId="168" formatCode="_(* #,##0.00000_);_(* \(#,##0.00000\);_(* &quot;-&quot;??_);_(@_)"/>
  </numFmts>
  <fonts count="16" x14ac:knownFonts="1">
    <font>
      <sz val="11"/>
      <color theme="1"/>
      <name val="Aptos Narrow"/>
      <family val="2"/>
      <scheme val="minor"/>
    </font>
    <font>
      <sz val="11"/>
      <color theme="1"/>
      <name val="Aptos Narrow"/>
      <family val="2"/>
      <scheme val="minor"/>
    </font>
    <font>
      <i/>
      <sz val="11"/>
      <color theme="1"/>
      <name val="Aptos Narrow"/>
      <family val="2"/>
      <scheme val="minor"/>
    </font>
    <font>
      <b/>
      <i/>
      <sz val="11"/>
      <color theme="1"/>
      <name val="Aptos Narrow"/>
      <family val="2"/>
      <scheme val="minor"/>
    </font>
    <font>
      <b/>
      <u/>
      <sz val="11"/>
      <color theme="1"/>
      <name val="Aptos Narrow"/>
      <family val="2"/>
      <scheme val="minor"/>
    </font>
    <font>
      <sz val="11"/>
      <color rgb="FFFF0000"/>
      <name val="Aptos Narrow"/>
      <family val="2"/>
      <scheme val="minor"/>
    </font>
    <font>
      <b/>
      <sz val="11"/>
      <color theme="1"/>
      <name val="Aptos Narrow"/>
      <family val="2"/>
      <scheme val="minor"/>
    </font>
    <font>
      <b/>
      <sz val="11"/>
      <color indexed="8"/>
      <name val="Aptos Narrow"/>
      <family val="2"/>
      <scheme val="minor"/>
    </font>
    <font>
      <u/>
      <sz val="11"/>
      <color theme="10"/>
      <name val="Aptos Narrow"/>
      <family val="2"/>
      <scheme val="minor"/>
    </font>
    <font>
      <b/>
      <sz val="26"/>
      <color theme="4"/>
      <name val="Calibri Light"/>
      <family val="2"/>
    </font>
    <font>
      <sz val="11"/>
      <color theme="4"/>
      <name val="Aptos Narrow"/>
      <family val="2"/>
      <scheme val="minor"/>
    </font>
    <font>
      <sz val="16"/>
      <color theme="4"/>
      <name val="Aptos Display"/>
      <family val="2"/>
      <scheme val="major"/>
    </font>
    <font>
      <sz val="11"/>
      <name val="Aptos Narrow"/>
      <family val="2"/>
    </font>
    <font>
      <u/>
      <sz val="11"/>
      <color theme="10"/>
      <name val="Aptos Narrow"/>
      <family val="2"/>
    </font>
    <font>
      <sz val="11"/>
      <color theme="1"/>
      <name val="Aptos Narrow"/>
      <family val="2"/>
    </font>
    <font>
      <sz val="10"/>
      <color theme="1"/>
      <name val="Aptos Narrow"/>
      <family val="2"/>
      <scheme val="minor"/>
    </font>
  </fonts>
  <fills count="3">
    <fill>
      <patternFill patternType="none"/>
    </fill>
    <fill>
      <patternFill patternType="gray125"/>
    </fill>
    <fill>
      <patternFill patternType="solid">
        <fgColor rgb="FFFFFFCC"/>
        <bgColor indexed="64"/>
      </patternFill>
    </fill>
  </fills>
  <borders count="1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8" fillId="0" borderId="0" applyNumberFormat="0" applyFill="0" applyBorder="0" applyAlignment="0" applyProtection="0"/>
  </cellStyleXfs>
  <cellXfs count="102">
    <xf numFmtId="0" fontId="0" fillId="0" borderId="0" xfId="0"/>
    <xf numFmtId="164" fontId="0" fillId="0" borderId="0" xfId="1" applyNumberFormat="1" applyFont="1"/>
    <xf numFmtId="0" fontId="0" fillId="0" borderId="0" xfId="0" applyAlignment="1">
      <alignment horizontal="left" indent="1"/>
    </xf>
    <xf numFmtId="0" fontId="0" fillId="0" borderId="0" xfId="0" applyAlignment="1">
      <alignment horizontal="left"/>
    </xf>
    <xf numFmtId="164" fontId="0" fillId="0" borderId="0" xfId="0" applyNumberFormat="1"/>
    <xf numFmtId="9" fontId="0" fillId="0" borderId="0" xfId="2" applyFont="1"/>
    <xf numFmtId="0" fontId="0" fillId="2" borderId="0" xfId="0" applyFill="1"/>
    <xf numFmtId="0" fontId="2" fillId="2" borderId="0" xfId="0" applyFont="1" applyFill="1"/>
    <xf numFmtId="0" fontId="0" fillId="2" borderId="0" xfId="0" applyFill="1" applyAlignment="1">
      <alignment horizontal="left" indent="1"/>
    </xf>
    <xf numFmtId="0" fontId="0" fillId="2" borderId="0" xfId="0" applyFill="1" applyAlignment="1">
      <alignment horizontal="left"/>
    </xf>
    <xf numFmtId="0" fontId="3" fillId="0" borderId="0" xfId="0" applyFont="1"/>
    <xf numFmtId="0" fontId="4" fillId="0" borderId="0" xfId="0" applyFont="1"/>
    <xf numFmtId="37" fontId="0" fillId="2" borderId="0" xfId="0" applyNumberFormat="1" applyFill="1"/>
    <xf numFmtId="44" fontId="0" fillId="0" borderId="0" xfId="3" applyFont="1"/>
    <xf numFmtId="0" fontId="0" fillId="0" borderId="0" xfId="0" applyAlignment="1">
      <alignment horizontal="center"/>
    </xf>
    <xf numFmtId="0" fontId="0" fillId="0" borderId="0" xfId="0" applyAlignment="1">
      <alignment horizontal="center" wrapText="1"/>
    </xf>
    <xf numFmtId="43" fontId="0" fillId="0" borderId="0" xfId="1" applyFont="1" applyBorder="1" applyAlignment="1">
      <alignment horizontal="center"/>
    </xf>
    <xf numFmtId="43" fontId="0" fillId="0" borderId="0" xfId="1" applyFont="1" applyBorder="1" applyAlignment="1">
      <alignment horizontal="center" wrapText="1"/>
    </xf>
    <xf numFmtId="43" fontId="0" fillId="0" borderId="0" xfId="1" applyFont="1"/>
    <xf numFmtId="165" fontId="0" fillId="0" borderId="0" xfId="3" applyNumberFormat="1" applyFont="1"/>
    <xf numFmtId="6" fontId="0" fillId="0" borderId="0" xfId="0" applyNumberFormat="1"/>
    <xf numFmtId="165" fontId="0" fillId="0" borderId="0" xfId="0" applyNumberFormat="1"/>
    <xf numFmtId="43" fontId="0" fillId="2" borderId="0" xfId="1" applyFont="1" applyFill="1" applyBorder="1" applyAlignment="1">
      <alignment horizontal="center"/>
    </xf>
    <xf numFmtId="43" fontId="0" fillId="2" borderId="0" xfId="1" applyFont="1" applyFill="1" applyBorder="1" applyAlignment="1">
      <alignment horizontal="center" wrapText="1"/>
    </xf>
    <xf numFmtId="165" fontId="0" fillId="2" borderId="0" xfId="3" applyNumberFormat="1" applyFont="1" applyFill="1"/>
    <xf numFmtId="6" fontId="0" fillId="2" borderId="0" xfId="0" applyNumberFormat="1" applyFill="1"/>
    <xf numFmtId="165" fontId="0" fillId="2" borderId="0" xfId="0" applyNumberFormat="1" applyFill="1"/>
    <xf numFmtId="9" fontId="0" fillId="2" borderId="0" xfId="2" applyFont="1" applyFill="1"/>
    <xf numFmtId="44" fontId="0" fillId="2" borderId="0" xfId="0" applyNumberFormat="1" applyFill="1"/>
    <xf numFmtId="10" fontId="0" fillId="2" borderId="0" xfId="2" applyNumberFormat="1" applyFont="1" applyFill="1"/>
    <xf numFmtId="166" fontId="0" fillId="0" borderId="0" xfId="1" applyNumberFormat="1" applyFont="1"/>
    <xf numFmtId="9" fontId="0" fillId="0" borderId="0" xfId="0" applyNumberFormat="1"/>
    <xf numFmtId="0" fontId="0" fillId="2" borderId="0" xfId="0" quotePrefix="1" applyFill="1"/>
    <xf numFmtId="0" fontId="0" fillId="2" borderId="0" xfId="0" applyFill="1" applyAlignment="1">
      <alignment horizontal="center"/>
    </xf>
    <xf numFmtId="0" fontId="0" fillId="2" borderId="0" xfId="0" applyFill="1" applyAlignment="1">
      <alignment horizontal="center" wrapText="1"/>
    </xf>
    <xf numFmtId="43" fontId="0" fillId="2" borderId="0" xfId="1" applyFont="1" applyFill="1"/>
    <xf numFmtId="43" fontId="0" fillId="2" borderId="0" xfId="0" applyNumberFormat="1" applyFill="1"/>
    <xf numFmtId="0" fontId="6" fillId="0" borderId="0" xfId="0" applyFont="1"/>
    <xf numFmtId="0" fontId="7" fillId="0" borderId="0" xfId="0" applyFont="1"/>
    <xf numFmtId="9" fontId="5" fillId="0" borderId="0" xfId="0" applyNumberFormat="1" applyFont="1"/>
    <xf numFmtId="0" fontId="7" fillId="2" borderId="0" xfId="0" applyFont="1" applyFill="1"/>
    <xf numFmtId="0" fontId="3" fillId="2" borderId="0" xfId="0" applyFont="1" applyFill="1"/>
    <xf numFmtId="0" fontId="0" fillId="0" borderId="0" xfId="0" applyAlignment="1">
      <alignment wrapText="1"/>
    </xf>
    <xf numFmtId="10" fontId="0" fillId="0" borderId="0" xfId="0" applyNumberFormat="1"/>
    <xf numFmtId="8" fontId="0" fillId="0" borderId="0" xfId="0" applyNumberFormat="1"/>
    <xf numFmtId="0" fontId="0" fillId="2" borderId="0" xfId="0" applyFill="1" applyAlignment="1">
      <alignment wrapText="1"/>
    </xf>
    <xf numFmtId="164" fontId="0" fillId="2" borderId="0" xfId="1" applyNumberFormat="1" applyFont="1" applyFill="1"/>
    <xf numFmtId="167" fontId="0" fillId="0" borderId="0" xfId="1" applyNumberFormat="1" applyFont="1"/>
    <xf numFmtId="164" fontId="0" fillId="2" borderId="0" xfId="0" applyNumberFormat="1" applyFill="1"/>
    <xf numFmtId="167" fontId="0" fillId="2" borderId="0" xfId="1" applyNumberFormat="1" applyFont="1" applyFill="1"/>
    <xf numFmtId="168" fontId="0" fillId="2" borderId="0" xfId="1" applyNumberFormat="1" applyFont="1" applyFill="1"/>
    <xf numFmtId="8" fontId="0" fillId="2" borderId="0" xfId="0" applyNumberFormat="1" applyFill="1"/>
    <xf numFmtId="164" fontId="6" fillId="2" borderId="0" xfId="1" applyNumberFormat="1" applyFont="1" applyFill="1"/>
    <xf numFmtId="0" fontId="6" fillId="2" borderId="0" xfId="0" applyFont="1" applyFill="1" applyAlignment="1">
      <alignment horizontal="center" wrapText="1"/>
    </xf>
    <xf numFmtId="164" fontId="6" fillId="2" borderId="0" xfId="0" applyNumberFormat="1" applyFont="1" applyFill="1"/>
    <xf numFmtId="0" fontId="0" fillId="2" borderId="8" xfId="0" applyFill="1" applyBorder="1" applyAlignment="1">
      <alignment horizontal="center"/>
    </xf>
    <xf numFmtId="0" fontId="0" fillId="2" borderId="9" xfId="0" applyFill="1" applyBorder="1" applyAlignment="1">
      <alignment horizontal="center"/>
    </xf>
    <xf numFmtId="164" fontId="0" fillId="2" borderId="8" xfId="1" applyNumberFormat="1" applyFont="1" applyFill="1" applyBorder="1"/>
    <xf numFmtId="164" fontId="0" fillId="2" borderId="0" xfId="1" applyNumberFormat="1" applyFont="1" applyFill="1" applyBorder="1"/>
    <xf numFmtId="164" fontId="0" fillId="2" borderId="9" xfId="1" applyNumberFormat="1" applyFont="1" applyFill="1" applyBorder="1"/>
    <xf numFmtId="164" fontId="0" fillId="2" borderId="5" xfId="0" applyNumberFormat="1" applyFill="1" applyBorder="1"/>
    <xf numFmtId="164" fontId="0" fillId="2" borderId="1" xfId="0" applyNumberFormat="1" applyFill="1" applyBorder="1"/>
    <xf numFmtId="164" fontId="0" fillId="2" borderId="6" xfId="0" applyNumberFormat="1" applyFill="1" applyBorder="1"/>
    <xf numFmtId="0" fontId="0" fillId="2" borderId="9" xfId="0" applyFill="1" applyBorder="1" applyAlignment="1">
      <alignment horizontal="center" wrapText="1"/>
    </xf>
    <xf numFmtId="0" fontId="0" fillId="2" borderId="6" xfId="0" applyFill="1" applyBorder="1"/>
    <xf numFmtId="0" fontId="0" fillId="2" borderId="0" xfId="0" applyFill="1" applyAlignment="1">
      <alignment horizontal="left" indent="2"/>
    </xf>
    <xf numFmtId="43" fontId="1" fillId="0" borderId="0" xfId="1" applyFont="1" applyAlignment="1">
      <alignment horizontal="center"/>
    </xf>
    <xf numFmtId="43" fontId="0" fillId="0" borderId="0" xfId="1" applyFont="1" applyAlignment="1">
      <alignment horizontal="center" wrapText="1"/>
    </xf>
    <xf numFmtId="0" fontId="0" fillId="0" borderId="10" xfId="0" applyBorder="1" applyAlignment="1">
      <alignment vertical="center"/>
    </xf>
    <xf numFmtId="0" fontId="0" fillId="0" borderId="11" xfId="0" applyBorder="1" applyAlignment="1">
      <alignment vertical="center"/>
    </xf>
    <xf numFmtId="0" fontId="0" fillId="0" borderId="11" xfId="0" applyBorder="1" applyAlignment="1">
      <alignment vertical="center" wrapText="1"/>
    </xf>
    <xf numFmtId="0" fontId="0" fillId="0" borderId="12" xfId="0" applyBorder="1" applyAlignment="1">
      <alignment vertical="center"/>
    </xf>
    <xf numFmtId="164" fontId="0" fillId="2" borderId="7" xfId="1" applyNumberFormat="1" applyFont="1" applyFill="1" applyBorder="1"/>
    <xf numFmtId="0" fontId="0" fillId="2" borderId="0" xfId="0" applyFill="1" applyAlignment="1">
      <alignment horizontal="center"/>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0" fillId="0" borderId="1" xfId="0" applyBorder="1" applyAlignment="1">
      <alignment horizontal="center" wrapText="1"/>
    </xf>
    <xf numFmtId="0" fontId="0" fillId="0" borderId="6" xfId="0" applyBorder="1" applyAlignment="1">
      <alignment horizontal="center" wrapText="1"/>
    </xf>
    <xf numFmtId="0" fontId="0" fillId="0" borderId="0" xfId="0" applyAlignment="1">
      <alignment horizontal="center"/>
    </xf>
    <xf numFmtId="0" fontId="0" fillId="0" borderId="1"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9" fillId="0" borderId="0" xfId="0" applyFont="1" applyAlignment="1">
      <alignment horizontal="center"/>
    </xf>
    <xf numFmtId="0" fontId="10" fillId="0" borderId="0" xfId="0" applyFont="1"/>
    <xf numFmtId="0" fontId="11" fillId="0" borderId="0" xfId="0" applyFont="1" applyAlignment="1">
      <alignment horizontal="center"/>
    </xf>
    <xf numFmtId="0" fontId="0" fillId="0" borderId="0" xfId="0" applyAlignment="1">
      <alignment horizontal="right" vertical="top" indent="1"/>
    </xf>
    <xf numFmtId="0" fontId="12" fillId="0" borderId="0" xfId="0" applyFont="1" applyAlignment="1">
      <alignment horizontal="left" wrapText="1"/>
    </xf>
    <xf numFmtId="0" fontId="12" fillId="0" borderId="0" xfId="0" applyFont="1"/>
    <xf numFmtId="0" fontId="8" fillId="0" borderId="0" xfId="4"/>
    <xf numFmtId="0" fontId="13" fillId="0" borderId="0" xfId="4" applyFont="1"/>
    <xf numFmtId="0" fontId="14" fillId="0" borderId="0" xfId="0" applyFont="1"/>
    <xf numFmtId="0" fontId="15" fillId="0" borderId="0" xfId="0" applyFont="1" applyAlignment="1">
      <alignment horizontal="left"/>
    </xf>
    <xf numFmtId="0" fontId="15" fillId="0" borderId="0" xfId="0" applyFont="1" applyAlignment="1">
      <alignment horizontal="center"/>
    </xf>
    <xf numFmtId="0" fontId="15" fillId="0" borderId="0" xfId="0" applyFont="1" applyAlignment="1">
      <alignment horizontal="right"/>
    </xf>
  </cellXfs>
  <cellStyles count="5">
    <cellStyle name="Comma" xfId="1" builtinId="3"/>
    <cellStyle name="Currency" xfId="3" builtinId="4"/>
    <cellStyle name="Hyperlink" xfId="4" builtinId="8"/>
    <cellStyle name="Normal" xfId="0" builtinId="0"/>
    <cellStyle name="Percent" xfId="2"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190501</xdr:colOff>
      <xdr:row>0</xdr:row>
      <xdr:rowOff>171451</xdr:rowOff>
    </xdr:from>
    <xdr:to>
      <xdr:col>2</xdr:col>
      <xdr:colOff>495301</xdr:colOff>
      <xdr:row>3</xdr:row>
      <xdr:rowOff>135542</xdr:rowOff>
    </xdr:to>
    <xdr:pic>
      <xdr:nvPicPr>
        <xdr:cNvPr id="2" name="Picture 1">
          <a:extLst>
            <a:ext uri="{FF2B5EF4-FFF2-40B4-BE49-F238E27FC236}">
              <a16:creationId xmlns:a16="http://schemas.microsoft.com/office/drawing/2014/main" id="{18993075-D3BB-4B40-9A6B-7BCF426671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1" y="167641"/>
          <a:ext cx="1524000" cy="514636"/>
        </a:xfrm>
        <a:prstGeom prst="rect">
          <a:avLst/>
        </a:prstGeom>
      </xdr:spPr>
    </xdr:pic>
    <xdr:clientData/>
  </xdr:twoCellAnchor>
  <xdr:twoCellAnchor>
    <xdr:from>
      <xdr:col>0</xdr:col>
      <xdr:colOff>285750</xdr:colOff>
      <xdr:row>8</xdr:row>
      <xdr:rowOff>57150</xdr:rowOff>
    </xdr:from>
    <xdr:to>
      <xdr:col>9</xdr:col>
      <xdr:colOff>590550</xdr:colOff>
      <xdr:row>8</xdr:row>
      <xdr:rowOff>66675</xdr:rowOff>
    </xdr:to>
    <xdr:cxnSp macro="">
      <xdr:nvCxnSpPr>
        <xdr:cNvPr id="3" name="Straight Connector 2">
          <a:extLst>
            <a:ext uri="{FF2B5EF4-FFF2-40B4-BE49-F238E27FC236}">
              <a16:creationId xmlns:a16="http://schemas.microsoft.com/office/drawing/2014/main" id="{C3D812EA-B303-47FA-8306-BDC7CE7AA734}"/>
            </a:ext>
          </a:extLst>
        </xdr:cNvPr>
        <xdr:cNvCxnSpPr/>
      </xdr:nvCxnSpPr>
      <xdr:spPr>
        <a:xfrm>
          <a:off x="281940" y="1729740"/>
          <a:ext cx="5791200" cy="11430"/>
        </a:xfrm>
        <a:prstGeom prst="line">
          <a:avLst/>
        </a:prstGeom>
        <a:ln w="12700" cap="rnd">
          <a:solidFill>
            <a:schemeClr val="tx2">
              <a:lumMod val="75000"/>
              <a:lumOff val="2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295275</xdr:colOff>
      <xdr:row>4</xdr:row>
      <xdr:rowOff>152400</xdr:rowOff>
    </xdr:from>
    <xdr:to>
      <xdr:col>9</xdr:col>
      <xdr:colOff>600075</xdr:colOff>
      <xdr:row>4</xdr:row>
      <xdr:rowOff>161925</xdr:rowOff>
    </xdr:to>
    <xdr:cxnSp macro="">
      <xdr:nvCxnSpPr>
        <xdr:cNvPr id="4" name="Straight Connector 3">
          <a:extLst>
            <a:ext uri="{FF2B5EF4-FFF2-40B4-BE49-F238E27FC236}">
              <a16:creationId xmlns:a16="http://schemas.microsoft.com/office/drawing/2014/main" id="{4D83F471-F357-412B-BA1B-7DF0EECF0ABC}"/>
            </a:ext>
          </a:extLst>
        </xdr:cNvPr>
        <xdr:cNvCxnSpPr/>
      </xdr:nvCxnSpPr>
      <xdr:spPr>
        <a:xfrm>
          <a:off x="293370" y="876300"/>
          <a:ext cx="5791200" cy="11430"/>
        </a:xfrm>
        <a:prstGeom prst="line">
          <a:avLst/>
        </a:prstGeom>
        <a:ln w="12700" cap="rnd">
          <a:solidFill>
            <a:schemeClr val="tx2">
              <a:lumMod val="75000"/>
              <a:lumOff val="2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ducation@soa.org?subject=Guided%20Examples%20Inquiry%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49E03-E49E-4470-9FB0-DF79D9B24C68}">
  <sheetPr>
    <tabColor rgb="FF0070C0"/>
    <pageSetUpPr autoPageBreaks="0"/>
  </sheetPr>
  <dimension ref="A6:K22"/>
  <sheetViews>
    <sheetView showGridLines="0" tabSelected="1" zoomScale="115" zoomScaleNormal="115" workbookViewId="0"/>
  </sheetViews>
  <sheetFormatPr defaultRowHeight="14.4" x14ac:dyDescent="0.3"/>
  <sheetData>
    <row r="6" spans="1:10" ht="33.6" x14ac:dyDescent="0.65">
      <c r="A6" s="90" t="s">
        <v>574</v>
      </c>
      <c r="B6" s="90"/>
      <c r="C6" s="90"/>
      <c r="D6" s="90"/>
      <c r="E6" s="90"/>
      <c r="F6" s="90"/>
      <c r="G6" s="90"/>
      <c r="H6" s="90"/>
      <c r="I6" s="90"/>
      <c r="J6" s="90"/>
    </row>
    <row r="7" spans="1:10" ht="6" customHeight="1" x14ac:dyDescent="0.3">
      <c r="A7" s="91"/>
      <c r="B7" s="91"/>
      <c r="C7" s="91"/>
      <c r="D7" s="91"/>
      <c r="E7" s="91"/>
      <c r="F7" s="91"/>
      <c r="G7" s="91"/>
      <c r="H7" s="91"/>
      <c r="I7" s="91"/>
      <c r="J7" s="91"/>
    </row>
    <row r="8" spans="1:10" ht="21" x14ac:dyDescent="0.4">
      <c r="A8" s="92" t="s">
        <v>584</v>
      </c>
      <c r="B8" s="92"/>
      <c r="C8" s="92"/>
      <c r="D8" s="92"/>
      <c r="E8" s="92"/>
      <c r="F8" s="92"/>
      <c r="G8" s="92"/>
      <c r="H8" s="92"/>
      <c r="I8" s="92"/>
      <c r="J8" s="92"/>
    </row>
    <row r="10" spans="1:10" ht="75" customHeight="1" x14ac:dyDescent="0.3">
      <c r="A10" s="93" t="s">
        <v>575</v>
      </c>
      <c r="B10" s="94" t="s">
        <v>576</v>
      </c>
      <c r="C10" s="94"/>
      <c r="D10" s="94"/>
      <c r="E10" s="94"/>
      <c r="F10" s="94"/>
      <c r="G10" s="94"/>
      <c r="H10" s="94"/>
      <c r="I10" s="94"/>
      <c r="J10" s="94"/>
    </row>
    <row r="11" spans="1:10" x14ac:dyDescent="0.3">
      <c r="B11" s="95"/>
      <c r="C11" s="95"/>
      <c r="D11" s="95"/>
      <c r="E11" s="95"/>
      <c r="F11" s="95"/>
      <c r="G11" s="95"/>
      <c r="H11" s="95"/>
      <c r="I11" s="95"/>
      <c r="J11" s="95"/>
    </row>
    <row r="12" spans="1:10" ht="45" customHeight="1" x14ac:dyDescent="0.3">
      <c r="A12" s="93" t="s">
        <v>575</v>
      </c>
      <c r="B12" s="94" t="s">
        <v>577</v>
      </c>
      <c r="C12" s="94"/>
      <c r="D12" s="94"/>
      <c r="E12" s="94"/>
      <c r="F12" s="94"/>
      <c r="G12" s="94"/>
      <c r="H12" s="94"/>
      <c r="I12" s="94"/>
      <c r="J12" s="94"/>
    </row>
    <row r="13" spans="1:10" x14ac:dyDescent="0.3">
      <c r="B13" s="95"/>
      <c r="C13" s="95"/>
      <c r="D13" s="95"/>
      <c r="E13" s="95"/>
      <c r="F13" s="95"/>
      <c r="G13" s="95"/>
      <c r="H13" s="95"/>
      <c r="I13" s="95"/>
      <c r="J13" s="95"/>
    </row>
    <row r="14" spans="1:10" ht="30" customHeight="1" x14ac:dyDescent="0.3">
      <c r="A14" s="93" t="s">
        <v>575</v>
      </c>
      <c r="B14" s="94" t="s">
        <v>578</v>
      </c>
      <c r="C14" s="94"/>
      <c r="D14" s="94"/>
      <c r="E14" s="94"/>
      <c r="F14" s="94"/>
      <c r="G14" s="94"/>
      <c r="H14" s="94"/>
      <c r="I14" s="94"/>
      <c r="J14" s="94"/>
    </row>
    <row r="15" spans="1:10" x14ac:dyDescent="0.3">
      <c r="B15" s="95"/>
      <c r="C15" s="95"/>
      <c r="D15" s="95"/>
      <c r="E15" s="95"/>
      <c r="F15" s="95"/>
      <c r="G15" s="95"/>
      <c r="H15" s="95"/>
      <c r="I15" s="95"/>
      <c r="J15" s="95"/>
    </row>
    <row r="16" spans="1:10" ht="43.8" customHeight="1" x14ac:dyDescent="0.3">
      <c r="A16" s="93" t="s">
        <v>575</v>
      </c>
      <c r="B16" s="94" t="s">
        <v>579</v>
      </c>
      <c r="C16" s="94"/>
      <c r="D16" s="94"/>
      <c r="E16" s="94"/>
      <c r="F16" s="94"/>
      <c r="G16" s="94"/>
      <c r="H16" s="94"/>
      <c r="I16" s="94"/>
      <c r="J16" s="94"/>
    </row>
    <row r="17" spans="1:11" x14ac:dyDescent="0.3">
      <c r="B17" s="95"/>
      <c r="C17" s="95"/>
      <c r="D17" s="95"/>
      <c r="E17" s="95"/>
      <c r="F17" s="95"/>
      <c r="G17" s="95"/>
      <c r="H17" s="95"/>
      <c r="I17" s="95"/>
      <c r="J17" s="95"/>
      <c r="K17" s="96"/>
    </row>
    <row r="18" spans="1:11" ht="75" customHeight="1" x14ac:dyDescent="0.3">
      <c r="A18" s="93" t="s">
        <v>575</v>
      </c>
      <c r="B18" s="94" t="s">
        <v>585</v>
      </c>
      <c r="C18" s="94"/>
      <c r="D18" s="94"/>
      <c r="E18" s="94"/>
      <c r="F18" s="94"/>
      <c r="G18" s="94"/>
      <c r="H18" s="94"/>
      <c r="I18" s="94"/>
      <c r="J18" s="94"/>
    </row>
    <row r="19" spans="1:11" x14ac:dyDescent="0.3">
      <c r="B19" s="97" t="s">
        <v>580</v>
      </c>
      <c r="C19" s="98"/>
      <c r="D19" s="98"/>
      <c r="E19" s="98"/>
      <c r="F19" s="98"/>
      <c r="G19" s="98"/>
      <c r="H19" s="98"/>
      <c r="I19" s="98"/>
      <c r="J19" s="98"/>
    </row>
    <row r="22" spans="1:11" x14ac:dyDescent="0.3">
      <c r="B22" s="99" t="s">
        <v>581</v>
      </c>
      <c r="C22" s="99"/>
      <c r="D22" s="100" t="s">
        <v>582</v>
      </c>
      <c r="E22" s="100"/>
      <c r="F22" s="100"/>
      <c r="G22" s="100"/>
      <c r="H22" s="101" t="s">
        <v>583</v>
      </c>
      <c r="I22" s="101"/>
      <c r="J22" s="101"/>
    </row>
  </sheetData>
  <mergeCells count="10">
    <mergeCell ref="B18:J18"/>
    <mergeCell ref="B22:C22"/>
    <mergeCell ref="D22:G22"/>
    <mergeCell ref="H22:J22"/>
    <mergeCell ref="A6:J6"/>
    <mergeCell ref="A8:J8"/>
    <mergeCell ref="B10:J10"/>
    <mergeCell ref="B12:J12"/>
    <mergeCell ref="B14:J14"/>
    <mergeCell ref="B16:J16"/>
  </mergeCells>
  <hyperlinks>
    <hyperlink ref="B19" r:id="rId1" xr:uid="{46E735BA-7220-48DA-98BE-54676BD9ACF9}"/>
  </hyperlinks>
  <pageMargins left="0.7" right="0.7" top="0.75" bottom="0.75" header="0.3" footer="0.3"/>
  <pageSetup orientation="portrait" horizontalDpi="1200" verticalDpi="12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31CB9-EEF7-453B-B531-3D8271665257}">
  <sheetPr codeName="Sheet8">
    <tabColor theme="5" tint="0.39997558519241921"/>
  </sheetPr>
  <dimension ref="A1:I90"/>
  <sheetViews>
    <sheetView showGridLines="0" zoomScale="115" zoomScaleNormal="115" workbookViewId="0"/>
  </sheetViews>
  <sheetFormatPr defaultRowHeight="14.4" x14ac:dyDescent="0.3"/>
  <cols>
    <col min="1" max="1" width="12" customWidth="1"/>
    <col min="2" max="2" width="8" customWidth="1"/>
    <col min="3" max="3" width="17" customWidth="1"/>
    <col min="4" max="4" width="15.44140625" customWidth="1"/>
    <col min="5" max="5" width="19.44140625" customWidth="1"/>
    <col min="6" max="6" width="18.6640625" customWidth="1"/>
    <col min="7" max="7" width="11.44140625" customWidth="1"/>
    <col min="8" max="8" width="15" customWidth="1"/>
    <col min="9" max="9" width="14.33203125" bestFit="1" customWidth="1"/>
  </cols>
  <sheetData>
    <row r="1" spans="1:2" x14ac:dyDescent="0.3">
      <c r="A1" s="10" t="s">
        <v>163</v>
      </c>
    </row>
    <row r="3" spans="1:2" x14ac:dyDescent="0.3">
      <c r="A3" s="11" t="s">
        <v>1</v>
      </c>
    </row>
    <row r="4" spans="1:2" x14ac:dyDescent="0.3">
      <c r="A4" t="s">
        <v>164</v>
      </c>
    </row>
    <row r="6" spans="1:2" x14ac:dyDescent="0.3">
      <c r="A6" s="11" t="s">
        <v>2</v>
      </c>
    </row>
    <row r="7" spans="1:2" x14ac:dyDescent="0.3">
      <c r="A7" t="s">
        <v>165</v>
      </c>
      <c r="B7" t="s">
        <v>166</v>
      </c>
    </row>
    <row r="9" spans="1:2" x14ac:dyDescent="0.3">
      <c r="A9" s="11" t="s">
        <v>3</v>
      </c>
    </row>
    <row r="10" spans="1:2" x14ac:dyDescent="0.3">
      <c r="A10">
        <v>1</v>
      </c>
      <c r="B10" t="s">
        <v>167</v>
      </c>
    </row>
    <row r="13" spans="1:2" x14ac:dyDescent="0.3">
      <c r="A13" t="s">
        <v>196</v>
      </c>
    </row>
    <row r="15" spans="1:2" x14ac:dyDescent="0.3">
      <c r="A15" t="s">
        <v>168</v>
      </c>
    </row>
    <row r="17" spans="2:5" ht="28.8" x14ac:dyDescent="0.3">
      <c r="B17" s="14" t="s">
        <v>122</v>
      </c>
      <c r="C17" s="14" t="s">
        <v>125</v>
      </c>
      <c r="D17" s="15" t="s">
        <v>169</v>
      </c>
    </row>
    <row r="18" spans="2:5" x14ac:dyDescent="0.3">
      <c r="B18">
        <v>1</v>
      </c>
      <c r="C18" s="19">
        <v>8000000</v>
      </c>
      <c r="D18" s="30">
        <v>0.03</v>
      </c>
      <c r="E18" s="21"/>
    </row>
    <row r="19" spans="2:5" x14ac:dyDescent="0.3">
      <c r="B19">
        <v>2</v>
      </c>
      <c r="C19" s="19">
        <v>10000000</v>
      </c>
      <c r="D19" s="30">
        <v>0.02</v>
      </c>
      <c r="E19" s="21"/>
    </row>
    <row r="20" spans="2:5" x14ac:dyDescent="0.3">
      <c r="B20">
        <v>3</v>
      </c>
      <c r="C20" s="19">
        <v>8000000</v>
      </c>
      <c r="D20" s="30">
        <v>0.03</v>
      </c>
      <c r="E20" s="21"/>
    </row>
    <row r="21" spans="2:5" x14ac:dyDescent="0.3">
      <c r="B21">
        <v>4</v>
      </c>
      <c r="C21" s="19">
        <v>5000000</v>
      </c>
      <c r="D21" s="30">
        <v>0.04</v>
      </c>
      <c r="E21" s="21"/>
    </row>
    <row r="22" spans="2:5" x14ac:dyDescent="0.3">
      <c r="B22">
        <v>5</v>
      </c>
      <c r="C22" s="19">
        <v>12000000</v>
      </c>
      <c r="D22" s="30">
        <v>0.02</v>
      </c>
      <c r="E22" s="21"/>
    </row>
    <row r="23" spans="2:5" x14ac:dyDescent="0.3">
      <c r="B23">
        <v>6</v>
      </c>
      <c r="C23" s="19">
        <v>15000000</v>
      </c>
      <c r="D23" s="30">
        <v>0.04</v>
      </c>
      <c r="E23" s="21"/>
    </row>
    <row r="24" spans="2:5" x14ac:dyDescent="0.3">
      <c r="B24">
        <v>7</v>
      </c>
      <c r="C24" s="19">
        <v>10000000</v>
      </c>
      <c r="D24" s="30">
        <v>0.04</v>
      </c>
      <c r="E24" s="21"/>
    </row>
    <row r="25" spans="2:5" x14ac:dyDescent="0.3">
      <c r="B25">
        <v>8</v>
      </c>
      <c r="C25" s="19">
        <v>8000000</v>
      </c>
      <c r="D25" s="30">
        <v>2.5000000000000001E-2</v>
      </c>
      <c r="E25" s="21"/>
    </row>
    <row r="26" spans="2:5" x14ac:dyDescent="0.3">
      <c r="B26">
        <v>9</v>
      </c>
      <c r="C26" s="19">
        <v>12000000</v>
      </c>
      <c r="D26" s="30">
        <v>0.02</v>
      </c>
      <c r="E26" s="21"/>
    </row>
    <row r="27" spans="2:5" x14ac:dyDescent="0.3">
      <c r="B27">
        <v>10</v>
      </c>
      <c r="C27" s="19">
        <v>15000000</v>
      </c>
      <c r="D27" s="30">
        <v>0.04</v>
      </c>
      <c r="E27" s="21"/>
    </row>
    <row r="28" spans="2:5" x14ac:dyDescent="0.3">
      <c r="B28">
        <v>11</v>
      </c>
      <c r="C28" s="19">
        <v>20000000</v>
      </c>
      <c r="D28" s="30">
        <v>0.04</v>
      </c>
      <c r="E28" s="21"/>
    </row>
    <row r="29" spans="2:5" x14ac:dyDescent="0.3">
      <c r="B29">
        <v>12</v>
      </c>
      <c r="C29" s="19">
        <v>10000000</v>
      </c>
      <c r="D29" s="30">
        <v>0.02</v>
      </c>
      <c r="E29" s="21"/>
    </row>
    <row r="30" spans="2:5" x14ac:dyDescent="0.3">
      <c r="B30">
        <v>13</v>
      </c>
      <c r="C30" s="19">
        <v>5000000</v>
      </c>
      <c r="D30" s="30">
        <v>0.03</v>
      </c>
      <c r="E30" s="21"/>
    </row>
    <row r="31" spans="2:5" x14ac:dyDescent="0.3">
      <c r="B31">
        <v>14</v>
      </c>
      <c r="C31" s="19">
        <v>20000000</v>
      </c>
      <c r="D31" s="30">
        <v>0.02</v>
      </c>
      <c r="E31" s="21"/>
    </row>
    <row r="32" spans="2:5" x14ac:dyDescent="0.3">
      <c r="B32">
        <v>15</v>
      </c>
      <c r="C32" s="19">
        <v>15000000</v>
      </c>
      <c r="D32" s="30">
        <v>0.03</v>
      </c>
      <c r="E32" s="21"/>
    </row>
    <row r="33" spans="1:5" x14ac:dyDescent="0.3">
      <c r="B33">
        <v>16</v>
      </c>
      <c r="C33" s="19">
        <v>15000000</v>
      </c>
      <c r="D33" s="30">
        <v>0.04</v>
      </c>
      <c r="E33" s="21"/>
    </row>
    <row r="34" spans="1:5" x14ac:dyDescent="0.3">
      <c r="B34">
        <v>17</v>
      </c>
      <c r="C34" s="19">
        <v>10000000</v>
      </c>
      <c r="D34" s="30">
        <v>0.03</v>
      </c>
      <c r="E34" s="21"/>
    </row>
    <row r="35" spans="1:5" x14ac:dyDescent="0.3">
      <c r="B35">
        <v>18</v>
      </c>
      <c r="C35" s="19">
        <v>20000000</v>
      </c>
      <c r="D35" s="30">
        <v>0.05</v>
      </c>
      <c r="E35" s="21"/>
    </row>
    <row r="36" spans="1:5" x14ac:dyDescent="0.3">
      <c r="B36">
        <v>19</v>
      </c>
      <c r="C36" s="19">
        <v>12000000</v>
      </c>
      <c r="D36" s="30">
        <v>0.02</v>
      </c>
      <c r="E36" s="21"/>
    </row>
    <row r="37" spans="1:5" x14ac:dyDescent="0.3">
      <c r="B37">
        <v>20</v>
      </c>
      <c r="C37" s="19">
        <v>6000000</v>
      </c>
      <c r="D37" s="30">
        <v>0.06</v>
      </c>
      <c r="E37" s="21"/>
    </row>
    <row r="38" spans="1:5" x14ac:dyDescent="0.3">
      <c r="B38">
        <v>21</v>
      </c>
      <c r="C38" s="19">
        <v>10000000</v>
      </c>
      <c r="D38" s="30">
        <v>0.03</v>
      </c>
      <c r="E38" s="21"/>
    </row>
    <row r="39" spans="1:5" x14ac:dyDescent="0.3">
      <c r="B39">
        <v>22</v>
      </c>
      <c r="C39" s="19">
        <v>15000000</v>
      </c>
      <c r="D39" s="30">
        <v>0.04</v>
      </c>
      <c r="E39" s="21"/>
    </row>
    <row r="40" spans="1:5" x14ac:dyDescent="0.3">
      <c r="B40">
        <v>23</v>
      </c>
      <c r="C40" s="19">
        <v>20000000</v>
      </c>
      <c r="D40" s="30">
        <v>0.02</v>
      </c>
      <c r="E40" s="21"/>
    </row>
    <row r="41" spans="1:5" x14ac:dyDescent="0.3">
      <c r="B41">
        <v>24</v>
      </c>
      <c r="C41" s="19">
        <v>10000000</v>
      </c>
      <c r="D41" s="30">
        <v>0.05</v>
      </c>
      <c r="E41" s="21"/>
    </row>
    <row r="42" spans="1:5" x14ac:dyDescent="0.3">
      <c r="B42">
        <v>25</v>
      </c>
      <c r="C42" s="19">
        <v>9000000</v>
      </c>
      <c r="D42" s="30">
        <v>0.06</v>
      </c>
      <c r="E42" s="21"/>
    </row>
    <row r="44" spans="1:5" x14ac:dyDescent="0.3">
      <c r="A44" t="s">
        <v>170</v>
      </c>
    </row>
    <row r="45" spans="1:5" x14ac:dyDescent="0.3">
      <c r="B45" t="s">
        <v>171</v>
      </c>
      <c r="D45" s="20">
        <v>1000000</v>
      </c>
    </row>
    <row r="46" spans="1:5" x14ac:dyDescent="0.3">
      <c r="B46" t="s">
        <v>172</v>
      </c>
      <c r="D46" s="31">
        <v>1.1000000000000001</v>
      </c>
      <c r="E46" t="s">
        <v>173</v>
      </c>
    </row>
    <row r="47" spans="1:5" x14ac:dyDescent="0.3">
      <c r="B47" t="s">
        <v>174</v>
      </c>
      <c r="C47" t="s">
        <v>175</v>
      </c>
    </row>
    <row r="49" spans="1:9" x14ac:dyDescent="0.3">
      <c r="A49" t="s">
        <v>176</v>
      </c>
    </row>
    <row r="51" spans="1:9" x14ac:dyDescent="0.3">
      <c r="B51" s="6" t="s">
        <v>183</v>
      </c>
      <c r="C51" s="6"/>
      <c r="D51" s="24">
        <f>+SUMPRODUCT(C18:C42,D18:D42)</f>
        <v>10000000</v>
      </c>
      <c r="E51" s="7" t="s">
        <v>197</v>
      </c>
      <c r="F51" s="6"/>
      <c r="G51" s="6"/>
      <c r="H51" s="6"/>
      <c r="I51" s="6"/>
    </row>
    <row r="52" spans="1:9" x14ac:dyDescent="0.3">
      <c r="B52" s="6" t="s">
        <v>172</v>
      </c>
      <c r="C52" s="6"/>
      <c r="D52" s="24">
        <f>+D51*D46</f>
        <v>11000000</v>
      </c>
      <c r="E52" s="7" t="s">
        <v>198</v>
      </c>
      <c r="F52" s="6"/>
      <c r="G52" s="6"/>
      <c r="H52" s="6"/>
      <c r="I52" s="6"/>
    </row>
    <row r="53" spans="1:9" x14ac:dyDescent="0.3">
      <c r="B53" s="6" t="s">
        <v>184</v>
      </c>
      <c r="C53" s="6"/>
      <c r="D53" s="26">
        <f>+C21+C22</f>
        <v>17000000</v>
      </c>
      <c r="E53" s="7" t="s">
        <v>199</v>
      </c>
      <c r="F53" s="6"/>
      <c r="G53" s="6"/>
      <c r="H53" s="6"/>
      <c r="I53" s="6"/>
    </row>
    <row r="54" spans="1:9" x14ac:dyDescent="0.3">
      <c r="B54" s="6" t="s">
        <v>185</v>
      </c>
      <c r="C54" s="6"/>
      <c r="D54" s="26">
        <f>+D53-D52</f>
        <v>6000000</v>
      </c>
      <c r="E54" s="7" t="s">
        <v>200</v>
      </c>
      <c r="F54" s="6"/>
      <c r="G54" s="6"/>
      <c r="H54" s="6"/>
      <c r="I54" s="6"/>
    </row>
    <row r="55" spans="1:9" x14ac:dyDescent="0.3">
      <c r="B55" s="6" t="s">
        <v>186</v>
      </c>
      <c r="C55" s="6"/>
      <c r="D55" s="24">
        <f>+D54*0.9</f>
        <v>5400000</v>
      </c>
      <c r="E55" s="7" t="s">
        <v>201</v>
      </c>
      <c r="F55" s="6"/>
      <c r="G55" s="6"/>
      <c r="H55" s="6"/>
      <c r="I55" s="6"/>
    </row>
    <row r="56" spans="1:9" x14ac:dyDescent="0.3">
      <c r="B56" s="6" t="s">
        <v>187</v>
      </c>
      <c r="C56" s="6"/>
      <c r="D56" s="24">
        <f>+D55</f>
        <v>5400000</v>
      </c>
      <c r="E56" s="7"/>
      <c r="F56" s="6"/>
      <c r="G56" s="6"/>
      <c r="H56" s="6"/>
      <c r="I56" s="6"/>
    </row>
    <row r="59" spans="1:9" x14ac:dyDescent="0.3">
      <c r="A59" t="s">
        <v>188</v>
      </c>
    </row>
    <row r="61" spans="1:9" x14ac:dyDescent="0.3">
      <c r="B61" s="6" t="s">
        <v>172</v>
      </c>
      <c r="C61" s="6"/>
      <c r="D61" s="24">
        <f>+D52</f>
        <v>11000000</v>
      </c>
      <c r="E61" s="7" t="s">
        <v>198</v>
      </c>
      <c r="F61" s="6"/>
      <c r="G61" s="6"/>
      <c r="H61" s="6"/>
      <c r="I61" s="6"/>
    </row>
    <row r="62" spans="1:9" x14ac:dyDescent="0.3">
      <c r="B62" s="6" t="s">
        <v>189</v>
      </c>
      <c r="C62" s="6"/>
      <c r="D62" s="24">
        <v>20000000</v>
      </c>
      <c r="E62" s="7" t="s">
        <v>202</v>
      </c>
      <c r="F62" s="6"/>
      <c r="G62" s="6"/>
      <c r="H62" s="6"/>
      <c r="I62" s="6"/>
    </row>
    <row r="63" spans="1:9" x14ac:dyDescent="0.3">
      <c r="B63" s="6" t="s">
        <v>190</v>
      </c>
      <c r="C63" s="6"/>
      <c r="D63" s="24">
        <f>+D62/0.9</f>
        <v>22222222.22222222</v>
      </c>
      <c r="E63" s="7" t="s">
        <v>203</v>
      </c>
      <c r="F63" s="6"/>
      <c r="G63" s="6"/>
      <c r="H63" s="6"/>
      <c r="I63" s="6"/>
    </row>
    <row r="64" spans="1:9" x14ac:dyDescent="0.3">
      <c r="B64" s="6" t="s">
        <v>191</v>
      </c>
      <c r="C64" s="6"/>
      <c r="D64" s="24">
        <f>+D63+D61</f>
        <v>33222222.22222222</v>
      </c>
      <c r="E64" s="7" t="s">
        <v>204</v>
      </c>
      <c r="F64" s="6"/>
      <c r="G64" s="6"/>
      <c r="H64" s="6"/>
      <c r="I64" s="6"/>
    </row>
    <row r="67" spans="1:9" x14ac:dyDescent="0.3">
      <c r="A67" t="s">
        <v>177</v>
      </c>
    </row>
    <row r="68" spans="1:9" x14ac:dyDescent="0.3">
      <c r="B68" t="s">
        <v>178</v>
      </c>
      <c r="D68">
        <v>5</v>
      </c>
    </row>
    <row r="69" spans="1:9" x14ac:dyDescent="0.3">
      <c r="B69" t="s">
        <v>179</v>
      </c>
      <c r="D69" s="20">
        <v>25000000</v>
      </c>
    </row>
    <row r="70" spans="1:9" x14ac:dyDescent="0.3">
      <c r="B70" t="s">
        <v>180</v>
      </c>
      <c r="D70" s="20">
        <v>15000000</v>
      </c>
    </row>
    <row r="71" spans="1:9" x14ac:dyDescent="0.3">
      <c r="B71" t="s">
        <v>181</v>
      </c>
      <c r="D71" s="20">
        <v>100000000</v>
      </c>
    </row>
    <row r="73" spans="1:9" x14ac:dyDescent="0.3">
      <c r="A73" t="s">
        <v>182</v>
      </c>
    </row>
    <row r="75" spans="1:9" x14ac:dyDescent="0.3">
      <c r="B75" s="6" t="s">
        <v>122</v>
      </c>
      <c r="C75" s="6" t="s">
        <v>192</v>
      </c>
      <c r="D75" s="6" t="s">
        <v>193</v>
      </c>
      <c r="E75" s="6"/>
      <c r="F75" s="6"/>
      <c r="G75" s="6"/>
      <c r="H75" s="6"/>
      <c r="I75" s="6"/>
    </row>
    <row r="76" spans="1:9" x14ac:dyDescent="0.3">
      <c r="B76" s="6">
        <v>3</v>
      </c>
      <c r="C76" s="26">
        <f>+C20</f>
        <v>8000000</v>
      </c>
      <c r="D76" s="26">
        <f>+MIN(C76,15000000)</f>
        <v>8000000</v>
      </c>
      <c r="E76" s="7"/>
      <c r="F76" s="6"/>
      <c r="G76" s="6"/>
      <c r="H76" s="6"/>
      <c r="I76" s="6"/>
    </row>
    <row r="77" spans="1:9" x14ac:dyDescent="0.3">
      <c r="B77" s="6">
        <v>5</v>
      </c>
      <c r="C77" s="24">
        <v>12000000</v>
      </c>
      <c r="D77" s="26">
        <f t="shared" ref="D77:D86" si="0">+MIN(C77,15000000)</f>
        <v>12000000</v>
      </c>
      <c r="E77" s="7"/>
      <c r="F77" s="6"/>
      <c r="G77" s="6"/>
      <c r="H77" s="6"/>
      <c r="I77" s="6"/>
    </row>
    <row r="78" spans="1:9" x14ac:dyDescent="0.3">
      <c r="B78" s="6">
        <v>6</v>
      </c>
      <c r="C78" s="24">
        <v>15000000</v>
      </c>
      <c r="D78" s="26">
        <f t="shared" si="0"/>
        <v>15000000</v>
      </c>
      <c r="E78" s="7"/>
      <c r="F78" s="6"/>
      <c r="G78" s="6"/>
      <c r="H78" s="6"/>
      <c r="I78" s="6"/>
    </row>
    <row r="79" spans="1:9" x14ac:dyDescent="0.3">
      <c r="B79" s="6">
        <v>7</v>
      </c>
      <c r="C79" s="24">
        <v>10000000</v>
      </c>
      <c r="D79" s="26">
        <f t="shared" si="0"/>
        <v>10000000</v>
      </c>
      <c r="E79" s="7"/>
      <c r="F79" s="6"/>
      <c r="G79" s="6"/>
      <c r="H79" s="6"/>
      <c r="I79" s="6"/>
    </row>
    <row r="80" spans="1:9" x14ac:dyDescent="0.3">
      <c r="B80" s="6">
        <v>10</v>
      </c>
      <c r="C80" s="26">
        <f>+C27</f>
        <v>15000000</v>
      </c>
      <c r="D80" s="26">
        <f t="shared" si="0"/>
        <v>15000000</v>
      </c>
      <c r="E80" s="7"/>
      <c r="F80" s="6"/>
      <c r="G80" s="6"/>
      <c r="H80" s="6"/>
      <c r="I80" s="6"/>
    </row>
    <row r="81" spans="2:9" x14ac:dyDescent="0.3">
      <c r="B81" s="6">
        <v>11</v>
      </c>
      <c r="C81" s="26">
        <f t="shared" ref="C81:C82" si="1">+C28</f>
        <v>20000000</v>
      </c>
      <c r="D81" s="26">
        <f t="shared" si="0"/>
        <v>15000000</v>
      </c>
      <c r="E81" s="7" t="s">
        <v>205</v>
      </c>
      <c r="F81" s="6"/>
      <c r="G81" s="6"/>
      <c r="H81" s="6"/>
      <c r="I81" s="6"/>
    </row>
    <row r="82" spans="2:9" x14ac:dyDescent="0.3">
      <c r="B82" s="6">
        <v>12</v>
      </c>
      <c r="C82" s="26">
        <f t="shared" si="1"/>
        <v>10000000</v>
      </c>
      <c r="D82" s="26">
        <f t="shared" si="0"/>
        <v>10000000</v>
      </c>
      <c r="E82" s="7"/>
      <c r="F82" s="6"/>
      <c r="G82" s="6"/>
      <c r="H82" s="6"/>
      <c r="I82" s="6"/>
    </row>
    <row r="83" spans="2:9" x14ac:dyDescent="0.3">
      <c r="B83" s="6">
        <v>15</v>
      </c>
      <c r="C83" s="26">
        <f>+C32</f>
        <v>15000000</v>
      </c>
      <c r="D83" s="26">
        <f t="shared" si="0"/>
        <v>15000000</v>
      </c>
      <c r="E83" s="7"/>
      <c r="F83" s="6"/>
      <c r="G83" s="6"/>
      <c r="H83" s="6"/>
      <c r="I83" s="6"/>
    </row>
    <row r="84" spans="2:9" x14ac:dyDescent="0.3">
      <c r="B84" s="6">
        <v>16</v>
      </c>
      <c r="C84" s="26">
        <f>+C33</f>
        <v>15000000</v>
      </c>
      <c r="D84" s="26">
        <f t="shared" si="0"/>
        <v>15000000</v>
      </c>
      <c r="E84" s="7"/>
      <c r="F84" s="6"/>
      <c r="G84" s="6"/>
      <c r="H84" s="6"/>
      <c r="I84" s="6"/>
    </row>
    <row r="85" spans="2:9" x14ac:dyDescent="0.3">
      <c r="B85" s="6">
        <v>18</v>
      </c>
      <c r="C85" s="26">
        <f>+C35</f>
        <v>20000000</v>
      </c>
      <c r="D85" s="26">
        <f t="shared" si="0"/>
        <v>15000000</v>
      </c>
      <c r="E85" s="7" t="s">
        <v>205</v>
      </c>
      <c r="F85" s="6"/>
      <c r="G85" s="6"/>
      <c r="H85" s="6"/>
      <c r="I85" s="6"/>
    </row>
    <row r="86" spans="2:9" x14ac:dyDescent="0.3">
      <c r="B86" s="6">
        <v>21</v>
      </c>
      <c r="C86" s="26">
        <f>+C38</f>
        <v>10000000</v>
      </c>
      <c r="D86" s="26">
        <f t="shared" si="0"/>
        <v>10000000</v>
      </c>
      <c r="E86" s="7"/>
      <c r="F86" s="6"/>
      <c r="G86" s="6"/>
      <c r="H86" s="6"/>
      <c r="I86" s="6"/>
    </row>
    <row r="87" spans="2:9" x14ac:dyDescent="0.3">
      <c r="B87" s="6"/>
      <c r="C87" s="26">
        <f>+SUM(C76:C86)</f>
        <v>150000000</v>
      </c>
      <c r="D87" s="26">
        <f>+SUM(D76:D86)</f>
        <v>140000000</v>
      </c>
      <c r="E87" s="7" t="s">
        <v>206</v>
      </c>
      <c r="F87" s="6"/>
      <c r="G87" s="6"/>
      <c r="H87" s="6"/>
      <c r="I87" s="6"/>
    </row>
    <row r="88" spans="2:9" x14ac:dyDescent="0.3">
      <c r="B88" s="6"/>
      <c r="C88" s="6"/>
      <c r="D88" s="6"/>
      <c r="E88" s="6"/>
      <c r="F88" s="6"/>
      <c r="G88" s="6"/>
      <c r="H88" s="6"/>
      <c r="I88" s="6"/>
    </row>
    <row r="89" spans="2:9" x14ac:dyDescent="0.3">
      <c r="B89" s="6" t="s">
        <v>194</v>
      </c>
      <c r="C89" s="6"/>
      <c r="D89" s="6"/>
      <c r="E89" s="6"/>
      <c r="F89" s="6"/>
      <c r="G89" s="6"/>
      <c r="H89" s="6"/>
      <c r="I89" s="6"/>
    </row>
    <row r="90" spans="2:9" x14ac:dyDescent="0.3">
      <c r="B90" s="6" t="s">
        <v>195</v>
      </c>
      <c r="C90" s="6"/>
      <c r="D90" s="6"/>
      <c r="E90" s="6"/>
      <c r="F90" s="7" t="s">
        <v>207</v>
      </c>
      <c r="G90" s="6"/>
      <c r="H90" s="6"/>
      <c r="I90" s="6"/>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DAFB0-8131-4A90-8058-720AF6818EBE}">
  <sheetPr codeName="Sheet9">
    <tabColor theme="9" tint="0.59999389629810485"/>
  </sheetPr>
  <dimension ref="A1:K47"/>
  <sheetViews>
    <sheetView showGridLines="0" zoomScale="115" zoomScaleNormal="115" workbookViewId="0"/>
  </sheetViews>
  <sheetFormatPr defaultRowHeight="14.4" x14ac:dyDescent="0.3"/>
  <cols>
    <col min="1" max="1" width="12" customWidth="1"/>
    <col min="2" max="2" width="8" customWidth="1"/>
    <col min="3" max="9" width="9.44140625" customWidth="1"/>
    <col min="11" max="11" width="9.88671875" customWidth="1"/>
  </cols>
  <sheetData>
    <row r="1" spans="1:2" x14ac:dyDescent="0.3">
      <c r="A1" s="10" t="s">
        <v>209</v>
      </c>
    </row>
    <row r="3" spans="1:2" x14ac:dyDescent="0.3">
      <c r="A3" s="11" t="s">
        <v>1</v>
      </c>
    </row>
    <row r="4" spans="1:2" x14ac:dyDescent="0.3">
      <c r="A4" t="s">
        <v>210</v>
      </c>
    </row>
    <row r="6" spans="1:2" x14ac:dyDescent="0.3">
      <c r="A6" s="11" t="s">
        <v>2</v>
      </c>
    </row>
    <row r="7" spans="1:2" x14ac:dyDescent="0.3">
      <c r="A7" t="s">
        <v>211</v>
      </c>
      <c r="B7" t="s">
        <v>213</v>
      </c>
    </row>
    <row r="8" spans="1:2" ht="14.1" customHeight="1" x14ac:dyDescent="0.3">
      <c r="A8" t="s">
        <v>214</v>
      </c>
      <c r="B8" t="s">
        <v>215</v>
      </c>
    </row>
    <row r="9" spans="1:2" x14ac:dyDescent="0.3">
      <c r="A9" t="s">
        <v>212</v>
      </c>
      <c r="B9" t="s">
        <v>216</v>
      </c>
    </row>
    <row r="11" spans="1:2" x14ac:dyDescent="0.3">
      <c r="A11" s="11" t="s">
        <v>3</v>
      </c>
    </row>
    <row r="12" spans="1:2" x14ac:dyDescent="0.3">
      <c r="A12">
        <v>1</v>
      </c>
      <c r="B12" t="s">
        <v>217</v>
      </c>
    </row>
    <row r="13" spans="1:2" x14ac:dyDescent="0.3">
      <c r="A13">
        <v>2</v>
      </c>
      <c r="B13" t="s">
        <v>218</v>
      </c>
    </row>
    <row r="14" spans="1:2" x14ac:dyDescent="0.3">
      <c r="A14">
        <v>3</v>
      </c>
      <c r="B14" t="s">
        <v>219</v>
      </c>
    </row>
    <row r="16" spans="1:2" x14ac:dyDescent="0.3">
      <c r="A16" t="s">
        <v>220</v>
      </c>
    </row>
    <row r="18" spans="1:11" x14ac:dyDescent="0.3">
      <c r="A18" t="s">
        <v>221</v>
      </c>
    </row>
    <row r="19" spans="1:11" x14ac:dyDescent="0.3">
      <c r="A19" t="s">
        <v>222</v>
      </c>
    </row>
    <row r="21" spans="1:11" x14ac:dyDescent="0.3">
      <c r="A21" t="s">
        <v>236</v>
      </c>
    </row>
    <row r="23" spans="1:11" x14ac:dyDescent="0.3">
      <c r="A23" t="s">
        <v>224</v>
      </c>
    </row>
    <row r="24" spans="1:11" x14ac:dyDescent="0.3">
      <c r="A24" t="s">
        <v>242</v>
      </c>
    </row>
    <row r="25" spans="1:11" x14ac:dyDescent="0.3">
      <c r="A25" t="s">
        <v>241</v>
      </c>
    </row>
    <row r="26" spans="1:11" x14ac:dyDescent="0.3">
      <c r="A26" t="s">
        <v>223</v>
      </c>
    </row>
    <row r="28" spans="1:11" ht="32.25" customHeight="1" x14ac:dyDescent="0.3">
      <c r="B28" s="74" t="s">
        <v>232</v>
      </c>
      <c r="C28" s="82"/>
      <c r="D28" s="83"/>
      <c r="F28" s="74" t="s">
        <v>233</v>
      </c>
      <c r="G28" s="82"/>
      <c r="H28" s="83"/>
      <c r="J28" s="15"/>
      <c r="K28" s="15"/>
    </row>
    <row r="29" spans="1:11" x14ac:dyDescent="0.3">
      <c r="B29" s="84"/>
      <c r="C29" s="81"/>
      <c r="D29" s="85"/>
      <c r="F29" s="84"/>
      <c r="G29" s="81"/>
      <c r="H29" s="85"/>
      <c r="J29" s="15"/>
      <c r="K29" s="15"/>
    </row>
    <row r="30" spans="1:11" x14ac:dyDescent="0.3">
      <c r="B30" s="81" t="s">
        <v>228</v>
      </c>
      <c r="C30" s="81"/>
      <c r="D30" s="81"/>
      <c r="F30" s="81" t="s">
        <v>229</v>
      </c>
      <c r="G30" s="81"/>
      <c r="H30" s="81"/>
      <c r="J30" s="80"/>
      <c r="K30" s="80"/>
    </row>
    <row r="31" spans="1:11" ht="28.8" x14ac:dyDescent="0.3">
      <c r="B31" s="14" t="s">
        <v>225</v>
      </c>
      <c r="C31" s="14" t="s">
        <v>226</v>
      </c>
      <c r="D31" s="15" t="s">
        <v>227</v>
      </c>
      <c r="F31" s="14" t="s">
        <v>225</v>
      </c>
      <c r="G31" s="14" t="s">
        <v>226</v>
      </c>
      <c r="H31" s="15" t="s">
        <v>227</v>
      </c>
      <c r="J31" s="14"/>
      <c r="K31" s="14"/>
    </row>
    <row r="32" spans="1:11" x14ac:dyDescent="0.3">
      <c r="B32">
        <v>2021</v>
      </c>
      <c r="C32">
        <v>250000</v>
      </c>
      <c r="D32" s="18">
        <v>250</v>
      </c>
      <c r="F32">
        <v>2021</v>
      </c>
      <c r="G32">
        <v>1000000</v>
      </c>
      <c r="H32">
        <v>2000</v>
      </c>
    </row>
    <row r="33" spans="1:8" x14ac:dyDescent="0.3">
      <c r="B33">
        <v>2022</v>
      </c>
      <c r="C33">
        <v>249000</v>
      </c>
      <c r="D33" s="18">
        <v>273.90000000000003</v>
      </c>
      <c r="F33">
        <v>2022</v>
      </c>
      <c r="G33">
        <v>1000000</v>
      </c>
      <c r="H33">
        <v>2200</v>
      </c>
    </row>
    <row r="34" spans="1:8" x14ac:dyDescent="0.3">
      <c r="B34">
        <v>2023</v>
      </c>
      <c r="C34">
        <v>248000</v>
      </c>
      <c r="D34" s="18">
        <v>297.59999999999997</v>
      </c>
      <c r="F34">
        <v>2023</v>
      </c>
      <c r="G34">
        <v>1000000</v>
      </c>
      <c r="H34">
        <v>2400</v>
      </c>
    </row>
    <row r="35" spans="1:8" x14ac:dyDescent="0.3">
      <c r="B35">
        <v>2024</v>
      </c>
      <c r="C35">
        <v>247000</v>
      </c>
      <c r="D35" s="18">
        <v>321.09999999999997</v>
      </c>
      <c r="F35">
        <v>2024</v>
      </c>
      <c r="G35">
        <v>1000000</v>
      </c>
      <c r="H35">
        <v>2600</v>
      </c>
    </row>
    <row r="36" spans="1:8" x14ac:dyDescent="0.3">
      <c r="B36">
        <v>2025</v>
      </c>
      <c r="C36">
        <v>246000</v>
      </c>
      <c r="D36" s="18">
        <v>344.4</v>
      </c>
      <c r="F36">
        <v>2025</v>
      </c>
      <c r="G36">
        <v>1000000</v>
      </c>
      <c r="H36">
        <v>2800</v>
      </c>
    </row>
    <row r="38" spans="1:8" ht="14.4" customHeight="1" x14ac:dyDescent="0.3">
      <c r="B38" s="74" t="s">
        <v>234</v>
      </c>
      <c r="C38" s="75"/>
      <c r="D38" s="76"/>
    </row>
    <row r="39" spans="1:8" x14ac:dyDescent="0.3">
      <c r="B39" s="77"/>
      <c r="C39" s="78"/>
      <c r="D39" s="79"/>
    </row>
    <row r="40" spans="1:8" x14ac:dyDescent="0.3">
      <c r="C40" s="14" t="s">
        <v>230</v>
      </c>
      <c r="D40" s="14" t="s">
        <v>231</v>
      </c>
    </row>
    <row r="41" spans="1:8" x14ac:dyDescent="0.3">
      <c r="B41" t="s">
        <v>235</v>
      </c>
      <c r="C41" s="31">
        <v>0.04</v>
      </c>
      <c r="D41" s="31">
        <v>0.05</v>
      </c>
    </row>
    <row r="43" spans="1:8" x14ac:dyDescent="0.3">
      <c r="A43" t="s">
        <v>240</v>
      </c>
    </row>
    <row r="45" spans="1:8" x14ac:dyDescent="0.3">
      <c r="A45" t="s">
        <v>237</v>
      </c>
      <c r="B45" t="s">
        <v>238</v>
      </c>
    </row>
    <row r="46" spans="1:8" x14ac:dyDescent="0.3">
      <c r="B46" t="s">
        <v>239</v>
      </c>
    </row>
    <row r="47" spans="1:8" x14ac:dyDescent="0.3">
      <c r="B47" t="s">
        <v>332</v>
      </c>
    </row>
  </sheetData>
  <mergeCells count="6">
    <mergeCell ref="B38:D39"/>
    <mergeCell ref="J30:K30"/>
    <mergeCell ref="B30:D30"/>
    <mergeCell ref="F30:H30"/>
    <mergeCell ref="B28:D29"/>
    <mergeCell ref="F28:H2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45236-6803-4331-8936-0ED8314F6DFF}">
  <sheetPr codeName="Sheet10">
    <tabColor theme="5" tint="0.39997558519241921"/>
  </sheetPr>
  <dimension ref="A1:R83"/>
  <sheetViews>
    <sheetView showGridLines="0" zoomScale="115" zoomScaleNormal="115" workbookViewId="0"/>
  </sheetViews>
  <sheetFormatPr defaultRowHeight="14.4" x14ac:dyDescent="0.3"/>
  <cols>
    <col min="1" max="1" width="12" customWidth="1"/>
    <col min="2" max="2" width="8" customWidth="1"/>
    <col min="3" max="8" width="9.44140625" customWidth="1"/>
    <col min="9" max="9" width="12.88671875" customWidth="1"/>
    <col min="11" max="11" width="9.88671875" customWidth="1"/>
  </cols>
  <sheetData>
    <row r="1" spans="1:2" x14ac:dyDescent="0.3">
      <c r="A1" s="10" t="s">
        <v>209</v>
      </c>
    </row>
    <row r="3" spans="1:2" x14ac:dyDescent="0.3">
      <c r="A3" s="11" t="s">
        <v>1</v>
      </c>
    </row>
    <row r="4" spans="1:2" x14ac:dyDescent="0.3">
      <c r="A4" t="s">
        <v>210</v>
      </c>
    </row>
    <row r="6" spans="1:2" x14ac:dyDescent="0.3">
      <c r="A6" s="11" t="s">
        <v>2</v>
      </c>
    </row>
    <row r="7" spans="1:2" x14ac:dyDescent="0.3">
      <c r="A7" t="s">
        <v>211</v>
      </c>
      <c r="B7" t="s">
        <v>213</v>
      </c>
    </row>
    <row r="8" spans="1:2" ht="14.1" customHeight="1" x14ac:dyDescent="0.3">
      <c r="A8" t="s">
        <v>214</v>
      </c>
      <c r="B8" t="s">
        <v>215</v>
      </c>
    </row>
    <row r="9" spans="1:2" x14ac:dyDescent="0.3">
      <c r="A9" t="s">
        <v>212</v>
      </c>
      <c r="B9" t="s">
        <v>216</v>
      </c>
    </row>
    <row r="11" spans="1:2" x14ac:dyDescent="0.3">
      <c r="A11" s="11" t="s">
        <v>3</v>
      </c>
    </row>
    <row r="12" spans="1:2" x14ac:dyDescent="0.3">
      <c r="A12">
        <v>1</v>
      </c>
      <c r="B12" t="s">
        <v>217</v>
      </c>
    </row>
    <row r="13" spans="1:2" x14ac:dyDescent="0.3">
      <c r="A13">
        <v>2</v>
      </c>
      <c r="B13" t="s">
        <v>218</v>
      </c>
    </row>
    <row r="14" spans="1:2" x14ac:dyDescent="0.3">
      <c r="A14">
        <v>3</v>
      </c>
      <c r="B14" t="s">
        <v>219</v>
      </c>
    </row>
    <row r="16" spans="1:2" x14ac:dyDescent="0.3">
      <c r="A16" t="s">
        <v>220</v>
      </c>
    </row>
    <row r="18" spans="1:18" x14ac:dyDescent="0.3">
      <c r="A18" t="s">
        <v>221</v>
      </c>
    </row>
    <row r="19" spans="1:18" x14ac:dyDescent="0.3">
      <c r="A19" t="s">
        <v>222</v>
      </c>
    </row>
    <row r="21" spans="1:18" x14ac:dyDescent="0.3">
      <c r="A21" t="s">
        <v>247</v>
      </c>
    </row>
    <row r="22" spans="1:18" x14ac:dyDescent="0.3">
      <c r="A22" s="6" t="s">
        <v>243</v>
      </c>
      <c r="B22" s="32" t="s">
        <v>244</v>
      </c>
      <c r="C22" s="6"/>
      <c r="D22" s="6"/>
      <c r="E22" s="6"/>
      <c r="F22" s="6"/>
      <c r="G22" s="6"/>
      <c r="H22" s="6"/>
      <c r="I22" s="6"/>
      <c r="J22" s="6"/>
      <c r="K22" s="6"/>
      <c r="L22" s="6"/>
      <c r="M22" s="6"/>
      <c r="N22" s="6"/>
      <c r="O22" s="6"/>
      <c r="P22" s="6"/>
      <c r="Q22" s="6"/>
      <c r="R22" s="6"/>
    </row>
    <row r="23" spans="1:18" x14ac:dyDescent="0.3">
      <c r="A23" s="6"/>
      <c r="B23" s="32" t="s">
        <v>245</v>
      </c>
      <c r="C23" s="6"/>
      <c r="D23" s="6"/>
      <c r="E23" s="6"/>
      <c r="F23" s="6"/>
      <c r="G23" s="6"/>
      <c r="H23" s="6"/>
      <c r="I23" s="6"/>
      <c r="J23" s="6"/>
      <c r="K23" s="6"/>
      <c r="L23" s="6"/>
      <c r="M23" s="6"/>
      <c r="N23" s="6"/>
      <c r="O23" s="6"/>
      <c r="P23" s="6"/>
      <c r="Q23" s="6"/>
      <c r="R23" s="6"/>
    </row>
    <row r="24" spans="1:18" x14ac:dyDescent="0.3">
      <c r="A24" s="6"/>
      <c r="B24" s="32" t="s">
        <v>246</v>
      </c>
      <c r="C24" s="6"/>
      <c r="D24" s="6"/>
      <c r="E24" s="6"/>
      <c r="F24" s="6"/>
      <c r="G24" s="6"/>
      <c r="H24" s="6"/>
      <c r="I24" s="6"/>
      <c r="J24" s="6"/>
      <c r="K24" s="6"/>
      <c r="L24" s="6"/>
      <c r="M24" s="6"/>
      <c r="N24" s="6"/>
      <c r="O24" s="6"/>
      <c r="P24" s="6"/>
      <c r="Q24" s="6"/>
      <c r="R24" s="6"/>
    </row>
    <row r="25" spans="1:18" x14ac:dyDescent="0.3">
      <c r="A25" s="6"/>
      <c r="B25" s="32" t="s">
        <v>251</v>
      </c>
      <c r="C25" s="6"/>
      <c r="D25" s="6"/>
      <c r="E25" s="6"/>
      <c r="F25" s="6"/>
      <c r="G25" s="6"/>
      <c r="H25" s="6"/>
      <c r="I25" s="6"/>
      <c r="J25" s="6"/>
      <c r="K25" s="6"/>
      <c r="L25" s="6"/>
      <c r="M25" s="6"/>
      <c r="N25" s="6"/>
      <c r="O25" s="6"/>
      <c r="P25" s="6"/>
      <c r="Q25" s="6"/>
      <c r="R25" s="6"/>
    </row>
    <row r="26" spans="1:18" x14ac:dyDescent="0.3">
      <c r="A26" s="6"/>
      <c r="B26" s="32" t="s">
        <v>248</v>
      </c>
      <c r="C26" s="6"/>
      <c r="D26" s="6"/>
      <c r="E26" s="6"/>
      <c r="F26" s="6"/>
      <c r="G26" s="6"/>
      <c r="H26" s="6"/>
      <c r="I26" s="6"/>
      <c r="J26" s="6"/>
      <c r="K26" s="6"/>
      <c r="L26" s="6"/>
      <c r="M26" s="6"/>
      <c r="N26" s="6"/>
      <c r="O26" s="6"/>
      <c r="P26" s="6"/>
      <c r="Q26" s="6"/>
      <c r="R26" s="6"/>
    </row>
    <row r="27" spans="1:18" x14ac:dyDescent="0.3">
      <c r="A27" s="6" t="s">
        <v>249</v>
      </c>
      <c r="B27" s="32" t="s">
        <v>250</v>
      </c>
      <c r="C27" s="6"/>
      <c r="D27" s="6"/>
      <c r="E27" s="6"/>
      <c r="F27" s="6"/>
      <c r="G27" s="6"/>
      <c r="H27" s="6"/>
      <c r="I27" s="6"/>
      <c r="J27" s="6"/>
      <c r="K27" s="6"/>
      <c r="L27" s="6"/>
      <c r="M27" s="6"/>
      <c r="N27" s="6"/>
      <c r="O27" s="6"/>
      <c r="P27" s="6"/>
      <c r="Q27" s="6"/>
      <c r="R27" s="6"/>
    </row>
    <row r="28" spans="1:18" x14ac:dyDescent="0.3">
      <c r="A28" s="6"/>
      <c r="B28" s="32" t="s">
        <v>252</v>
      </c>
      <c r="C28" s="6"/>
      <c r="D28" s="6"/>
      <c r="E28" s="6"/>
      <c r="F28" s="6"/>
      <c r="G28" s="6"/>
      <c r="H28" s="6"/>
      <c r="I28" s="6"/>
      <c r="J28" s="6"/>
      <c r="K28" s="6"/>
      <c r="L28" s="6"/>
      <c r="M28" s="6"/>
      <c r="N28" s="6"/>
      <c r="O28" s="6"/>
      <c r="P28" s="6"/>
      <c r="Q28" s="6"/>
      <c r="R28" s="6"/>
    </row>
    <row r="29" spans="1:18" x14ac:dyDescent="0.3">
      <c r="A29" s="6"/>
      <c r="B29" s="32" t="s">
        <v>253</v>
      </c>
      <c r="C29" s="6"/>
      <c r="D29" s="6"/>
      <c r="E29" s="6"/>
      <c r="F29" s="6"/>
      <c r="G29" s="6"/>
      <c r="H29" s="6"/>
      <c r="I29" s="6"/>
      <c r="J29" s="6"/>
      <c r="K29" s="6"/>
      <c r="L29" s="6"/>
      <c r="M29" s="6"/>
      <c r="N29" s="6"/>
      <c r="O29" s="6"/>
      <c r="P29" s="6"/>
      <c r="Q29" s="6"/>
      <c r="R29" s="6"/>
    </row>
    <row r="30" spans="1:18" x14ac:dyDescent="0.3">
      <c r="A30" s="6"/>
      <c r="B30" s="32" t="s">
        <v>254</v>
      </c>
      <c r="C30" s="6"/>
      <c r="D30" s="6"/>
      <c r="E30" s="6"/>
      <c r="F30" s="6"/>
      <c r="G30" s="6"/>
      <c r="H30" s="6"/>
      <c r="I30" s="6"/>
      <c r="J30" s="6"/>
      <c r="K30" s="6"/>
      <c r="L30" s="6"/>
      <c r="M30" s="6"/>
      <c r="N30" s="6"/>
      <c r="O30" s="6"/>
      <c r="P30" s="6"/>
      <c r="Q30" s="6"/>
      <c r="R30" s="6"/>
    </row>
    <row r="31" spans="1:18" x14ac:dyDescent="0.3">
      <c r="A31" s="6"/>
      <c r="B31" s="32" t="s">
        <v>255</v>
      </c>
      <c r="C31" s="6"/>
      <c r="D31" s="6"/>
      <c r="E31" s="6"/>
      <c r="F31" s="6"/>
      <c r="G31" s="6"/>
      <c r="H31" s="6"/>
      <c r="I31" s="6"/>
      <c r="J31" s="6"/>
      <c r="K31" s="6"/>
      <c r="L31" s="6"/>
      <c r="M31" s="6"/>
      <c r="N31" s="6"/>
      <c r="O31" s="6"/>
      <c r="P31" s="6"/>
      <c r="Q31" s="6"/>
      <c r="R31" s="6"/>
    </row>
    <row r="36" spans="1:11" x14ac:dyDescent="0.3">
      <c r="A36" t="s">
        <v>224</v>
      </c>
    </row>
    <row r="37" spans="1:11" x14ac:dyDescent="0.3">
      <c r="A37" t="s">
        <v>242</v>
      </c>
    </row>
    <row r="38" spans="1:11" x14ac:dyDescent="0.3">
      <c r="A38" t="s">
        <v>241</v>
      </c>
    </row>
    <row r="39" spans="1:11" x14ac:dyDescent="0.3">
      <c r="A39" t="s">
        <v>223</v>
      </c>
    </row>
    <row r="41" spans="1:11" ht="33" customHeight="1" x14ac:dyDescent="0.3">
      <c r="B41" s="74" t="s">
        <v>232</v>
      </c>
      <c r="C41" s="82"/>
      <c r="D41" s="83"/>
      <c r="F41" s="74" t="s">
        <v>233</v>
      </c>
      <c r="G41" s="82"/>
      <c r="H41" s="83"/>
      <c r="J41" s="15"/>
      <c r="K41" s="15"/>
    </row>
    <row r="42" spans="1:11" x14ac:dyDescent="0.3">
      <c r="B42" s="84"/>
      <c r="C42" s="81"/>
      <c r="D42" s="85"/>
      <c r="F42" s="84"/>
      <c r="G42" s="81"/>
      <c r="H42" s="85"/>
      <c r="J42" s="15"/>
      <c r="K42" s="15"/>
    </row>
    <row r="43" spans="1:11" x14ac:dyDescent="0.3">
      <c r="B43" s="81" t="s">
        <v>228</v>
      </c>
      <c r="C43" s="81"/>
      <c r="D43" s="81"/>
      <c r="F43" s="81" t="s">
        <v>229</v>
      </c>
      <c r="G43" s="81"/>
      <c r="H43" s="81"/>
      <c r="J43" s="80"/>
      <c r="K43" s="80"/>
    </row>
    <row r="44" spans="1:11" ht="28.8" x14ac:dyDescent="0.3">
      <c r="B44" s="14" t="s">
        <v>225</v>
      </c>
      <c r="C44" s="14" t="s">
        <v>226</v>
      </c>
      <c r="D44" s="15" t="s">
        <v>227</v>
      </c>
      <c r="F44" s="14" t="s">
        <v>225</v>
      </c>
      <c r="G44" s="14" t="s">
        <v>226</v>
      </c>
      <c r="H44" s="15" t="s">
        <v>227</v>
      </c>
      <c r="J44" s="14"/>
      <c r="K44" s="14"/>
    </row>
    <row r="45" spans="1:11" x14ac:dyDescent="0.3">
      <c r="B45">
        <v>2021</v>
      </c>
      <c r="C45">
        <v>250000</v>
      </c>
      <c r="D45" s="18">
        <v>250</v>
      </c>
      <c r="F45">
        <v>2021</v>
      </c>
      <c r="G45">
        <v>1000000</v>
      </c>
      <c r="H45">
        <v>2000</v>
      </c>
    </row>
    <row r="46" spans="1:11" x14ac:dyDescent="0.3">
      <c r="B46">
        <v>2022</v>
      </c>
      <c r="C46">
        <v>249000</v>
      </c>
      <c r="D46" s="18">
        <v>273.90000000000003</v>
      </c>
      <c r="F46">
        <v>2022</v>
      </c>
      <c r="G46">
        <v>1000000</v>
      </c>
      <c r="H46">
        <v>2200</v>
      </c>
    </row>
    <row r="47" spans="1:11" x14ac:dyDescent="0.3">
      <c r="B47">
        <v>2023</v>
      </c>
      <c r="C47">
        <v>248000</v>
      </c>
      <c r="D47" s="18">
        <v>297.59999999999997</v>
      </c>
      <c r="F47">
        <v>2023</v>
      </c>
      <c r="G47">
        <v>1000000</v>
      </c>
      <c r="H47">
        <v>2400</v>
      </c>
    </row>
    <row r="48" spans="1:11" x14ac:dyDescent="0.3">
      <c r="B48">
        <v>2024</v>
      </c>
      <c r="C48">
        <v>247000</v>
      </c>
      <c r="D48" s="18">
        <v>321.09999999999997</v>
      </c>
      <c r="F48">
        <v>2024</v>
      </c>
      <c r="G48">
        <v>1000000</v>
      </c>
      <c r="H48">
        <v>2600</v>
      </c>
    </row>
    <row r="49" spans="1:9" x14ac:dyDescent="0.3">
      <c r="B49">
        <v>2025</v>
      </c>
      <c r="C49">
        <v>246000</v>
      </c>
      <c r="D49" s="18">
        <v>344.4</v>
      </c>
      <c r="F49">
        <v>2025</v>
      </c>
      <c r="G49">
        <v>1000000</v>
      </c>
      <c r="H49">
        <v>2800</v>
      </c>
    </row>
    <row r="51" spans="1:9" ht="14.4" customHeight="1" x14ac:dyDescent="0.3">
      <c r="B51" s="74" t="s">
        <v>234</v>
      </c>
      <c r="C51" s="75"/>
      <c r="D51" s="76"/>
    </row>
    <row r="52" spans="1:9" x14ac:dyDescent="0.3">
      <c r="B52" s="77"/>
      <c r="C52" s="78"/>
      <c r="D52" s="79"/>
    </row>
    <row r="53" spans="1:9" x14ac:dyDescent="0.3">
      <c r="C53" s="14" t="s">
        <v>230</v>
      </c>
      <c r="D53" s="14" t="s">
        <v>231</v>
      </c>
    </row>
    <row r="54" spans="1:9" x14ac:dyDescent="0.3">
      <c r="B54" t="s">
        <v>235</v>
      </c>
      <c r="C54" s="31">
        <v>0.04</v>
      </c>
      <c r="D54" s="31">
        <v>0.05</v>
      </c>
    </row>
    <row r="56" spans="1:9" x14ac:dyDescent="0.3">
      <c r="A56" t="s">
        <v>240</v>
      </c>
    </row>
    <row r="57" spans="1:9" x14ac:dyDescent="0.3">
      <c r="A57" t="s">
        <v>260</v>
      </c>
    </row>
    <row r="58" spans="1:9" x14ac:dyDescent="0.3">
      <c r="A58" t="s">
        <v>261</v>
      </c>
    </row>
    <row r="60" spans="1:9" x14ac:dyDescent="0.3">
      <c r="A60" t="s">
        <v>237</v>
      </c>
      <c r="B60" t="s">
        <v>238</v>
      </c>
    </row>
    <row r="61" spans="1:9" x14ac:dyDescent="0.3">
      <c r="B61" t="s">
        <v>239</v>
      </c>
    </row>
    <row r="63" spans="1:9" x14ac:dyDescent="0.3">
      <c r="B63" s="86" t="s">
        <v>228</v>
      </c>
      <c r="C63" s="86"/>
      <c r="D63" s="86"/>
      <c r="E63" s="6"/>
      <c r="F63" s="6"/>
      <c r="G63" s="6"/>
      <c r="H63" s="6"/>
      <c r="I63" s="6"/>
    </row>
    <row r="64" spans="1:9" ht="43.2" x14ac:dyDescent="0.3">
      <c r="B64" s="33" t="s">
        <v>225</v>
      </c>
      <c r="C64" s="33" t="s">
        <v>226</v>
      </c>
      <c r="D64" s="34" t="s">
        <v>227</v>
      </c>
      <c r="E64" s="34" t="s">
        <v>256</v>
      </c>
      <c r="F64" s="34" t="s">
        <v>257</v>
      </c>
      <c r="G64" s="34" t="s">
        <v>258</v>
      </c>
      <c r="H64" s="34" t="s">
        <v>259</v>
      </c>
      <c r="I64" s="34" t="s">
        <v>262</v>
      </c>
    </row>
    <row r="65" spans="2:9" x14ac:dyDescent="0.3">
      <c r="B65" s="6">
        <v>2021</v>
      </c>
      <c r="C65" s="6">
        <v>250000</v>
      </c>
      <c r="D65" s="35">
        <v>250</v>
      </c>
      <c r="E65" s="6">
        <f>+D65/C65</f>
        <v>1E-3</v>
      </c>
      <c r="F65" s="6">
        <f>+E65*1.8</f>
        <v>1.8000000000000002E-3</v>
      </c>
      <c r="G65" s="6">
        <f>+F65*C65</f>
        <v>450.00000000000006</v>
      </c>
      <c r="H65" s="36">
        <f>+G65-D65</f>
        <v>200.00000000000006</v>
      </c>
      <c r="I65" s="35">
        <f>+H65*(1+$C$54)^5</f>
        <v>243.33058048000015</v>
      </c>
    </row>
    <row r="66" spans="2:9" x14ac:dyDescent="0.3">
      <c r="B66" s="6">
        <v>2022</v>
      </c>
      <c r="C66" s="6">
        <v>249000</v>
      </c>
      <c r="D66" s="35">
        <v>273.90000000000003</v>
      </c>
      <c r="E66" s="6">
        <f t="shared" ref="E66:E69" si="0">+D66/C66</f>
        <v>1.1000000000000001E-3</v>
      </c>
      <c r="F66" s="6">
        <f t="shared" ref="F66:F69" si="1">+E66*1.8</f>
        <v>1.98E-3</v>
      </c>
      <c r="G66" s="6">
        <f t="shared" ref="G66:G69" si="2">+F66*C66</f>
        <v>493.02</v>
      </c>
      <c r="H66" s="36">
        <f t="shared" ref="H66:H69" si="3">+G66-D66</f>
        <v>219.11999999999995</v>
      </c>
      <c r="I66" s="35">
        <f>+H66*(1+$C$54)^4</f>
        <v>256.33940766719996</v>
      </c>
    </row>
    <row r="67" spans="2:9" x14ac:dyDescent="0.3">
      <c r="B67" s="6">
        <v>2023</v>
      </c>
      <c r="C67" s="6">
        <v>248000</v>
      </c>
      <c r="D67" s="35">
        <v>297.59999999999997</v>
      </c>
      <c r="E67" s="6">
        <f t="shared" si="0"/>
        <v>1.1999999999999999E-3</v>
      </c>
      <c r="F67" s="6">
        <f t="shared" si="1"/>
        <v>2.16E-3</v>
      </c>
      <c r="G67" s="6">
        <f t="shared" si="2"/>
        <v>535.68000000000006</v>
      </c>
      <c r="H67" s="36">
        <f t="shared" si="3"/>
        <v>238.0800000000001</v>
      </c>
      <c r="I67" s="35">
        <f>+H67*(1+$C$54)^3</f>
        <v>267.80762112000014</v>
      </c>
    </row>
    <row r="68" spans="2:9" x14ac:dyDescent="0.3">
      <c r="B68" s="6">
        <v>2024</v>
      </c>
      <c r="C68" s="6">
        <v>247000</v>
      </c>
      <c r="D68" s="35">
        <v>321.09999999999997</v>
      </c>
      <c r="E68" s="6">
        <f t="shared" si="0"/>
        <v>1.2999999999999999E-3</v>
      </c>
      <c r="F68" s="6">
        <f t="shared" si="1"/>
        <v>2.3400000000000001E-3</v>
      </c>
      <c r="G68" s="6">
        <f t="shared" si="2"/>
        <v>577.98</v>
      </c>
      <c r="H68" s="36">
        <f t="shared" si="3"/>
        <v>256.88000000000005</v>
      </c>
      <c r="I68" s="35">
        <f>+H68*(1+$C$54)^2</f>
        <v>277.84140800000011</v>
      </c>
    </row>
    <row r="69" spans="2:9" x14ac:dyDescent="0.3">
      <c r="B69" s="6">
        <v>2025</v>
      </c>
      <c r="C69" s="6">
        <v>246000</v>
      </c>
      <c r="D69" s="35">
        <v>344.4</v>
      </c>
      <c r="E69" s="6">
        <f t="shared" si="0"/>
        <v>1.4E-3</v>
      </c>
      <c r="F69" s="6">
        <f t="shared" si="1"/>
        <v>2.5200000000000001E-3</v>
      </c>
      <c r="G69" s="6">
        <f t="shared" si="2"/>
        <v>619.92000000000007</v>
      </c>
      <c r="H69" s="36">
        <f t="shared" si="3"/>
        <v>275.5200000000001</v>
      </c>
      <c r="I69" s="35">
        <f>+H69*(1+$C$54)^1</f>
        <v>286.5408000000001</v>
      </c>
    </row>
    <row r="70" spans="2:9" x14ac:dyDescent="0.3">
      <c r="B70" s="6"/>
      <c r="C70" s="6"/>
      <c r="D70" s="6"/>
      <c r="E70" s="6"/>
      <c r="F70" s="6"/>
      <c r="G70" s="6"/>
      <c r="H70" s="6"/>
      <c r="I70" s="35">
        <f>+SUM(I65:I69)</f>
        <v>1331.8598172672005</v>
      </c>
    </row>
    <row r="71" spans="2:9" x14ac:dyDescent="0.3">
      <c r="B71" s="6" t="s">
        <v>263</v>
      </c>
      <c r="C71" s="6"/>
      <c r="D71" s="6"/>
      <c r="E71" s="6"/>
      <c r="F71" s="6"/>
      <c r="G71" s="6"/>
      <c r="H71" s="6"/>
      <c r="I71" s="6"/>
    </row>
    <row r="73" spans="2:9" x14ac:dyDescent="0.3">
      <c r="B73" t="s">
        <v>332</v>
      </c>
    </row>
    <row r="75" spans="2:9" x14ac:dyDescent="0.3">
      <c r="B75" s="86" t="s">
        <v>229</v>
      </c>
      <c r="C75" s="86"/>
      <c r="D75" s="86"/>
      <c r="E75" s="6"/>
      <c r="F75" s="6"/>
      <c r="G75" s="6"/>
      <c r="H75" s="6"/>
      <c r="I75" s="6"/>
    </row>
    <row r="76" spans="2:9" ht="43.2" x14ac:dyDescent="0.3">
      <c r="B76" s="33" t="s">
        <v>225</v>
      </c>
      <c r="C76" s="33" t="s">
        <v>226</v>
      </c>
      <c r="D76" s="34" t="s">
        <v>227</v>
      </c>
      <c r="E76" s="34" t="s">
        <v>264</v>
      </c>
      <c r="F76" s="34" t="s">
        <v>258</v>
      </c>
      <c r="G76" s="34" t="s">
        <v>259</v>
      </c>
      <c r="H76" s="6"/>
      <c r="I76" s="34" t="s">
        <v>262</v>
      </c>
    </row>
    <row r="77" spans="2:9" x14ac:dyDescent="0.3">
      <c r="B77" s="6">
        <v>2021</v>
      </c>
      <c r="C77" s="6">
        <v>1000000</v>
      </c>
      <c r="D77" s="6">
        <v>2000</v>
      </c>
      <c r="E77" s="6">
        <f>+C77*(1-10%)</f>
        <v>900000</v>
      </c>
      <c r="F77" s="6">
        <f>+D77*E77/C77</f>
        <v>1800</v>
      </c>
      <c r="G77" s="6">
        <f>+F77-D77</f>
        <v>-200</v>
      </c>
      <c r="H77" s="6"/>
      <c r="I77" s="35">
        <f>+G77*(1+$D$54)^5</f>
        <v>-255.25631250000004</v>
      </c>
    </row>
    <row r="78" spans="2:9" x14ac:dyDescent="0.3">
      <c r="B78" s="6">
        <v>2022</v>
      </c>
      <c r="C78" s="6">
        <v>1000000</v>
      </c>
      <c r="D78" s="6">
        <v>2200</v>
      </c>
      <c r="E78" s="6">
        <f t="shared" ref="E78:E81" si="4">+C78*(1-10%)</f>
        <v>900000</v>
      </c>
      <c r="F78" s="6">
        <f t="shared" ref="F78:F81" si="5">+D78*E78/C78</f>
        <v>1980</v>
      </c>
      <c r="G78" s="6">
        <f t="shared" ref="G78:G81" si="6">+F78-D78</f>
        <v>-220</v>
      </c>
      <c r="H78" s="6"/>
      <c r="I78" s="35">
        <f>+G78*(1+$D$54)^4</f>
        <v>-267.41137500000002</v>
      </c>
    </row>
    <row r="79" spans="2:9" x14ac:dyDescent="0.3">
      <c r="B79" s="6">
        <v>2023</v>
      </c>
      <c r="C79" s="6">
        <v>1000000</v>
      </c>
      <c r="D79" s="6">
        <v>2400</v>
      </c>
      <c r="E79" s="6">
        <f t="shared" si="4"/>
        <v>900000</v>
      </c>
      <c r="F79" s="6">
        <f t="shared" si="5"/>
        <v>2160</v>
      </c>
      <c r="G79" s="6">
        <f t="shared" si="6"/>
        <v>-240</v>
      </c>
      <c r="H79" s="6"/>
      <c r="I79" s="35">
        <f>+G79*(1+$D$54)^3</f>
        <v>-277.83000000000004</v>
      </c>
    </row>
    <row r="80" spans="2:9" x14ac:dyDescent="0.3">
      <c r="B80" s="6">
        <v>2024</v>
      </c>
      <c r="C80" s="6">
        <v>1000000</v>
      </c>
      <c r="D80" s="6">
        <v>2600</v>
      </c>
      <c r="E80" s="6">
        <f t="shared" si="4"/>
        <v>900000</v>
      </c>
      <c r="F80" s="6">
        <f t="shared" si="5"/>
        <v>2340</v>
      </c>
      <c r="G80" s="6">
        <f t="shared" si="6"/>
        <v>-260</v>
      </c>
      <c r="H80" s="6"/>
      <c r="I80" s="35">
        <f>+G80*(1+$D$54)^2</f>
        <v>-286.65000000000003</v>
      </c>
    </row>
    <row r="81" spans="2:9" x14ac:dyDescent="0.3">
      <c r="B81" s="6">
        <v>2025</v>
      </c>
      <c r="C81" s="6">
        <v>1000000</v>
      </c>
      <c r="D81" s="6">
        <v>2800</v>
      </c>
      <c r="E81" s="6">
        <f t="shared" si="4"/>
        <v>900000</v>
      </c>
      <c r="F81" s="6">
        <f t="shared" si="5"/>
        <v>2520</v>
      </c>
      <c r="G81" s="6">
        <f t="shared" si="6"/>
        <v>-280</v>
      </c>
      <c r="H81" s="6"/>
      <c r="I81" s="35">
        <f>+G81*(1+$D$54)^1</f>
        <v>-294</v>
      </c>
    </row>
    <row r="82" spans="2:9" x14ac:dyDescent="0.3">
      <c r="B82" s="6"/>
      <c r="C82" s="6"/>
      <c r="D82" s="6"/>
      <c r="E82" s="6"/>
      <c r="F82" s="6"/>
      <c r="G82" s="6"/>
      <c r="H82" s="6"/>
      <c r="I82" s="35">
        <f>+SUM(I77:I81)</f>
        <v>-1381.1476875000001</v>
      </c>
    </row>
    <row r="83" spans="2:9" x14ac:dyDescent="0.3">
      <c r="B83" s="6" t="s">
        <v>570</v>
      </c>
      <c r="C83" s="6"/>
      <c r="D83" s="6"/>
      <c r="E83" s="6"/>
      <c r="F83" s="6"/>
      <c r="G83" s="6"/>
      <c r="H83" s="6"/>
      <c r="I83" s="6"/>
    </row>
  </sheetData>
  <mergeCells count="8">
    <mergeCell ref="J43:K43"/>
    <mergeCell ref="B63:D63"/>
    <mergeCell ref="B75:D75"/>
    <mergeCell ref="B43:D43"/>
    <mergeCell ref="F43:H43"/>
    <mergeCell ref="B41:D42"/>
    <mergeCell ref="F41:H42"/>
    <mergeCell ref="B51:D5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78220-1BF2-4AD9-A019-DBC993ABC42B}">
  <sheetPr codeName="Sheet11">
    <tabColor theme="9" tint="0.59999389629810485"/>
  </sheetPr>
  <dimension ref="A1:H49"/>
  <sheetViews>
    <sheetView showGridLines="0" zoomScale="115" zoomScaleNormal="115" workbookViewId="0"/>
  </sheetViews>
  <sheetFormatPr defaultRowHeight="14.4" x14ac:dyDescent="0.3"/>
  <cols>
    <col min="1" max="1" width="12" customWidth="1"/>
    <col min="2" max="2" width="8" customWidth="1"/>
    <col min="3" max="3" width="16.109375" customWidth="1"/>
    <col min="4" max="4" width="15.109375" customWidth="1"/>
    <col min="5" max="6" width="9.44140625" customWidth="1"/>
    <col min="7" max="7" width="14.88671875" customWidth="1"/>
    <col min="8" max="8" width="14.5546875" customWidth="1"/>
    <col min="9" max="9" width="9.44140625" customWidth="1"/>
    <col min="11" max="11" width="9.88671875" customWidth="1"/>
  </cols>
  <sheetData>
    <row r="1" spans="1:2" x14ac:dyDescent="0.3">
      <c r="A1" s="10" t="s">
        <v>333</v>
      </c>
    </row>
    <row r="3" spans="1:2" x14ac:dyDescent="0.3">
      <c r="A3" s="11" t="s">
        <v>1</v>
      </c>
    </row>
    <row r="4" spans="1:2" x14ac:dyDescent="0.3">
      <c r="A4" t="s">
        <v>334</v>
      </c>
    </row>
    <row r="6" spans="1:2" x14ac:dyDescent="0.3">
      <c r="A6" s="11" t="s">
        <v>2</v>
      </c>
    </row>
    <row r="7" spans="1:2" x14ac:dyDescent="0.3">
      <c r="A7" t="s">
        <v>211</v>
      </c>
      <c r="B7" t="s">
        <v>213</v>
      </c>
    </row>
    <row r="8" spans="1:2" ht="14.1" customHeight="1" x14ac:dyDescent="0.3">
      <c r="A8" t="s">
        <v>335</v>
      </c>
      <c r="B8" t="s">
        <v>336</v>
      </c>
    </row>
    <row r="10" spans="1:2" x14ac:dyDescent="0.3">
      <c r="A10" s="11" t="s">
        <v>3</v>
      </c>
    </row>
    <row r="11" spans="1:2" x14ac:dyDescent="0.3">
      <c r="A11">
        <v>1</v>
      </c>
      <c r="B11" t="s">
        <v>217</v>
      </c>
    </row>
    <row r="12" spans="1:2" x14ac:dyDescent="0.3">
      <c r="A12">
        <v>2</v>
      </c>
      <c r="B12" t="s">
        <v>337</v>
      </c>
    </row>
    <row r="15" spans="1:2" x14ac:dyDescent="0.3">
      <c r="A15" t="s">
        <v>564</v>
      </c>
    </row>
    <row r="17" spans="1:8" x14ac:dyDescent="0.3">
      <c r="A17" t="s">
        <v>338</v>
      </c>
    </row>
    <row r="19" spans="1:8" x14ac:dyDescent="0.3">
      <c r="A19" t="s">
        <v>344</v>
      </c>
    </row>
    <row r="21" spans="1:8" x14ac:dyDescent="0.3">
      <c r="A21" t="s">
        <v>339</v>
      </c>
    </row>
    <row r="22" spans="1:8" x14ac:dyDescent="0.3">
      <c r="A22" t="s">
        <v>571</v>
      </c>
    </row>
    <row r="23" spans="1:8" x14ac:dyDescent="0.3">
      <c r="A23" t="s">
        <v>347</v>
      </c>
    </row>
    <row r="24" spans="1:8" x14ac:dyDescent="0.3">
      <c r="A24" t="s">
        <v>340</v>
      </c>
    </row>
    <row r="25" spans="1:8" x14ac:dyDescent="0.3">
      <c r="A25" t="s">
        <v>346</v>
      </c>
    </row>
    <row r="27" spans="1:8" ht="28.8" x14ac:dyDescent="0.3">
      <c r="B27" s="15" t="s">
        <v>341</v>
      </c>
      <c r="C27" s="15" t="s">
        <v>342</v>
      </c>
      <c r="D27" s="15" t="s">
        <v>343</v>
      </c>
    </row>
    <row r="28" spans="1:8" x14ac:dyDescent="0.3">
      <c r="B28">
        <v>11</v>
      </c>
      <c r="C28" s="1">
        <v>20000000</v>
      </c>
      <c r="D28" s="1">
        <v>22000000</v>
      </c>
      <c r="E28" s="31"/>
    </row>
    <row r="29" spans="1:8" x14ac:dyDescent="0.3">
      <c r="B29">
        <v>12</v>
      </c>
      <c r="C29" s="1">
        <v>21000000</v>
      </c>
      <c r="D29" s="1">
        <v>22680000</v>
      </c>
    </row>
    <row r="30" spans="1:8" x14ac:dyDescent="0.3">
      <c r="B30">
        <v>13</v>
      </c>
      <c r="C30" s="1">
        <v>22000000</v>
      </c>
      <c r="D30" s="1">
        <v>23320000</v>
      </c>
      <c r="G30" s="44"/>
      <c r="H30" s="44"/>
    </row>
    <row r="31" spans="1:8" x14ac:dyDescent="0.3">
      <c r="B31">
        <v>14</v>
      </c>
      <c r="C31" s="1">
        <v>23000000</v>
      </c>
      <c r="D31" s="1">
        <v>23920000</v>
      </c>
    </row>
    <row r="32" spans="1:8" x14ac:dyDescent="0.3">
      <c r="B32">
        <v>15</v>
      </c>
      <c r="C32" s="1">
        <v>24000000</v>
      </c>
      <c r="D32" s="1">
        <v>24480000</v>
      </c>
    </row>
    <row r="33" spans="2:4" x14ac:dyDescent="0.3">
      <c r="B33">
        <v>16</v>
      </c>
      <c r="C33" s="1">
        <v>25000000</v>
      </c>
      <c r="D33" s="1">
        <v>25000000</v>
      </c>
    </row>
    <row r="34" spans="2:4" x14ac:dyDescent="0.3">
      <c r="B34">
        <v>17</v>
      </c>
      <c r="C34" s="1">
        <v>25000000</v>
      </c>
      <c r="D34" s="1">
        <v>24500000</v>
      </c>
    </row>
    <row r="35" spans="2:4" x14ac:dyDescent="0.3">
      <c r="B35">
        <v>18</v>
      </c>
      <c r="C35" s="1">
        <v>25000000</v>
      </c>
      <c r="D35" s="1">
        <v>24000000</v>
      </c>
    </row>
    <row r="36" spans="2:4" x14ac:dyDescent="0.3">
      <c r="B36">
        <v>19</v>
      </c>
      <c r="C36" s="1">
        <v>25000000</v>
      </c>
      <c r="D36" s="1">
        <v>23500000</v>
      </c>
    </row>
    <row r="37" spans="2:4" x14ac:dyDescent="0.3">
      <c r="B37">
        <v>20</v>
      </c>
      <c r="C37" s="1">
        <v>25000000</v>
      </c>
      <c r="D37" s="1">
        <v>23000000</v>
      </c>
    </row>
    <row r="38" spans="2:4" x14ac:dyDescent="0.3">
      <c r="B38">
        <v>21</v>
      </c>
      <c r="C38" s="1">
        <v>24000000</v>
      </c>
      <c r="D38" s="1">
        <v>21599999.999999996</v>
      </c>
    </row>
    <row r="39" spans="2:4" x14ac:dyDescent="0.3">
      <c r="B39">
        <v>22</v>
      </c>
      <c r="C39" s="1">
        <v>23000000</v>
      </c>
      <c r="D39" s="1">
        <v>20239999.999999996</v>
      </c>
    </row>
    <row r="40" spans="2:4" x14ac:dyDescent="0.3">
      <c r="B40">
        <v>23</v>
      </c>
      <c r="C40" s="1">
        <v>22000000</v>
      </c>
      <c r="D40" s="1">
        <v>18919999.999999996</v>
      </c>
    </row>
    <row r="41" spans="2:4" x14ac:dyDescent="0.3">
      <c r="B41">
        <v>24</v>
      </c>
      <c r="C41" s="1">
        <v>21000000</v>
      </c>
      <c r="D41" s="1">
        <v>17639999.999999996</v>
      </c>
    </row>
    <row r="42" spans="2:4" x14ac:dyDescent="0.3">
      <c r="B42">
        <v>25</v>
      </c>
      <c r="C42" s="1">
        <v>20000000</v>
      </c>
      <c r="D42" s="1">
        <v>16399999.999999996</v>
      </c>
    </row>
    <row r="43" spans="2:4" x14ac:dyDescent="0.3">
      <c r="B43">
        <v>26</v>
      </c>
      <c r="C43" s="1">
        <v>19000000</v>
      </c>
      <c r="D43" s="1">
        <v>15199999.999999996</v>
      </c>
    </row>
    <row r="44" spans="2:4" x14ac:dyDescent="0.3">
      <c r="B44">
        <v>27</v>
      </c>
      <c r="C44" s="1">
        <v>18000000</v>
      </c>
      <c r="D44" s="1">
        <v>14039999.999999996</v>
      </c>
    </row>
    <row r="45" spans="2:4" x14ac:dyDescent="0.3">
      <c r="B45">
        <v>28</v>
      </c>
      <c r="C45" s="1">
        <v>17000000</v>
      </c>
      <c r="D45" s="1">
        <v>12919999.999999996</v>
      </c>
    </row>
    <row r="46" spans="2:4" x14ac:dyDescent="0.3">
      <c r="B46">
        <v>29</v>
      </c>
      <c r="C46" s="1">
        <v>16000000</v>
      </c>
      <c r="D46" s="1">
        <v>11839999.999999996</v>
      </c>
    </row>
    <row r="47" spans="2:4" x14ac:dyDescent="0.3">
      <c r="B47">
        <v>30</v>
      </c>
      <c r="C47" s="1">
        <v>15000000</v>
      </c>
      <c r="D47" s="1">
        <v>10799999.999999996</v>
      </c>
    </row>
    <row r="49" spans="1:1" x14ac:dyDescent="0.3">
      <c r="A49" t="s">
        <v>345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58E1E-4CB6-4D6B-8EC3-D695AEF63EA5}">
  <sheetPr codeName="Sheet12">
    <tabColor theme="5" tint="0.39997558519241921"/>
  </sheetPr>
  <dimension ref="A1:K91"/>
  <sheetViews>
    <sheetView showGridLines="0" zoomScale="115" zoomScaleNormal="115" workbookViewId="0"/>
  </sheetViews>
  <sheetFormatPr defaultRowHeight="14.4" x14ac:dyDescent="0.3"/>
  <cols>
    <col min="1" max="1" width="12" customWidth="1"/>
    <col min="2" max="2" width="8" customWidth="1"/>
    <col min="3" max="3" width="16.109375" customWidth="1"/>
    <col min="4" max="4" width="15.109375" customWidth="1"/>
    <col min="5" max="5" width="13.88671875" customWidth="1"/>
    <col min="6" max="6" width="17.44140625" customWidth="1"/>
    <col min="7" max="7" width="14.88671875" customWidth="1"/>
    <col min="8" max="8" width="14.5546875" customWidth="1"/>
    <col min="9" max="9" width="9.44140625" customWidth="1"/>
    <col min="11" max="11" width="9.88671875" customWidth="1"/>
  </cols>
  <sheetData>
    <row r="1" spans="1:2" x14ac:dyDescent="0.3">
      <c r="A1" s="10" t="s">
        <v>333</v>
      </c>
    </row>
    <row r="3" spans="1:2" x14ac:dyDescent="0.3">
      <c r="A3" s="11" t="s">
        <v>1</v>
      </c>
    </row>
    <row r="4" spans="1:2" x14ac:dyDescent="0.3">
      <c r="A4" t="s">
        <v>334</v>
      </c>
    </row>
    <row r="6" spans="1:2" x14ac:dyDescent="0.3">
      <c r="A6" s="11" t="s">
        <v>2</v>
      </c>
    </row>
    <row r="7" spans="1:2" x14ac:dyDescent="0.3">
      <c r="A7" t="s">
        <v>211</v>
      </c>
      <c r="B7" t="s">
        <v>213</v>
      </c>
    </row>
    <row r="8" spans="1:2" ht="14.1" customHeight="1" x14ac:dyDescent="0.3">
      <c r="A8" t="s">
        <v>335</v>
      </c>
      <c r="B8" t="s">
        <v>336</v>
      </c>
    </row>
    <row r="10" spans="1:2" x14ac:dyDescent="0.3">
      <c r="A10" s="11" t="s">
        <v>3</v>
      </c>
    </row>
    <row r="11" spans="1:2" x14ac:dyDescent="0.3">
      <c r="A11">
        <v>1</v>
      </c>
      <c r="B11" t="s">
        <v>217</v>
      </c>
    </row>
    <row r="12" spans="1:2" x14ac:dyDescent="0.3">
      <c r="A12">
        <v>2</v>
      </c>
      <c r="B12" t="s">
        <v>337</v>
      </c>
    </row>
    <row r="15" spans="1:2" x14ac:dyDescent="0.3">
      <c r="A15" t="s">
        <v>564</v>
      </c>
    </row>
    <row r="17" spans="1:11" x14ac:dyDescent="0.3">
      <c r="A17" t="s">
        <v>338</v>
      </c>
    </row>
    <row r="18" spans="1:11" x14ac:dyDescent="0.3">
      <c r="A18" s="6" t="s">
        <v>357</v>
      </c>
      <c r="B18" s="6"/>
      <c r="C18" s="6"/>
      <c r="D18" s="6"/>
      <c r="E18" s="6"/>
      <c r="F18" s="6"/>
      <c r="G18" s="6"/>
      <c r="H18" s="6"/>
      <c r="I18" s="6"/>
      <c r="J18" s="6"/>
      <c r="K18" s="6"/>
    </row>
    <row r="19" spans="1:11" x14ac:dyDescent="0.3">
      <c r="A19" s="8" t="s">
        <v>362</v>
      </c>
      <c r="B19" s="6"/>
      <c r="C19" s="6"/>
      <c r="D19" s="6"/>
      <c r="E19" s="6"/>
      <c r="F19" s="6"/>
      <c r="G19" s="6"/>
      <c r="H19" s="6"/>
      <c r="I19" s="6"/>
      <c r="J19" s="6"/>
      <c r="K19" s="6"/>
    </row>
    <row r="20" spans="1:11" x14ac:dyDescent="0.3">
      <c r="A20" s="6" t="s">
        <v>358</v>
      </c>
      <c r="B20" s="6"/>
      <c r="C20" s="6"/>
      <c r="D20" s="6"/>
      <c r="E20" s="6"/>
      <c r="F20" s="6"/>
      <c r="G20" s="6"/>
      <c r="H20" s="6"/>
      <c r="I20" s="6"/>
      <c r="J20" s="6"/>
      <c r="K20" s="6"/>
    </row>
    <row r="21" spans="1:11" x14ac:dyDescent="0.3">
      <c r="A21" s="8" t="s">
        <v>363</v>
      </c>
      <c r="B21" s="6"/>
      <c r="C21" s="6"/>
      <c r="D21" s="6"/>
      <c r="E21" s="6"/>
      <c r="F21" s="6"/>
      <c r="G21" s="6"/>
      <c r="H21" s="6"/>
      <c r="I21" s="6"/>
      <c r="J21" s="6"/>
      <c r="K21" s="6"/>
    </row>
    <row r="22" spans="1:11" x14ac:dyDescent="0.3">
      <c r="A22" s="6" t="s">
        <v>359</v>
      </c>
      <c r="B22" s="6"/>
      <c r="C22" s="6"/>
      <c r="D22" s="6"/>
      <c r="E22" s="6"/>
      <c r="F22" s="6"/>
      <c r="G22" s="6"/>
      <c r="H22" s="6"/>
      <c r="I22" s="6"/>
      <c r="J22" s="6"/>
      <c r="K22" s="6"/>
    </row>
    <row r="23" spans="1:11" x14ac:dyDescent="0.3">
      <c r="A23" s="8" t="s">
        <v>364</v>
      </c>
      <c r="B23" s="6"/>
      <c r="C23" s="6"/>
      <c r="D23" s="6"/>
      <c r="E23" s="6"/>
      <c r="F23" s="6"/>
      <c r="G23" s="6"/>
      <c r="H23" s="6"/>
      <c r="I23" s="6"/>
      <c r="J23" s="6"/>
      <c r="K23" s="6"/>
    </row>
    <row r="24" spans="1:11" x14ac:dyDescent="0.3">
      <c r="A24" s="6" t="s">
        <v>360</v>
      </c>
      <c r="B24" s="6"/>
      <c r="C24" s="6"/>
      <c r="D24" s="6"/>
      <c r="E24" s="6"/>
      <c r="F24" s="6"/>
      <c r="G24" s="6"/>
      <c r="H24" s="6"/>
      <c r="I24" s="6"/>
      <c r="J24" s="6"/>
      <c r="K24" s="6"/>
    </row>
    <row r="25" spans="1:11" x14ac:dyDescent="0.3">
      <c r="A25" s="8" t="s">
        <v>364</v>
      </c>
      <c r="B25" s="6"/>
      <c r="C25" s="6"/>
      <c r="D25" s="6"/>
      <c r="E25" s="6"/>
      <c r="F25" s="6"/>
      <c r="G25" s="6"/>
      <c r="H25" s="6"/>
      <c r="I25" s="6"/>
      <c r="J25" s="6"/>
      <c r="K25" s="6"/>
    </row>
    <row r="26" spans="1:11" x14ac:dyDescent="0.3">
      <c r="A26" s="6" t="s">
        <v>361</v>
      </c>
      <c r="B26" s="6"/>
      <c r="C26" s="6"/>
      <c r="D26" s="6"/>
      <c r="E26" s="6"/>
      <c r="F26" s="6"/>
      <c r="G26" s="6"/>
      <c r="H26" s="6"/>
      <c r="I26" s="6"/>
      <c r="J26" s="6"/>
      <c r="K26" s="6"/>
    </row>
    <row r="27" spans="1:11" x14ac:dyDescent="0.3">
      <c r="A27" s="8" t="s">
        <v>365</v>
      </c>
      <c r="B27" s="6"/>
      <c r="C27" s="6"/>
      <c r="D27" s="6"/>
      <c r="E27" s="6"/>
      <c r="F27" s="6"/>
      <c r="G27" s="6"/>
      <c r="H27" s="6"/>
      <c r="I27" s="6"/>
      <c r="J27" s="6"/>
      <c r="K27" s="6"/>
    </row>
    <row r="29" spans="1:11" x14ac:dyDescent="0.3">
      <c r="A29" t="s">
        <v>344</v>
      </c>
    </row>
    <row r="31" spans="1:11" x14ac:dyDescent="0.3">
      <c r="A31" t="s">
        <v>339</v>
      </c>
    </row>
    <row r="32" spans="1:11" x14ac:dyDescent="0.3">
      <c r="A32" t="s">
        <v>571</v>
      </c>
    </row>
    <row r="33" spans="1:8" x14ac:dyDescent="0.3">
      <c r="A33" t="s">
        <v>347</v>
      </c>
    </row>
    <row r="34" spans="1:8" x14ac:dyDescent="0.3">
      <c r="A34" t="s">
        <v>340</v>
      </c>
    </row>
    <row r="35" spans="1:8" x14ac:dyDescent="0.3">
      <c r="A35" t="s">
        <v>346</v>
      </c>
    </row>
    <row r="37" spans="1:8" ht="28.8" x14ac:dyDescent="0.3">
      <c r="B37" s="15" t="s">
        <v>341</v>
      </c>
      <c r="C37" s="15" t="s">
        <v>342</v>
      </c>
      <c r="D37" s="15" t="s">
        <v>343</v>
      </c>
    </row>
    <row r="38" spans="1:8" x14ac:dyDescent="0.3">
      <c r="B38">
        <v>11</v>
      </c>
      <c r="C38" s="1">
        <v>20000000</v>
      </c>
      <c r="D38" s="1">
        <v>22000000</v>
      </c>
      <c r="E38" s="31"/>
    </row>
    <row r="39" spans="1:8" x14ac:dyDescent="0.3">
      <c r="B39">
        <v>12</v>
      </c>
      <c r="C39" s="1">
        <v>21000000</v>
      </c>
      <c r="D39" s="1">
        <v>22680000</v>
      </c>
      <c r="E39" s="43"/>
    </row>
    <row r="40" spans="1:8" x14ac:dyDescent="0.3">
      <c r="B40">
        <v>13</v>
      </c>
      <c r="C40" s="1">
        <v>22000000</v>
      </c>
      <c r="D40" s="1">
        <v>23320000</v>
      </c>
      <c r="E40" s="43"/>
      <c r="G40" s="44"/>
      <c r="H40" s="44"/>
    </row>
    <row r="41" spans="1:8" x14ac:dyDescent="0.3">
      <c r="B41">
        <v>14</v>
      </c>
      <c r="C41" s="1">
        <v>23000000</v>
      </c>
      <c r="D41" s="1">
        <v>23920000</v>
      </c>
      <c r="E41" s="43"/>
    </row>
    <row r="42" spans="1:8" x14ac:dyDescent="0.3">
      <c r="B42">
        <v>15</v>
      </c>
      <c r="C42" s="1">
        <v>24000000</v>
      </c>
      <c r="D42" s="1">
        <v>24480000</v>
      </c>
      <c r="E42" s="43"/>
    </row>
    <row r="43" spans="1:8" x14ac:dyDescent="0.3">
      <c r="B43">
        <v>16</v>
      </c>
      <c r="C43" s="1">
        <v>25000000</v>
      </c>
      <c r="D43" s="1">
        <v>25000000</v>
      </c>
      <c r="E43" s="43"/>
    </row>
    <row r="44" spans="1:8" x14ac:dyDescent="0.3">
      <c r="B44">
        <v>17</v>
      </c>
      <c r="C44" s="1">
        <v>25000000</v>
      </c>
      <c r="D44" s="1">
        <v>24500000</v>
      </c>
      <c r="E44" s="43"/>
    </row>
    <row r="45" spans="1:8" x14ac:dyDescent="0.3">
      <c r="B45">
        <v>18</v>
      </c>
      <c r="C45" s="1">
        <v>25000000</v>
      </c>
      <c r="D45" s="1">
        <v>24000000</v>
      </c>
      <c r="E45" s="43"/>
    </row>
    <row r="46" spans="1:8" x14ac:dyDescent="0.3">
      <c r="B46">
        <v>19</v>
      </c>
      <c r="C46" s="1">
        <v>25000000</v>
      </c>
      <c r="D46" s="1">
        <v>23500000</v>
      </c>
      <c r="E46" s="43"/>
    </row>
    <row r="47" spans="1:8" x14ac:dyDescent="0.3">
      <c r="B47">
        <v>20</v>
      </c>
      <c r="C47" s="1">
        <v>25000000</v>
      </c>
      <c r="D47" s="1">
        <v>23000000</v>
      </c>
      <c r="E47" s="43"/>
    </row>
    <row r="48" spans="1:8" x14ac:dyDescent="0.3">
      <c r="B48">
        <v>21</v>
      </c>
      <c r="C48" s="1">
        <v>24000000</v>
      </c>
      <c r="D48" s="1">
        <v>21599999.999999996</v>
      </c>
      <c r="E48" s="43"/>
    </row>
    <row r="49" spans="1:10" x14ac:dyDescent="0.3">
      <c r="B49">
        <v>22</v>
      </c>
      <c r="C49" s="1">
        <v>23000000</v>
      </c>
      <c r="D49" s="1">
        <v>20239999.999999996</v>
      </c>
      <c r="E49" s="43"/>
    </row>
    <row r="50" spans="1:10" x14ac:dyDescent="0.3">
      <c r="B50">
        <v>23</v>
      </c>
      <c r="C50" s="1">
        <v>22000000</v>
      </c>
      <c r="D50" s="1">
        <v>18919999.999999996</v>
      </c>
      <c r="E50" s="43"/>
    </row>
    <row r="51" spans="1:10" x14ac:dyDescent="0.3">
      <c r="B51">
        <v>24</v>
      </c>
      <c r="C51" s="1">
        <v>21000000</v>
      </c>
      <c r="D51" s="1">
        <v>17639999.999999996</v>
      </c>
      <c r="E51" s="43"/>
    </row>
    <row r="52" spans="1:10" x14ac:dyDescent="0.3">
      <c r="B52">
        <v>25</v>
      </c>
      <c r="C52" s="1">
        <v>20000000</v>
      </c>
      <c r="D52" s="1">
        <v>16399999.999999996</v>
      </c>
      <c r="E52" s="43"/>
    </row>
    <row r="53" spans="1:10" x14ac:dyDescent="0.3">
      <c r="B53">
        <v>26</v>
      </c>
      <c r="C53" s="1">
        <v>19000000</v>
      </c>
      <c r="D53" s="1">
        <v>15199999.999999996</v>
      </c>
      <c r="E53" s="43"/>
    </row>
    <row r="54" spans="1:10" x14ac:dyDescent="0.3">
      <c r="B54">
        <v>27</v>
      </c>
      <c r="C54" s="1">
        <v>18000000</v>
      </c>
      <c r="D54" s="1">
        <v>14039999.999999996</v>
      </c>
      <c r="E54" s="43"/>
    </row>
    <row r="55" spans="1:10" x14ac:dyDescent="0.3">
      <c r="B55">
        <v>28</v>
      </c>
      <c r="C55" s="1">
        <v>17000000</v>
      </c>
      <c r="D55" s="1">
        <v>12919999.999999996</v>
      </c>
      <c r="E55" s="43"/>
    </row>
    <row r="56" spans="1:10" x14ac:dyDescent="0.3">
      <c r="B56">
        <v>29</v>
      </c>
      <c r="C56" s="1">
        <v>16000000</v>
      </c>
      <c r="D56" s="1">
        <v>11839999.999999996</v>
      </c>
      <c r="E56" s="43"/>
    </row>
    <row r="57" spans="1:10" x14ac:dyDescent="0.3">
      <c r="B57">
        <v>30</v>
      </c>
      <c r="C57" s="1">
        <v>15000000</v>
      </c>
      <c r="D57" s="1">
        <v>10799999.999999996</v>
      </c>
      <c r="E57" s="43"/>
    </row>
    <row r="59" spans="1:10" x14ac:dyDescent="0.3">
      <c r="A59" t="s">
        <v>345</v>
      </c>
    </row>
    <row r="61" spans="1:10" x14ac:dyDescent="0.3">
      <c r="B61" s="7" t="s">
        <v>366</v>
      </c>
      <c r="C61" s="6"/>
      <c r="D61" s="6"/>
      <c r="E61" s="6"/>
      <c r="F61" s="6"/>
      <c r="G61" s="6"/>
      <c r="H61" s="6"/>
      <c r="I61" s="6"/>
      <c r="J61" s="6"/>
    </row>
    <row r="62" spans="1:10" ht="28.8" x14ac:dyDescent="0.3">
      <c r="B62" s="34" t="s">
        <v>341</v>
      </c>
      <c r="C62" s="34" t="s">
        <v>342</v>
      </c>
      <c r="D62" s="34" t="s">
        <v>343</v>
      </c>
      <c r="E62" s="34" t="s">
        <v>348</v>
      </c>
      <c r="F62" s="34" t="s">
        <v>349</v>
      </c>
      <c r="G62" s="6"/>
      <c r="H62" s="6"/>
      <c r="I62" s="6"/>
      <c r="J62" s="6"/>
    </row>
    <row r="63" spans="1:10" x14ac:dyDescent="0.3">
      <c r="B63" s="6">
        <v>11</v>
      </c>
      <c r="C63" s="46">
        <f>C38</f>
        <v>20000000</v>
      </c>
      <c r="D63" s="46">
        <f t="shared" ref="D63:D82" si="0">D38</f>
        <v>22000000</v>
      </c>
      <c r="E63" s="46"/>
      <c r="F63" s="46"/>
      <c r="G63" s="6"/>
      <c r="H63" s="6"/>
      <c r="I63" s="6"/>
      <c r="J63" s="6"/>
    </row>
    <row r="64" spans="1:10" x14ac:dyDescent="0.3">
      <c r="B64" s="6">
        <v>12</v>
      </c>
      <c r="C64" s="46">
        <f t="shared" ref="C64" si="1">C39</f>
        <v>21000000</v>
      </c>
      <c r="D64" s="46">
        <f t="shared" si="0"/>
        <v>22680000</v>
      </c>
      <c r="E64" s="46"/>
      <c r="F64" s="46"/>
      <c r="G64" s="6"/>
      <c r="H64" s="6"/>
      <c r="I64" s="6"/>
      <c r="J64" s="6"/>
    </row>
    <row r="65" spans="2:10" x14ac:dyDescent="0.3">
      <c r="B65" s="6">
        <v>13</v>
      </c>
      <c r="C65" s="46">
        <f t="shared" ref="C65" si="2">C40</f>
        <v>22000000</v>
      </c>
      <c r="D65" s="46">
        <f t="shared" si="0"/>
        <v>23320000</v>
      </c>
      <c r="E65" s="46"/>
      <c r="F65" s="46"/>
      <c r="G65" s="6"/>
      <c r="H65" s="6"/>
      <c r="I65" s="6"/>
      <c r="J65" s="6"/>
    </row>
    <row r="66" spans="2:10" x14ac:dyDescent="0.3">
      <c r="B66" s="6">
        <v>14</v>
      </c>
      <c r="C66" s="46">
        <f t="shared" ref="C66" si="3">C41</f>
        <v>23000000</v>
      </c>
      <c r="D66" s="46">
        <f t="shared" si="0"/>
        <v>23920000</v>
      </c>
      <c r="E66" s="46"/>
      <c r="F66" s="46"/>
      <c r="G66" s="6"/>
      <c r="H66" s="6"/>
      <c r="I66" s="6"/>
      <c r="J66" s="6"/>
    </row>
    <row r="67" spans="2:10" x14ac:dyDescent="0.3">
      <c r="B67" s="6">
        <v>15</v>
      </c>
      <c r="C67" s="46">
        <f t="shared" ref="C67" si="4">C42</f>
        <v>24000000</v>
      </c>
      <c r="D67" s="46">
        <f t="shared" si="0"/>
        <v>24480000</v>
      </c>
      <c r="E67" s="46">
        <f t="shared" ref="E67:E82" si="5">+D67-C67</f>
        <v>480000</v>
      </c>
      <c r="F67" s="46">
        <f t="shared" ref="F67:F82" si="6">0.05*C67</f>
        <v>1200000</v>
      </c>
      <c r="G67" s="6"/>
      <c r="H67" s="6"/>
      <c r="I67" s="6"/>
      <c r="J67" s="6"/>
    </row>
    <row r="68" spans="2:10" x14ac:dyDescent="0.3">
      <c r="B68" s="6">
        <v>16</v>
      </c>
      <c r="C68" s="46">
        <f t="shared" ref="C68" si="7">C43</f>
        <v>25000000</v>
      </c>
      <c r="D68" s="46">
        <f t="shared" si="0"/>
        <v>25000000</v>
      </c>
      <c r="E68" s="46">
        <f t="shared" si="5"/>
        <v>0</v>
      </c>
      <c r="F68" s="46">
        <f t="shared" si="6"/>
        <v>1250000</v>
      </c>
      <c r="G68" s="6"/>
      <c r="H68" s="6"/>
      <c r="I68" s="6"/>
      <c r="J68" s="6"/>
    </row>
    <row r="69" spans="2:10" x14ac:dyDescent="0.3">
      <c r="B69" s="6">
        <v>17</v>
      </c>
      <c r="C69" s="46">
        <f t="shared" ref="C69" si="8">C44</f>
        <v>25000000</v>
      </c>
      <c r="D69" s="46">
        <f t="shared" si="0"/>
        <v>24500000</v>
      </c>
      <c r="E69" s="46">
        <f t="shared" si="5"/>
        <v>-500000</v>
      </c>
      <c r="F69" s="46">
        <f t="shared" si="6"/>
        <v>1250000</v>
      </c>
      <c r="G69" s="6"/>
      <c r="H69" s="6"/>
      <c r="I69" s="6"/>
      <c r="J69" s="6"/>
    </row>
    <row r="70" spans="2:10" x14ac:dyDescent="0.3">
      <c r="B70" s="6">
        <v>18</v>
      </c>
      <c r="C70" s="46">
        <f t="shared" ref="C70" si="9">C45</f>
        <v>25000000</v>
      </c>
      <c r="D70" s="46">
        <f t="shared" si="0"/>
        <v>24000000</v>
      </c>
      <c r="E70" s="46">
        <f t="shared" si="5"/>
        <v>-1000000</v>
      </c>
      <c r="F70" s="46">
        <f t="shared" si="6"/>
        <v>1250000</v>
      </c>
      <c r="G70" s="6"/>
      <c r="H70" s="6"/>
      <c r="I70" s="6"/>
      <c r="J70" s="6"/>
    </row>
    <row r="71" spans="2:10" x14ac:dyDescent="0.3">
      <c r="B71" s="6">
        <v>19</v>
      </c>
      <c r="C71" s="46">
        <f t="shared" ref="C71" si="10">C46</f>
        <v>25000000</v>
      </c>
      <c r="D71" s="46">
        <f t="shared" si="0"/>
        <v>23500000</v>
      </c>
      <c r="E71" s="46">
        <f t="shared" si="5"/>
        <v>-1500000</v>
      </c>
      <c r="F71" s="46">
        <f t="shared" si="6"/>
        <v>1250000</v>
      </c>
      <c r="G71" s="6"/>
      <c r="H71" s="6"/>
      <c r="I71" s="6"/>
      <c r="J71" s="6"/>
    </row>
    <row r="72" spans="2:10" x14ac:dyDescent="0.3">
      <c r="B72" s="6">
        <v>20</v>
      </c>
      <c r="C72" s="46">
        <f t="shared" ref="C72" si="11">C47</f>
        <v>25000000</v>
      </c>
      <c r="D72" s="46">
        <f t="shared" si="0"/>
        <v>23000000</v>
      </c>
      <c r="E72" s="46">
        <f t="shared" si="5"/>
        <v>-2000000</v>
      </c>
      <c r="F72" s="46">
        <f t="shared" si="6"/>
        <v>1250000</v>
      </c>
      <c r="G72" s="6"/>
      <c r="H72" s="6"/>
      <c r="I72" s="6"/>
      <c r="J72" s="6"/>
    </row>
    <row r="73" spans="2:10" x14ac:dyDescent="0.3">
      <c r="B73" s="6">
        <v>21</v>
      </c>
      <c r="C73" s="46">
        <f t="shared" ref="C73" si="12">C48</f>
        <v>24000000</v>
      </c>
      <c r="D73" s="46">
        <f t="shared" si="0"/>
        <v>21599999.999999996</v>
      </c>
      <c r="E73" s="46">
        <f t="shared" si="5"/>
        <v>-2400000.0000000037</v>
      </c>
      <c r="F73" s="46">
        <f t="shared" si="6"/>
        <v>1200000</v>
      </c>
      <c r="G73" s="6"/>
      <c r="H73" s="6"/>
      <c r="I73" s="6"/>
      <c r="J73" s="6"/>
    </row>
    <row r="74" spans="2:10" x14ac:dyDescent="0.3">
      <c r="B74" s="6">
        <v>22</v>
      </c>
      <c r="C74" s="46">
        <f t="shared" ref="C74" si="13">C49</f>
        <v>23000000</v>
      </c>
      <c r="D74" s="46">
        <f t="shared" si="0"/>
        <v>20239999.999999996</v>
      </c>
      <c r="E74" s="46">
        <f t="shared" si="5"/>
        <v>-2760000.0000000037</v>
      </c>
      <c r="F74" s="46">
        <f t="shared" si="6"/>
        <v>1150000</v>
      </c>
      <c r="G74" s="6"/>
      <c r="H74" s="6"/>
      <c r="I74" s="6"/>
      <c r="J74" s="6"/>
    </row>
    <row r="75" spans="2:10" x14ac:dyDescent="0.3">
      <c r="B75" s="6">
        <v>23</v>
      </c>
      <c r="C75" s="46">
        <f t="shared" ref="C75" si="14">C50</f>
        <v>22000000</v>
      </c>
      <c r="D75" s="46">
        <f t="shared" si="0"/>
        <v>18919999.999999996</v>
      </c>
      <c r="E75" s="46">
        <f t="shared" si="5"/>
        <v>-3080000.0000000037</v>
      </c>
      <c r="F75" s="46">
        <f t="shared" si="6"/>
        <v>1100000</v>
      </c>
      <c r="G75" s="6"/>
      <c r="H75" s="6"/>
      <c r="I75" s="6"/>
      <c r="J75" s="6"/>
    </row>
    <row r="76" spans="2:10" x14ac:dyDescent="0.3">
      <c r="B76" s="6">
        <v>24</v>
      </c>
      <c r="C76" s="46">
        <f t="shared" ref="C76" si="15">C51</f>
        <v>21000000</v>
      </c>
      <c r="D76" s="46">
        <f t="shared" si="0"/>
        <v>17639999.999999996</v>
      </c>
      <c r="E76" s="46">
        <f t="shared" si="5"/>
        <v>-3360000.0000000037</v>
      </c>
      <c r="F76" s="46">
        <f t="shared" si="6"/>
        <v>1050000</v>
      </c>
      <c r="G76" s="6"/>
      <c r="H76" s="6"/>
      <c r="I76" s="6"/>
      <c r="J76" s="6"/>
    </row>
    <row r="77" spans="2:10" x14ac:dyDescent="0.3">
      <c r="B77" s="6">
        <v>25</v>
      </c>
      <c r="C77" s="46">
        <f t="shared" ref="C77" si="16">C52</f>
        <v>20000000</v>
      </c>
      <c r="D77" s="46">
        <f t="shared" si="0"/>
        <v>16399999.999999996</v>
      </c>
      <c r="E77" s="46">
        <f t="shared" si="5"/>
        <v>-3600000.0000000037</v>
      </c>
      <c r="F77" s="46">
        <f t="shared" si="6"/>
        <v>1000000</v>
      </c>
      <c r="G77" s="6"/>
      <c r="H77" s="6"/>
      <c r="I77" s="6"/>
      <c r="J77" s="6"/>
    </row>
    <row r="78" spans="2:10" x14ac:dyDescent="0.3">
      <c r="B78" s="6">
        <v>26</v>
      </c>
      <c r="C78" s="46">
        <f t="shared" ref="C78" si="17">C53</f>
        <v>19000000</v>
      </c>
      <c r="D78" s="46">
        <f t="shared" si="0"/>
        <v>15199999.999999996</v>
      </c>
      <c r="E78" s="46">
        <f t="shared" si="5"/>
        <v>-3800000.0000000037</v>
      </c>
      <c r="F78" s="46">
        <f t="shared" si="6"/>
        <v>950000</v>
      </c>
      <c r="G78" s="6"/>
      <c r="H78" s="6"/>
      <c r="I78" s="6"/>
      <c r="J78" s="6"/>
    </row>
    <row r="79" spans="2:10" x14ac:dyDescent="0.3">
      <c r="B79" s="6">
        <v>27</v>
      </c>
      <c r="C79" s="46">
        <f t="shared" ref="C79" si="18">C54</f>
        <v>18000000</v>
      </c>
      <c r="D79" s="46">
        <f t="shared" si="0"/>
        <v>14039999.999999996</v>
      </c>
      <c r="E79" s="46">
        <f t="shared" si="5"/>
        <v>-3960000.0000000037</v>
      </c>
      <c r="F79" s="46">
        <f t="shared" si="6"/>
        <v>900000</v>
      </c>
      <c r="G79" s="6"/>
      <c r="H79" s="6"/>
      <c r="I79" s="6"/>
      <c r="J79" s="6"/>
    </row>
    <row r="80" spans="2:10" x14ac:dyDescent="0.3">
      <c r="B80" s="6">
        <v>28</v>
      </c>
      <c r="C80" s="46">
        <f t="shared" ref="C80" si="19">C55</f>
        <v>17000000</v>
      </c>
      <c r="D80" s="46">
        <f t="shared" si="0"/>
        <v>12919999.999999996</v>
      </c>
      <c r="E80" s="46">
        <f t="shared" si="5"/>
        <v>-4080000.0000000037</v>
      </c>
      <c r="F80" s="46">
        <f t="shared" si="6"/>
        <v>850000</v>
      </c>
      <c r="G80" s="6"/>
      <c r="H80" s="6"/>
      <c r="I80" s="6"/>
      <c r="J80" s="6"/>
    </row>
    <row r="81" spans="2:10" x14ac:dyDescent="0.3">
      <c r="B81" s="6">
        <v>29</v>
      </c>
      <c r="C81" s="46">
        <f t="shared" ref="C81" si="20">C56</f>
        <v>16000000</v>
      </c>
      <c r="D81" s="46">
        <f t="shared" si="0"/>
        <v>11839999.999999996</v>
      </c>
      <c r="E81" s="46">
        <f t="shared" si="5"/>
        <v>-4160000.0000000037</v>
      </c>
      <c r="F81" s="46">
        <f t="shared" si="6"/>
        <v>800000</v>
      </c>
      <c r="G81" s="6"/>
      <c r="H81" s="6"/>
      <c r="I81" s="6"/>
      <c r="J81" s="6"/>
    </row>
    <row r="82" spans="2:10" x14ac:dyDescent="0.3">
      <c r="B82" s="6">
        <v>30</v>
      </c>
      <c r="C82" s="46">
        <f t="shared" ref="C82" si="21">C57</f>
        <v>15000000</v>
      </c>
      <c r="D82" s="46">
        <f t="shared" si="0"/>
        <v>10799999.999999996</v>
      </c>
      <c r="E82" s="46">
        <f t="shared" si="5"/>
        <v>-4200000.0000000037</v>
      </c>
      <c r="F82" s="46">
        <f t="shared" si="6"/>
        <v>750000</v>
      </c>
      <c r="G82" s="6"/>
      <c r="H82" s="6"/>
      <c r="I82" s="6"/>
      <c r="J82" s="6"/>
    </row>
    <row r="83" spans="2:10" x14ac:dyDescent="0.3">
      <c r="B83" s="6"/>
      <c r="C83" s="6"/>
      <c r="D83" s="6"/>
      <c r="E83" s="6"/>
      <c r="F83" s="6"/>
      <c r="G83" s="6"/>
      <c r="H83" s="6"/>
      <c r="I83" s="6"/>
      <c r="J83" s="6"/>
    </row>
    <row r="84" spans="2:10" x14ac:dyDescent="0.3">
      <c r="B84" s="6"/>
      <c r="C84" s="6"/>
      <c r="D84" s="6" t="s">
        <v>350</v>
      </c>
      <c r="E84" s="46">
        <f>+NPV(0.05,E67:E82)</f>
        <v>-23393731.232235257</v>
      </c>
      <c r="F84" s="46">
        <f>+NPV(0.05,F67:F82)</f>
        <v>12030526.754960166</v>
      </c>
      <c r="G84" s="6"/>
      <c r="H84" s="6"/>
      <c r="I84" s="6"/>
      <c r="J84" s="6"/>
    </row>
    <row r="85" spans="2:10" x14ac:dyDescent="0.3">
      <c r="B85" s="6"/>
      <c r="C85" s="6"/>
      <c r="D85" s="6"/>
      <c r="E85" s="6"/>
      <c r="F85" s="6"/>
      <c r="G85" s="6"/>
      <c r="H85" s="6"/>
      <c r="I85" s="6"/>
      <c r="J85" s="6"/>
    </row>
    <row r="86" spans="2:10" x14ac:dyDescent="0.3">
      <c r="B86" s="6" t="s">
        <v>351</v>
      </c>
      <c r="C86" s="6"/>
      <c r="D86" s="6"/>
      <c r="E86" s="6"/>
      <c r="F86" s="6"/>
      <c r="G86" s="6"/>
      <c r="H86" s="6"/>
      <c r="I86" s="6"/>
      <c r="J86" s="6"/>
    </row>
    <row r="87" spans="2:10" x14ac:dyDescent="0.3">
      <c r="B87" s="6" t="s">
        <v>352</v>
      </c>
      <c r="C87" s="6"/>
      <c r="D87" s="6"/>
      <c r="E87" s="6"/>
      <c r="F87" s="6"/>
      <c r="G87" s="6"/>
      <c r="H87" s="6"/>
      <c r="I87" s="6"/>
      <c r="J87" s="6"/>
    </row>
    <row r="88" spans="2:10" x14ac:dyDescent="0.3">
      <c r="B88" s="6" t="s">
        <v>353</v>
      </c>
      <c r="C88" s="6"/>
      <c r="D88" s="6"/>
      <c r="E88" s="6"/>
      <c r="F88" s="6"/>
      <c r="G88" s="6"/>
      <c r="H88" s="6"/>
      <c r="I88" s="6"/>
      <c r="J88" s="6"/>
    </row>
    <row r="89" spans="2:10" x14ac:dyDescent="0.3">
      <c r="B89" s="7" t="s">
        <v>354</v>
      </c>
      <c r="C89" s="6"/>
      <c r="D89" s="6"/>
      <c r="E89" s="6"/>
      <c r="F89" s="6"/>
      <c r="G89" s="6"/>
      <c r="H89" s="6"/>
      <c r="I89" s="6"/>
      <c r="J89" s="6"/>
    </row>
    <row r="90" spans="2:10" x14ac:dyDescent="0.3">
      <c r="B90" s="7" t="s">
        <v>355</v>
      </c>
      <c r="C90" s="6"/>
      <c r="D90" s="6"/>
      <c r="E90" s="6"/>
      <c r="F90" s="6"/>
      <c r="G90" s="6"/>
      <c r="H90" s="6"/>
      <c r="I90" s="6"/>
      <c r="J90" s="6"/>
    </row>
    <row r="91" spans="2:10" x14ac:dyDescent="0.3">
      <c r="B91" s="7" t="s">
        <v>356</v>
      </c>
      <c r="C91" s="6"/>
      <c r="D91" s="6"/>
      <c r="E91" s="6"/>
      <c r="F91" s="6"/>
      <c r="G91" s="6"/>
      <c r="H91" s="6"/>
      <c r="I91" s="6"/>
      <c r="J91" s="6"/>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FF357-0431-4158-A091-DCCDE3E94D82}">
  <sheetPr codeName="Sheet13">
    <tabColor theme="9" tint="0.59999389629810485"/>
  </sheetPr>
  <dimension ref="A1:G81"/>
  <sheetViews>
    <sheetView showGridLines="0" zoomScale="115" zoomScaleNormal="115" workbookViewId="0"/>
  </sheetViews>
  <sheetFormatPr defaultRowHeight="14.4" x14ac:dyDescent="0.3"/>
  <cols>
    <col min="1" max="1" width="12" customWidth="1"/>
    <col min="2" max="2" width="8" customWidth="1"/>
    <col min="3" max="3" width="16.109375" customWidth="1"/>
    <col min="4" max="4" width="9.88671875" customWidth="1"/>
    <col min="5" max="5" width="19" customWidth="1"/>
    <col min="6" max="6" width="16.88671875" customWidth="1"/>
    <col min="7" max="7" width="14.88671875" customWidth="1"/>
    <col min="8" max="8" width="14.5546875" customWidth="1"/>
    <col min="9" max="9" width="9.44140625" customWidth="1"/>
    <col min="11" max="11" width="9.88671875" customWidth="1"/>
  </cols>
  <sheetData>
    <row r="1" spans="1:2" x14ac:dyDescent="0.3">
      <c r="A1" s="10" t="s">
        <v>370</v>
      </c>
    </row>
    <row r="3" spans="1:2" x14ac:dyDescent="0.3">
      <c r="A3" s="11" t="s">
        <v>1</v>
      </c>
    </row>
    <row r="4" spans="1:2" x14ac:dyDescent="0.3">
      <c r="A4" t="s">
        <v>367</v>
      </c>
    </row>
    <row r="6" spans="1:2" x14ac:dyDescent="0.3">
      <c r="A6" s="11" t="s">
        <v>2</v>
      </c>
    </row>
    <row r="7" spans="1:2" x14ac:dyDescent="0.3">
      <c r="A7" t="s">
        <v>368</v>
      </c>
      <c r="B7" t="s">
        <v>369</v>
      </c>
    </row>
    <row r="9" spans="1:2" x14ac:dyDescent="0.3">
      <c r="A9" s="11" t="s">
        <v>3</v>
      </c>
    </row>
    <row r="10" spans="1:2" x14ac:dyDescent="0.3">
      <c r="A10">
        <v>1</v>
      </c>
      <c r="B10" t="s">
        <v>555</v>
      </c>
    </row>
    <row r="13" spans="1:2" x14ac:dyDescent="0.3">
      <c r="A13" t="s">
        <v>565</v>
      </c>
    </row>
    <row r="15" spans="1:2" x14ac:dyDescent="0.3">
      <c r="A15" t="s">
        <v>372</v>
      </c>
    </row>
    <row r="16" spans="1:2" x14ac:dyDescent="0.3">
      <c r="A16" t="s">
        <v>378</v>
      </c>
    </row>
    <row r="17" spans="1:7" x14ac:dyDescent="0.3">
      <c r="A17" t="s">
        <v>377</v>
      </c>
    </row>
    <row r="19" spans="1:7" ht="28.8" x14ac:dyDescent="0.3">
      <c r="B19" s="42" t="s">
        <v>225</v>
      </c>
      <c r="C19" s="42" t="s">
        <v>343</v>
      </c>
      <c r="E19" s="44"/>
    </row>
    <row r="20" spans="1:7" x14ac:dyDescent="0.3">
      <c r="B20">
        <v>1</v>
      </c>
      <c r="C20" s="1">
        <v>10000000</v>
      </c>
      <c r="D20" s="31"/>
      <c r="E20" s="4"/>
    </row>
    <row r="21" spans="1:7" x14ac:dyDescent="0.3">
      <c r="B21">
        <v>2</v>
      </c>
      <c r="C21" s="1">
        <f>+C20*1.05</f>
        <v>10500000</v>
      </c>
      <c r="E21" s="4"/>
    </row>
    <row r="22" spans="1:7" x14ac:dyDescent="0.3">
      <c r="B22">
        <v>3</v>
      </c>
      <c r="C22" s="1">
        <f t="shared" ref="C22:C39" si="0">+C21*1.05</f>
        <v>11025000</v>
      </c>
      <c r="E22" s="4"/>
      <c r="F22" s="44"/>
      <c r="G22" s="44"/>
    </row>
    <row r="23" spans="1:7" x14ac:dyDescent="0.3">
      <c r="B23">
        <v>4</v>
      </c>
      <c r="C23" s="1">
        <f t="shared" si="0"/>
        <v>11576250</v>
      </c>
      <c r="E23" s="4"/>
    </row>
    <row r="24" spans="1:7" x14ac:dyDescent="0.3">
      <c r="B24">
        <v>5</v>
      </c>
      <c r="C24" s="1">
        <f t="shared" si="0"/>
        <v>12155062.5</v>
      </c>
      <c r="E24" s="4"/>
    </row>
    <row r="25" spans="1:7" x14ac:dyDescent="0.3">
      <c r="B25">
        <v>6</v>
      </c>
      <c r="C25" s="1">
        <f t="shared" si="0"/>
        <v>12762815.625</v>
      </c>
      <c r="E25" s="4"/>
    </row>
    <row r="26" spans="1:7" x14ac:dyDescent="0.3">
      <c r="B26">
        <v>7</v>
      </c>
      <c r="C26" s="1">
        <f t="shared" si="0"/>
        <v>13400956.40625</v>
      </c>
      <c r="E26" s="4"/>
    </row>
    <row r="27" spans="1:7" x14ac:dyDescent="0.3">
      <c r="B27">
        <v>8</v>
      </c>
      <c r="C27" s="1">
        <f t="shared" si="0"/>
        <v>14071004.2265625</v>
      </c>
      <c r="E27" s="4"/>
    </row>
    <row r="28" spans="1:7" x14ac:dyDescent="0.3">
      <c r="B28">
        <v>9</v>
      </c>
      <c r="C28" s="1">
        <f t="shared" si="0"/>
        <v>14774554.437890626</v>
      </c>
      <c r="E28" s="4"/>
    </row>
    <row r="29" spans="1:7" x14ac:dyDescent="0.3">
      <c r="B29">
        <v>10</v>
      </c>
      <c r="C29" s="1">
        <f t="shared" si="0"/>
        <v>15513282.159785159</v>
      </c>
      <c r="E29" s="4"/>
    </row>
    <row r="30" spans="1:7" x14ac:dyDescent="0.3">
      <c r="B30">
        <v>11</v>
      </c>
      <c r="C30" s="1">
        <f t="shared" si="0"/>
        <v>16288946.267774418</v>
      </c>
      <c r="E30" s="4"/>
    </row>
    <row r="31" spans="1:7" x14ac:dyDescent="0.3">
      <c r="B31">
        <v>12</v>
      </c>
      <c r="C31" s="1">
        <f t="shared" si="0"/>
        <v>17103393.581163138</v>
      </c>
      <c r="E31" s="4"/>
    </row>
    <row r="32" spans="1:7" x14ac:dyDescent="0.3">
      <c r="B32">
        <v>13</v>
      </c>
      <c r="C32" s="1">
        <f t="shared" si="0"/>
        <v>17958563.260221295</v>
      </c>
      <c r="E32" s="4"/>
    </row>
    <row r="33" spans="1:5" x14ac:dyDescent="0.3">
      <c r="B33">
        <v>14</v>
      </c>
      <c r="C33" s="1">
        <f t="shared" si="0"/>
        <v>18856491.423232362</v>
      </c>
      <c r="E33" s="4"/>
    </row>
    <row r="34" spans="1:5" x14ac:dyDescent="0.3">
      <c r="B34">
        <v>15</v>
      </c>
      <c r="C34" s="1">
        <f t="shared" si="0"/>
        <v>19799315.994393982</v>
      </c>
      <c r="E34" s="4"/>
    </row>
    <row r="35" spans="1:5" x14ac:dyDescent="0.3">
      <c r="B35">
        <v>16</v>
      </c>
      <c r="C35" s="1">
        <f t="shared" si="0"/>
        <v>20789281.794113681</v>
      </c>
      <c r="E35" s="4"/>
    </row>
    <row r="36" spans="1:5" x14ac:dyDescent="0.3">
      <c r="B36">
        <v>17</v>
      </c>
      <c r="C36" s="1">
        <f t="shared" si="0"/>
        <v>21828745.883819364</v>
      </c>
      <c r="E36" s="4"/>
    </row>
    <row r="37" spans="1:5" x14ac:dyDescent="0.3">
      <c r="B37">
        <v>18</v>
      </c>
      <c r="C37" s="1">
        <f t="shared" si="0"/>
        <v>22920183.178010333</v>
      </c>
      <c r="E37" s="4"/>
    </row>
    <row r="38" spans="1:5" x14ac:dyDescent="0.3">
      <c r="B38">
        <v>19</v>
      </c>
      <c r="C38" s="1">
        <f t="shared" si="0"/>
        <v>24066192.336910851</v>
      </c>
      <c r="E38" s="4"/>
    </row>
    <row r="39" spans="1:5" x14ac:dyDescent="0.3">
      <c r="B39">
        <v>20</v>
      </c>
      <c r="C39" s="1">
        <f t="shared" si="0"/>
        <v>25269501.953756396</v>
      </c>
      <c r="E39" s="4"/>
    </row>
    <row r="41" spans="1:5" x14ac:dyDescent="0.3">
      <c r="A41" t="s">
        <v>371</v>
      </c>
    </row>
    <row r="42" spans="1:5" x14ac:dyDescent="0.3">
      <c r="A42" t="s">
        <v>379</v>
      </c>
    </row>
    <row r="43" spans="1:5" x14ac:dyDescent="0.3">
      <c r="A43" t="s">
        <v>373</v>
      </c>
    </row>
    <row r="45" spans="1:5" x14ac:dyDescent="0.3">
      <c r="A45" t="s">
        <v>463</v>
      </c>
    </row>
    <row r="47" spans="1:5" x14ac:dyDescent="0.3">
      <c r="A47" t="s">
        <v>374</v>
      </c>
    </row>
    <row r="48" spans="1:5" x14ac:dyDescent="0.3">
      <c r="A48" t="s">
        <v>375</v>
      </c>
    </row>
    <row r="50" spans="1:6" x14ac:dyDescent="0.3">
      <c r="A50" t="s">
        <v>376</v>
      </c>
    </row>
    <row r="51" spans="1:6" x14ac:dyDescent="0.3">
      <c r="A51" t="s">
        <v>380</v>
      </c>
    </row>
    <row r="52" spans="1:6" x14ac:dyDescent="0.3">
      <c r="A52" t="s">
        <v>384</v>
      </c>
    </row>
    <row r="53" spans="1:6" x14ac:dyDescent="0.3">
      <c r="A53" t="s">
        <v>381</v>
      </c>
    </row>
    <row r="55" spans="1:6" x14ac:dyDescent="0.3">
      <c r="B55" t="s">
        <v>225</v>
      </c>
      <c r="C55" t="s">
        <v>382</v>
      </c>
      <c r="F55" s="1"/>
    </row>
    <row r="56" spans="1:6" x14ac:dyDescent="0.3">
      <c r="B56">
        <v>1</v>
      </c>
      <c r="C56" s="47">
        <v>2E-3</v>
      </c>
    </row>
    <row r="57" spans="1:6" x14ac:dyDescent="0.3">
      <c r="B57">
        <v>2</v>
      </c>
      <c r="C57" s="47">
        <v>2E-3</v>
      </c>
    </row>
    <row r="58" spans="1:6" x14ac:dyDescent="0.3">
      <c r="B58">
        <v>3</v>
      </c>
      <c r="C58" s="47">
        <v>2E-3</v>
      </c>
    </row>
    <row r="59" spans="1:6" x14ac:dyDescent="0.3">
      <c r="B59">
        <v>4</v>
      </c>
      <c r="C59" s="47">
        <v>2E-3</v>
      </c>
    </row>
    <row r="60" spans="1:6" x14ac:dyDescent="0.3">
      <c r="B60">
        <v>5</v>
      </c>
      <c r="C60" s="47">
        <v>2E-3</v>
      </c>
    </row>
    <row r="61" spans="1:6" x14ac:dyDescent="0.3">
      <c r="B61">
        <v>6</v>
      </c>
      <c r="C61" s="47">
        <v>4.0000000000000001E-3</v>
      </c>
    </row>
    <row r="62" spans="1:6" x14ac:dyDescent="0.3">
      <c r="B62">
        <v>7</v>
      </c>
      <c r="C62" s="47">
        <v>4.0000000000000001E-3</v>
      </c>
    </row>
    <row r="63" spans="1:6" x14ac:dyDescent="0.3">
      <c r="B63">
        <v>8</v>
      </c>
      <c r="C63" s="47">
        <v>4.0000000000000001E-3</v>
      </c>
    </row>
    <row r="64" spans="1:6" x14ac:dyDescent="0.3">
      <c r="B64">
        <v>9</v>
      </c>
      <c r="C64" s="47">
        <v>4.0000000000000001E-3</v>
      </c>
    </row>
    <row r="65" spans="1:3" x14ac:dyDescent="0.3">
      <c r="B65">
        <v>10</v>
      </c>
      <c r="C65" s="47">
        <v>4.0000000000000001E-3</v>
      </c>
    </row>
    <row r="66" spans="1:3" x14ac:dyDescent="0.3">
      <c r="B66">
        <v>11</v>
      </c>
      <c r="C66" s="47">
        <v>7.0000000000000001E-3</v>
      </c>
    </row>
    <row r="67" spans="1:3" x14ac:dyDescent="0.3">
      <c r="B67">
        <v>12</v>
      </c>
      <c r="C67" s="47">
        <v>7.0000000000000001E-3</v>
      </c>
    </row>
    <row r="68" spans="1:3" x14ac:dyDescent="0.3">
      <c r="B68">
        <v>13</v>
      </c>
      <c r="C68" s="47">
        <v>7.0000000000000001E-3</v>
      </c>
    </row>
    <row r="69" spans="1:3" x14ac:dyDescent="0.3">
      <c r="B69">
        <v>14</v>
      </c>
      <c r="C69" s="47">
        <v>7.0000000000000001E-3</v>
      </c>
    </row>
    <row r="70" spans="1:3" x14ac:dyDescent="0.3">
      <c r="B70">
        <v>15</v>
      </c>
      <c r="C70" s="47">
        <v>7.0000000000000001E-3</v>
      </c>
    </row>
    <row r="71" spans="1:3" x14ac:dyDescent="0.3">
      <c r="B71">
        <v>16</v>
      </c>
      <c r="C71" s="47">
        <v>0.01</v>
      </c>
    </row>
    <row r="72" spans="1:3" x14ac:dyDescent="0.3">
      <c r="B72">
        <v>17</v>
      </c>
      <c r="C72" s="47">
        <v>0.01</v>
      </c>
    </row>
    <row r="73" spans="1:3" x14ac:dyDescent="0.3">
      <c r="B73">
        <v>18</v>
      </c>
      <c r="C73" s="47">
        <v>0.01</v>
      </c>
    </row>
    <row r="74" spans="1:3" x14ac:dyDescent="0.3">
      <c r="B74">
        <v>19</v>
      </c>
      <c r="C74" s="47">
        <v>0.01</v>
      </c>
    </row>
    <row r="75" spans="1:3" x14ac:dyDescent="0.3">
      <c r="B75">
        <v>20</v>
      </c>
      <c r="C75" s="47">
        <v>0.01</v>
      </c>
    </row>
    <row r="77" spans="1:3" x14ac:dyDescent="0.3">
      <c r="A77" t="s">
        <v>383</v>
      </c>
    </row>
    <row r="79" spans="1:3" x14ac:dyDescent="0.3">
      <c r="A79" t="s">
        <v>385</v>
      </c>
    </row>
    <row r="81" spans="1:1" x14ac:dyDescent="0.3">
      <c r="A81" t="s">
        <v>386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415C0-DD40-402A-8C70-1AF0A93BD791}">
  <sheetPr codeName="Sheet14">
    <tabColor theme="5" tint="0.39997558519241921"/>
  </sheetPr>
  <dimension ref="A1:J158"/>
  <sheetViews>
    <sheetView showGridLines="0" zoomScale="115" zoomScaleNormal="115" workbookViewId="0"/>
  </sheetViews>
  <sheetFormatPr defaultRowHeight="14.4" x14ac:dyDescent="0.3"/>
  <cols>
    <col min="1" max="1" width="12" customWidth="1"/>
    <col min="2" max="2" width="8" customWidth="1"/>
    <col min="3" max="3" width="16.109375" customWidth="1"/>
    <col min="4" max="4" width="14.6640625" customWidth="1"/>
    <col min="5" max="5" width="19" customWidth="1"/>
    <col min="6" max="6" width="18.44140625" customWidth="1"/>
    <col min="7" max="7" width="19.33203125" customWidth="1"/>
    <col min="8" max="8" width="14.5546875" customWidth="1"/>
    <col min="9" max="9" width="14.44140625" customWidth="1"/>
    <col min="11" max="11" width="9.88671875" customWidth="1"/>
  </cols>
  <sheetData>
    <row r="1" spans="1:2" x14ac:dyDescent="0.3">
      <c r="A1" s="10" t="s">
        <v>370</v>
      </c>
    </row>
    <row r="3" spans="1:2" x14ac:dyDescent="0.3">
      <c r="A3" s="11" t="s">
        <v>1</v>
      </c>
    </row>
    <row r="4" spans="1:2" x14ac:dyDescent="0.3">
      <c r="A4" t="s">
        <v>367</v>
      </c>
    </row>
    <row r="6" spans="1:2" x14ac:dyDescent="0.3">
      <c r="A6" s="11" t="s">
        <v>2</v>
      </c>
    </row>
    <row r="7" spans="1:2" x14ac:dyDescent="0.3">
      <c r="A7" t="s">
        <v>368</v>
      </c>
      <c r="B7" t="s">
        <v>369</v>
      </c>
    </row>
    <row r="9" spans="1:2" x14ac:dyDescent="0.3">
      <c r="A9" s="11" t="s">
        <v>3</v>
      </c>
    </row>
    <row r="10" spans="1:2" x14ac:dyDescent="0.3">
      <c r="A10">
        <v>1</v>
      </c>
      <c r="B10" t="s">
        <v>555</v>
      </c>
    </row>
    <row r="13" spans="1:2" x14ac:dyDescent="0.3">
      <c r="A13" t="s">
        <v>565</v>
      </c>
    </row>
    <row r="15" spans="1:2" x14ac:dyDescent="0.3">
      <c r="A15" t="s">
        <v>372</v>
      </c>
    </row>
    <row r="16" spans="1:2" x14ac:dyDescent="0.3">
      <c r="A16" t="s">
        <v>378</v>
      </c>
    </row>
    <row r="17" spans="1:7" x14ac:dyDescent="0.3">
      <c r="A17" t="s">
        <v>377</v>
      </c>
    </row>
    <row r="19" spans="1:7" ht="28.8" x14ac:dyDescent="0.3">
      <c r="B19" s="42" t="s">
        <v>225</v>
      </c>
      <c r="C19" s="42" t="s">
        <v>343</v>
      </c>
      <c r="E19" s="44"/>
    </row>
    <row r="20" spans="1:7" x14ac:dyDescent="0.3">
      <c r="B20">
        <v>1</v>
      </c>
      <c r="C20" s="1">
        <v>10000000</v>
      </c>
      <c r="D20" s="31"/>
      <c r="E20" s="4"/>
    </row>
    <row r="21" spans="1:7" x14ac:dyDescent="0.3">
      <c r="B21">
        <v>2</v>
      </c>
      <c r="C21" s="1">
        <v>10500000</v>
      </c>
      <c r="E21" s="4"/>
    </row>
    <row r="22" spans="1:7" x14ac:dyDescent="0.3">
      <c r="B22">
        <v>3</v>
      </c>
      <c r="C22" s="1">
        <v>11025000</v>
      </c>
      <c r="E22" s="4"/>
      <c r="F22" s="44"/>
      <c r="G22" s="44"/>
    </row>
    <row r="23" spans="1:7" x14ac:dyDescent="0.3">
      <c r="B23">
        <v>4</v>
      </c>
      <c r="C23" s="1">
        <v>11576250</v>
      </c>
      <c r="E23" s="4"/>
    </row>
    <row r="24" spans="1:7" x14ac:dyDescent="0.3">
      <c r="B24">
        <v>5</v>
      </c>
      <c r="C24" s="1">
        <v>12155062.5</v>
      </c>
      <c r="E24" s="4"/>
    </row>
    <row r="25" spans="1:7" x14ac:dyDescent="0.3">
      <c r="B25">
        <v>6</v>
      </c>
      <c r="C25" s="1">
        <v>12762815.625</v>
      </c>
      <c r="E25" s="4"/>
    </row>
    <row r="26" spans="1:7" x14ac:dyDescent="0.3">
      <c r="B26">
        <v>7</v>
      </c>
      <c r="C26" s="1">
        <v>13400956.40625</v>
      </c>
      <c r="E26" s="4"/>
    </row>
    <row r="27" spans="1:7" x14ac:dyDescent="0.3">
      <c r="B27">
        <v>8</v>
      </c>
      <c r="C27" s="1">
        <v>14071004.2265625</v>
      </c>
      <c r="E27" s="4"/>
    </row>
    <row r="28" spans="1:7" x14ac:dyDescent="0.3">
      <c r="B28">
        <v>9</v>
      </c>
      <c r="C28" s="1">
        <v>14774554.437890626</v>
      </c>
      <c r="E28" s="4"/>
    </row>
    <row r="29" spans="1:7" x14ac:dyDescent="0.3">
      <c r="B29">
        <v>10</v>
      </c>
      <c r="C29" s="1">
        <v>15513282.159785159</v>
      </c>
      <c r="E29" s="4"/>
    </row>
    <row r="30" spans="1:7" x14ac:dyDescent="0.3">
      <c r="B30">
        <v>11</v>
      </c>
      <c r="C30" s="1">
        <v>16288946.267774418</v>
      </c>
      <c r="E30" s="4"/>
    </row>
    <row r="31" spans="1:7" x14ac:dyDescent="0.3">
      <c r="B31">
        <v>12</v>
      </c>
      <c r="C31" s="1">
        <v>17103393.581163138</v>
      </c>
      <c r="E31" s="4"/>
    </row>
    <row r="32" spans="1:7" x14ac:dyDescent="0.3">
      <c r="B32">
        <v>13</v>
      </c>
      <c r="C32" s="1">
        <v>17958563.260221295</v>
      </c>
      <c r="E32" s="4"/>
    </row>
    <row r="33" spans="1:9" x14ac:dyDescent="0.3">
      <c r="B33">
        <v>14</v>
      </c>
      <c r="C33" s="1">
        <v>18856491.423232362</v>
      </c>
      <c r="E33" s="4"/>
    </row>
    <row r="34" spans="1:9" x14ac:dyDescent="0.3">
      <c r="B34">
        <v>15</v>
      </c>
      <c r="C34" s="1">
        <v>19799315.994393982</v>
      </c>
      <c r="E34" s="4"/>
    </row>
    <row r="35" spans="1:9" x14ac:dyDescent="0.3">
      <c r="B35">
        <v>16</v>
      </c>
      <c r="C35" s="1">
        <v>20789281.794113681</v>
      </c>
      <c r="E35" s="4"/>
    </row>
    <row r="36" spans="1:9" x14ac:dyDescent="0.3">
      <c r="B36">
        <v>17</v>
      </c>
      <c r="C36" s="1">
        <v>21828745.883819364</v>
      </c>
      <c r="E36" s="4"/>
    </row>
    <row r="37" spans="1:9" x14ac:dyDescent="0.3">
      <c r="B37">
        <v>18</v>
      </c>
      <c r="C37" s="1">
        <v>22920183.178010333</v>
      </c>
      <c r="E37" s="4"/>
    </row>
    <row r="38" spans="1:9" x14ac:dyDescent="0.3">
      <c r="B38">
        <v>19</v>
      </c>
      <c r="C38" s="1">
        <v>24066192.336910851</v>
      </c>
      <c r="E38" s="4"/>
    </row>
    <row r="39" spans="1:9" x14ac:dyDescent="0.3">
      <c r="B39">
        <v>20</v>
      </c>
      <c r="C39" s="1">
        <v>25269501.953756396</v>
      </c>
      <c r="E39" s="4"/>
    </row>
    <row r="41" spans="1:9" x14ac:dyDescent="0.3">
      <c r="A41" t="s">
        <v>371</v>
      </c>
    </row>
    <row r="42" spans="1:9" x14ac:dyDescent="0.3">
      <c r="A42" t="s">
        <v>379</v>
      </c>
    </row>
    <row r="43" spans="1:9" x14ac:dyDescent="0.3">
      <c r="A43" t="s">
        <v>373</v>
      </c>
    </row>
    <row r="45" spans="1:9" x14ac:dyDescent="0.3">
      <c r="A45" t="s">
        <v>463</v>
      </c>
    </row>
    <row r="47" spans="1:9" ht="28.8" x14ac:dyDescent="0.3">
      <c r="A47" s="6"/>
      <c r="B47" s="45" t="s">
        <v>225</v>
      </c>
      <c r="C47" s="34" t="s">
        <v>343</v>
      </c>
      <c r="D47" s="34" t="s">
        <v>389</v>
      </c>
      <c r="E47" s="34" t="s">
        <v>390</v>
      </c>
      <c r="F47" s="6"/>
      <c r="G47" s="6"/>
      <c r="H47" s="6"/>
      <c r="I47" s="6"/>
    </row>
    <row r="48" spans="1:9" x14ac:dyDescent="0.3">
      <c r="A48" s="6"/>
      <c r="B48" s="6">
        <v>1</v>
      </c>
      <c r="C48" s="46">
        <v>10000000</v>
      </c>
      <c r="D48" s="46">
        <f>+C48*0.05</f>
        <v>500000</v>
      </c>
      <c r="E48" s="46">
        <f>+C48+D48</f>
        <v>10500000</v>
      </c>
      <c r="F48" s="6"/>
      <c r="G48" s="6"/>
      <c r="H48" s="6"/>
      <c r="I48" s="6"/>
    </row>
    <row r="49" spans="1:9" x14ac:dyDescent="0.3">
      <c r="A49" s="6"/>
      <c r="B49" s="6">
        <v>2</v>
      </c>
      <c r="C49" s="46">
        <v>10500000</v>
      </c>
      <c r="D49" s="46">
        <f t="shared" ref="D49:D67" si="0">+C49*0.05</f>
        <v>525000</v>
      </c>
      <c r="E49" s="46">
        <f t="shared" ref="E49:E67" si="1">+C49+D49</f>
        <v>11025000</v>
      </c>
      <c r="F49" s="6"/>
      <c r="G49" s="6"/>
      <c r="H49" s="6"/>
      <c r="I49" s="6"/>
    </row>
    <row r="50" spans="1:9" x14ac:dyDescent="0.3">
      <c r="A50" s="6"/>
      <c r="B50" s="6">
        <v>3</v>
      </c>
      <c r="C50" s="46">
        <v>11025000</v>
      </c>
      <c r="D50" s="46">
        <f t="shared" si="0"/>
        <v>551250</v>
      </c>
      <c r="E50" s="46">
        <f t="shared" si="1"/>
        <v>11576250</v>
      </c>
      <c r="F50" s="6"/>
      <c r="G50" s="6"/>
      <c r="H50" s="6"/>
      <c r="I50" s="6"/>
    </row>
    <row r="51" spans="1:9" x14ac:dyDescent="0.3">
      <c r="A51" s="6"/>
      <c r="B51" s="6">
        <v>4</v>
      </c>
      <c r="C51" s="46">
        <v>11576250</v>
      </c>
      <c r="D51" s="46">
        <f t="shared" si="0"/>
        <v>578812.5</v>
      </c>
      <c r="E51" s="46">
        <f t="shared" si="1"/>
        <v>12155062.5</v>
      </c>
      <c r="F51" s="6"/>
      <c r="G51" s="6"/>
      <c r="H51" s="6"/>
      <c r="I51" s="6"/>
    </row>
    <row r="52" spans="1:9" x14ac:dyDescent="0.3">
      <c r="A52" s="6"/>
      <c r="B52" s="6">
        <v>5</v>
      </c>
      <c r="C52" s="46">
        <v>12155062.5</v>
      </c>
      <c r="D52" s="46">
        <f t="shared" si="0"/>
        <v>607753.125</v>
      </c>
      <c r="E52" s="46">
        <f t="shared" si="1"/>
        <v>12762815.625</v>
      </c>
      <c r="F52" s="6"/>
      <c r="G52" s="6"/>
      <c r="H52" s="6"/>
      <c r="I52" s="6"/>
    </row>
    <row r="53" spans="1:9" x14ac:dyDescent="0.3">
      <c r="A53" s="6"/>
      <c r="B53" s="6">
        <v>6</v>
      </c>
      <c r="C53" s="46">
        <v>12762815.625</v>
      </c>
      <c r="D53" s="46">
        <f t="shared" si="0"/>
        <v>638140.78125</v>
      </c>
      <c r="E53" s="46">
        <f t="shared" si="1"/>
        <v>13400956.40625</v>
      </c>
      <c r="F53" s="6"/>
      <c r="G53" s="6"/>
      <c r="H53" s="6"/>
      <c r="I53" s="6"/>
    </row>
    <row r="54" spans="1:9" x14ac:dyDescent="0.3">
      <c r="A54" s="6"/>
      <c r="B54" s="6">
        <v>7</v>
      </c>
      <c r="C54" s="46">
        <v>13400956.40625</v>
      </c>
      <c r="D54" s="46">
        <f t="shared" si="0"/>
        <v>670047.8203125</v>
      </c>
      <c r="E54" s="46">
        <f t="shared" si="1"/>
        <v>14071004.2265625</v>
      </c>
      <c r="F54" s="6"/>
      <c r="G54" s="6"/>
      <c r="H54" s="6"/>
      <c r="I54" s="6"/>
    </row>
    <row r="55" spans="1:9" x14ac:dyDescent="0.3">
      <c r="A55" s="6"/>
      <c r="B55" s="6">
        <v>8</v>
      </c>
      <c r="C55" s="46">
        <v>14071004.2265625</v>
      </c>
      <c r="D55" s="46">
        <f t="shared" si="0"/>
        <v>703550.21132812509</v>
      </c>
      <c r="E55" s="46">
        <f t="shared" si="1"/>
        <v>14774554.437890625</v>
      </c>
      <c r="F55" s="6"/>
      <c r="G55" s="6"/>
      <c r="H55" s="6"/>
      <c r="I55" s="6"/>
    </row>
    <row r="56" spans="1:9" x14ac:dyDescent="0.3">
      <c r="A56" s="6"/>
      <c r="B56" s="6">
        <v>9</v>
      </c>
      <c r="C56" s="46">
        <v>14774554.437890626</v>
      </c>
      <c r="D56" s="46">
        <f t="shared" si="0"/>
        <v>738727.72189453139</v>
      </c>
      <c r="E56" s="46">
        <f t="shared" si="1"/>
        <v>15513282.159785157</v>
      </c>
      <c r="F56" s="6"/>
      <c r="G56" s="6"/>
      <c r="H56" s="6"/>
      <c r="I56" s="6"/>
    </row>
    <row r="57" spans="1:9" x14ac:dyDescent="0.3">
      <c r="A57" s="6"/>
      <c r="B57" s="6">
        <v>10</v>
      </c>
      <c r="C57" s="46">
        <v>15513282.159785159</v>
      </c>
      <c r="D57" s="46">
        <f t="shared" si="0"/>
        <v>775664.10798925802</v>
      </c>
      <c r="E57" s="46">
        <f t="shared" si="1"/>
        <v>16288946.267774416</v>
      </c>
      <c r="F57" s="6"/>
      <c r="G57" s="6"/>
      <c r="H57" s="6"/>
      <c r="I57" s="6"/>
    </row>
    <row r="58" spans="1:9" x14ac:dyDescent="0.3">
      <c r="A58" s="6"/>
      <c r="B58" s="6">
        <v>11</v>
      </c>
      <c r="C58" s="46">
        <v>16288946.267774418</v>
      </c>
      <c r="D58" s="46">
        <f t="shared" si="0"/>
        <v>814447.31338872097</v>
      </c>
      <c r="E58" s="46">
        <f t="shared" si="1"/>
        <v>17103393.581163138</v>
      </c>
      <c r="F58" s="6"/>
      <c r="G58" s="6"/>
      <c r="H58" s="6"/>
      <c r="I58" s="6"/>
    </row>
    <row r="59" spans="1:9" x14ac:dyDescent="0.3">
      <c r="A59" s="6"/>
      <c r="B59" s="6">
        <v>12</v>
      </c>
      <c r="C59" s="46">
        <v>17103393.581163138</v>
      </c>
      <c r="D59" s="46">
        <f t="shared" si="0"/>
        <v>855169.67905815691</v>
      </c>
      <c r="E59" s="46">
        <f t="shared" si="1"/>
        <v>17958563.260221295</v>
      </c>
      <c r="F59" s="6"/>
      <c r="G59" s="6"/>
      <c r="H59" s="6"/>
      <c r="I59" s="6"/>
    </row>
    <row r="60" spans="1:9" x14ac:dyDescent="0.3">
      <c r="A60" s="6"/>
      <c r="B60" s="6">
        <v>13</v>
      </c>
      <c r="C60" s="46">
        <v>17958563.260221295</v>
      </c>
      <c r="D60" s="46">
        <f t="shared" si="0"/>
        <v>897928.16301106475</v>
      </c>
      <c r="E60" s="46">
        <f t="shared" si="1"/>
        <v>18856491.423232362</v>
      </c>
      <c r="F60" s="6"/>
      <c r="G60" s="6"/>
      <c r="H60" s="6"/>
      <c r="I60" s="6"/>
    </row>
    <row r="61" spans="1:9" x14ac:dyDescent="0.3">
      <c r="A61" s="6"/>
      <c r="B61" s="6">
        <v>14</v>
      </c>
      <c r="C61" s="46">
        <v>18856491.423232362</v>
      </c>
      <c r="D61" s="46">
        <f t="shared" si="0"/>
        <v>942824.57116161811</v>
      </c>
      <c r="E61" s="46">
        <f t="shared" si="1"/>
        <v>19799315.994393978</v>
      </c>
      <c r="F61" s="6"/>
      <c r="G61" s="6"/>
      <c r="H61" s="6"/>
      <c r="I61" s="6"/>
    </row>
    <row r="62" spans="1:9" x14ac:dyDescent="0.3">
      <c r="A62" s="6"/>
      <c r="B62" s="6">
        <v>15</v>
      </c>
      <c r="C62" s="46">
        <v>19799315.994393982</v>
      </c>
      <c r="D62" s="46">
        <f t="shared" si="0"/>
        <v>989965.79971969919</v>
      </c>
      <c r="E62" s="46">
        <f t="shared" si="1"/>
        <v>20789281.794113681</v>
      </c>
      <c r="F62" s="6"/>
      <c r="G62" s="6"/>
      <c r="H62" s="6"/>
      <c r="I62" s="6"/>
    </row>
    <row r="63" spans="1:9" x14ac:dyDescent="0.3">
      <c r="A63" s="6"/>
      <c r="B63" s="6">
        <v>16</v>
      </c>
      <c r="C63" s="46">
        <v>20789281.794113681</v>
      </c>
      <c r="D63" s="46">
        <f t="shared" si="0"/>
        <v>1039464.0897056841</v>
      </c>
      <c r="E63" s="46">
        <f t="shared" si="1"/>
        <v>21828745.883819364</v>
      </c>
      <c r="F63" s="6"/>
      <c r="G63" s="6"/>
      <c r="H63" s="6"/>
      <c r="I63" s="6"/>
    </row>
    <row r="64" spans="1:9" x14ac:dyDescent="0.3">
      <c r="A64" s="6"/>
      <c r="B64" s="6">
        <v>17</v>
      </c>
      <c r="C64" s="46">
        <v>21828745.883819364</v>
      </c>
      <c r="D64" s="46">
        <f t="shared" si="0"/>
        <v>1091437.2941909682</v>
      </c>
      <c r="E64" s="46">
        <f t="shared" si="1"/>
        <v>22920183.178010333</v>
      </c>
      <c r="F64" s="6"/>
      <c r="G64" s="6"/>
      <c r="H64" s="6"/>
      <c r="I64" s="6"/>
    </row>
    <row r="65" spans="1:9" x14ac:dyDescent="0.3">
      <c r="A65" s="6"/>
      <c r="B65" s="6">
        <v>18</v>
      </c>
      <c r="C65" s="46">
        <v>22920183.178010333</v>
      </c>
      <c r="D65" s="46">
        <f t="shared" si="0"/>
        <v>1146009.1589005168</v>
      </c>
      <c r="E65" s="46">
        <f t="shared" si="1"/>
        <v>24066192.336910851</v>
      </c>
      <c r="F65" s="6"/>
      <c r="G65" s="6"/>
      <c r="H65" s="6"/>
      <c r="I65" s="6"/>
    </row>
    <row r="66" spans="1:9" x14ac:dyDescent="0.3">
      <c r="A66" s="6"/>
      <c r="B66" s="6">
        <v>19</v>
      </c>
      <c r="C66" s="46">
        <v>24066192.336910851</v>
      </c>
      <c r="D66" s="46">
        <f t="shared" si="0"/>
        <v>1203309.6168455426</v>
      </c>
      <c r="E66" s="46">
        <f t="shared" si="1"/>
        <v>25269501.953756392</v>
      </c>
      <c r="F66" s="6"/>
      <c r="G66" s="6"/>
      <c r="H66" s="6"/>
      <c r="I66" s="6"/>
    </row>
    <row r="67" spans="1:9" x14ac:dyDescent="0.3">
      <c r="A67" s="6"/>
      <c r="B67" s="6">
        <v>20</v>
      </c>
      <c r="C67" s="46">
        <v>25269501.953756396</v>
      </c>
      <c r="D67" s="46">
        <f t="shared" si="0"/>
        <v>1263475.09768782</v>
      </c>
      <c r="E67" s="46">
        <f t="shared" si="1"/>
        <v>26532977.051444218</v>
      </c>
      <c r="F67" s="6"/>
      <c r="G67" s="6"/>
      <c r="H67" s="6"/>
      <c r="I67" s="6"/>
    </row>
    <row r="68" spans="1:9" x14ac:dyDescent="0.3">
      <c r="A68" s="6"/>
      <c r="B68" s="6"/>
      <c r="C68" s="46"/>
      <c r="D68" s="46"/>
      <c r="E68" s="46">
        <f>NPV(3%,E48:E67)</f>
        <v>246259969.18777177</v>
      </c>
      <c r="F68" s="6"/>
      <c r="G68" s="6"/>
      <c r="H68" s="6"/>
      <c r="I68" s="6"/>
    </row>
    <row r="69" spans="1:9" x14ac:dyDescent="0.3">
      <c r="A69" s="6"/>
      <c r="B69" s="6"/>
      <c r="C69" s="6"/>
      <c r="D69" s="6"/>
      <c r="E69" s="46"/>
      <c r="F69" s="6"/>
      <c r="G69" s="6"/>
      <c r="H69" s="6"/>
      <c r="I69" s="6"/>
    </row>
    <row r="70" spans="1:9" x14ac:dyDescent="0.3">
      <c r="A70" s="6"/>
      <c r="B70" s="6" t="s">
        <v>391</v>
      </c>
      <c r="C70" s="6"/>
      <c r="D70" s="6"/>
      <c r="E70" s="46">
        <f>+E68</f>
        <v>246259969.18777177</v>
      </c>
      <c r="F70" s="7" t="s">
        <v>396</v>
      </c>
      <c r="G70" s="6"/>
      <c r="H70" s="6"/>
      <c r="I70" s="6"/>
    </row>
    <row r="71" spans="1:9" x14ac:dyDescent="0.3">
      <c r="A71" s="6"/>
      <c r="B71" s="6" t="s">
        <v>392</v>
      </c>
      <c r="C71" s="6"/>
      <c r="D71" s="6"/>
      <c r="E71" s="46">
        <v>-260000000</v>
      </c>
      <c r="F71" s="7" t="s">
        <v>397</v>
      </c>
      <c r="G71" s="6"/>
      <c r="H71" s="6"/>
      <c r="I71" s="6"/>
    </row>
    <row r="72" spans="1:9" x14ac:dyDescent="0.3">
      <c r="A72" s="6"/>
      <c r="B72" s="6" t="s">
        <v>393</v>
      </c>
      <c r="C72" s="6"/>
      <c r="D72" s="6"/>
      <c r="E72" s="46">
        <v>5000000</v>
      </c>
      <c r="F72" s="7" t="s">
        <v>398</v>
      </c>
      <c r="G72" s="6"/>
      <c r="H72" s="6"/>
      <c r="I72" s="6"/>
    </row>
    <row r="73" spans="1:9" x14ac:dyDescent="0.3">
      <c r="A73" s="6"/>
      <c r="B73" s="6" t="s">
        <v>394</v>
      </c>
      <c r="C73" s="6"/>
      <c r="D73" s="6"/>
      <c r="E73" s="46">
        <f>+E70+E71+E72</f>
        <v>-8740030.8122282326</v>
      </c>
      <c r="F73" s="7" t="s">
        <v>399</v>
      </c>
      <c r="G73" s="6"/>
      <c r="H73" s="6"/>
      <c r="I73" s="6"/>
    </row>
    <row r="74" spans="1:9" x14ac:dyDescent="0.3">
      <c r="A74" s="6"/>
      <c r="B74" s="6" t="s">
        <v>395</v>
      </c>
      <c r="C74" s="6"/>
      <c r="D74" s="6"/>
      <c r="E74" s="46"/>
      <c r="F74" s="6"/>
      <c r="G74" s="6"/>
      <c r="H74" s="6"/>
      <c r="I74" s="6"/>
    </row>
    <row r="77" spans="1:9" x14ac:dyDescent="0.3">
      <c r="A77" t="s">
        <v>374</v>
      </c>
    </row>
    <row r="78" spans="1:9" x14ac:dyDescent="0.3">
      <c r="A78" t="s">
        <v>375</v>
      </c>
    </row>
    <row r="80" spans="1:9" x14ac:dyDescent="0.3">
      <c r="A80" t="s">
        <v>376</v>
      </c>
    </row>
    <row r="81" spans="1:3" x14ac:dyDescent="0.3">
      <c r="A81" t="s">
        <v>380</v>
      </c>
    </row>
    <row r="82" spans="1:3" x14ac:dyDescent="0.3">
      <c r="A82" t="s">
        <v>384</v>
      </c>
    </row>
    <row r="83" spans="1:3" x14ac:dyDescent="0.3">
      <c r="A83" t="s">
        <v>381</v>
      </c>
    </row>
    <row r="85" spans="1:3" x14ac:dyDescent="0.3">
      <c r="B85" t="s">
        <v>225</v>
      </c>
      <c r="C85" t="s">
        <v>382</v>
      </c>
    </row>
    <row r="86" spans="1:3" x14ac:dyDescent="0.3">
      <c r="B86">
        <v>1</v>
      </c>
      <c r="C86" s="47">
        <v>2E-3</v>
      </c>
    </row>
    <row r="87" spans="1:3" x14ac:dyDescent="0.3">
      <c r="B87">
        <v>2</v>
      </c>
      <c r="C87" s="47">
        <v>2E-3</v>
      </c>
    </row>
    <row r="88" spans="1:3" x14ac:dyDescent="0.3">
      <c r="B88">
        <v>3</v>
      </c>
      <c r="C88" s="47">
        <v>2E-3</v>
      </c>
    </row>
    <row r="89" spans="1:3" x14ac:dyDescent="0.3">
      <c r="B89">
        <v>4</v>
      </c>
      <c r="C89" s="47">
        <v>2E-3</v>
      </c>
    </row>
    <row r="90" spans="1:3" x14ac:dyDescent="0.3">
      <c r="B90">
        <v>5</v>
      </c>
      <c r="C90" s="47">
        <v>2E-3</v>
      </c>
    </row>
    <row r="91" spans="1:3" x14ac:dyDescent="0.3">
      <c r="B91">
        <v>6</v>
      </c>
      <c r="C91" s="47">
        <v>4.0000000000000001E-3</v>
      </c>
    </row>
    <row r="92" spans="1:3" x14ac:dyDescent="0.3">
      <c r="B92">
        <v>7</v>
      </c>
      <c r="C92" s="47">
        <v>4.0000000000000001E-3</v>
      </c>
    </row>
    <row r="93" spans="1:3" x14ac:dyDescent="0.3">
      <c r="B93">
        <v>8</v>
      </c>
      <c r="C93" s="47">
        <v>4.0000000000000001E-3</v>
      </c>
    </row>
    <row r="94" spans="1:3" x14ac:dyDescent="0.3">
      <c r="B94">
        <v>9</v>
      </c>
      <c r="C94" s="47">
        <v>4.0000000000000001E-3</v>
      </c>
    </row>
    <row r="95" spans="1:3" x14ac:dyDescent="0.3">
      <c r="B95">
        <v>10</v>
      </c>
      <c r="C95" s="47">
        <v>4.0000000000000001E-3</v>
      </c>
    </row>
    <row r="96" spans="1:3" x14ac:dyDescent="0.3">
      <c r="B96">
        <v>11</v>
      </c>
      <c r="C96" s="47">
        <v>7.0000000000000001E-3</v>
      </c>
    </row>
    <row r="97" spans="1:8" x14ac:dyDescent="0.3">
      <c r="B97">
        <v>12</v>
      </c>
      <c r="C97" s="47">
        <v>7.0000000000000001E-3</v>
      </c>
    </row>
    <row r="98" spans="1:8" x14ac:dyDescent="0.3">
      <c r="B98">
        <v>13</v>
      </c>
      <c r="C98" s="47">
        <v>7.0000000000000001E-3</v>
      </c>
    </row>
    <row r="99" spans="1:8" x14ac:dyDescent="0.3">
      <c r="B99">
        <v>14</v>
      </c>
      <c r="C99" s="47">
        <v>7.0000000000000001E-3</v>
      </c>
    </row>
    <row r="100" spans="1:8" x14ac:dyDescent="0.3">
      <c r="B100">
        <v>15</v>
      </c>
      <c r="C100" s="47">
        <v>7.0000000000000001E-3</v>
      </c>
    </row>
    <row r="101" spans="1:8" x14ac:dyDescent="0.3">
      <c r="B101">
        <v>16</v>
      </c>
      <c r="C101" s="47">
        <v>0.01</v>
      </c>
    </row>
    <row r="102" spans="1:8" x14ac:dyDescent="0.3">
      <c r="B102">
        <v>17</v>
      </c>
      <c r="C102" s="47">
        <v>0.01</v>
      </c>
    </row>
    <row r="103" spans="1:8" x14ac:dyDescent="0.3">
      <c r="B103">
        <v>18</v>
      </c>
      <c r="C103" s="47">
        <v>0.01</v>
      </c>
    </row>
    <row r="104" spans="1:8" x14ac:dyDescent="0.3">
      <c r="B104">
        <v>19</v>
      </c>
      <c r="C104" s="47">
        <v>0.01</v>
      </c>
    </row>
    <row r="105" spans="1:8" x14ac:dyDescent="0.3">
      <c r="B105">
        <v>20</v>
      </c>
      <c r="C105" s="47">
        <v>0.01</v>
      </c>
    </row>
    <row r="106" spans="1:8" x14ac:dyDescent="0.3">
      <c r="F106" s="1"/>
    </row>
    <row r="107" spans="1:8" x14ac:dyDescent="0.3">
      <c r="A107" t="s">
        <v>383</v>
      </c>
    </row>
    <row r="109" spans="1:8" ht="28.8" x14ac:dyDescent="0.3">
      <c r="B109" s="6" t="s">
        <v>225</v>
      </c>
      <c r="C109" s="45" t="s">
        <v>382</v>
      </c>
      <c r="D109" s="45" t="s">
        <v>401</v>
      </c>
      <c r="E109" s="45" t="s">
        <v>400</v>
      </c>
      <c r="F109" s="45" t="s">
        <v>402</v>
      </c>
      <c r="G109" s="45" t="s">
        <v>403</v>
      </c>
      <c r="H109" s="6"/>
    </row>
    <row r="110" spans="1:8" x14ac:dyDescent="0.3">
      <c r="B110" s="6">
        <v>1</v>
      </c>
      <c r="C110" s="49">
        <v>2E-3</v>
      </c>
      <c r="D110" s="50">
        <f>1-C110</f>
        <v>0.998</v>
      </c>
      <c r="E110" s="48">
        <f>+E48</f>
        <v>10500000</v>
      </c>
      <c r="F110" s="46">
        <f>+NPV(3%,E110:$E$129)</f>
        <v>246259969.18777177</v>
      </c>
      <c r="G110" s="46">
        <f>+C110*F110</f>
        <v>492519.93837554357</v>
      </c>
      <c r="H110" s="6"/>
    </row>
    <row r="111" spans="1:8" x14ac:dyDescent="0.3">
      <c r="B111" s="6">
        <v>2</v>
      </c>
      <c r="C111" s="49">
        <v>2E-3</v>
      </c>
      <c r="D111" s="50">
        <f>+D110*(1-C111)</f>
        <v>0.996004</v>
      </c>
      <c r="E111" s="48">
        <f t="shared" ref="E111:E129" si="2">+E49</f>
        <v>11025000</v>
      </c>
      <c r="F111" s="46">
        <f>+NPV(3%,E111:$E$129)</f>
        <v>243147768.26340497</v>
      </c>
      <c r="G111" s="46">
        <f>+C111*D110*F111</f>
        <v>485322.94545375631</v>
      </c>
      <c r="H111" s="6"/>
    </row>
    <row r="112" spans="1:8" x14ac:dyDescent="0.3">
      <c r="B112" s="6">
        <v>3</v>
      </c>
      <c r="C112" s="49">
        <v>2E-3</v>
      </c>
      <c r="D112" s="50">
        <f t="shared" ref="D112:D129" si="3">+D111*(1-C112)</f>
        <v>0.99401199200000001</v>
      </c>
      <c r="E112" s="48">
        <f t="shared" si="2"/>
        <v>11576250</v>
      </c>
      <c r="F112" s="46">
        <f>+NPV(3%,E112:$E$129)</f>
        <v>239417201.31130707</v>
      </c>
      <c r="G112" s="46">
        <f t="shared" ref="G112:G129" si="4">+C112*D111*F112</f>
        <v>476920.98034973419</v>
      </c>
      <c r="H112" s="6"/>
    </row>
    <row r="113" spans="2:8" x14ac:dyDescent="0.3">
      <c r="B113" s="6">
        <v>4</v>
      </c>
      <c r="C113" s="49">
        <v>2E-3</v>
      </c>
      <c r="D113" s="50">
        <f t="shared" si="3"/>
        <v>0.99202396801600001</v>
      </c>
      <c r="E113" s="48">
        <f t="shared" si="2"/>
        <v>12155062.5</v>
      </c>
      <c r="F113" s="46">
        <f>+NPV(3%,E113:$E$129)</f>
        <v>235023467.35064632</v>
      </c>
      <c r="G113" s="46">
        <f t="shared" si="4"/>
        <v>467232.28989592585</v>
      </c>
      <c r="H113" s="6"/>
    </row>
    <row r="114" spans="2:8" x14ac:dyDescent="0.3">
      <c r="B114" s="6">
        <v>5</v>
      </c>
      <c r="C114" s="49">
        <v>2E-3</v>
      </c>
      <c r="D114" s="50">
        <f t="shared" si="3"/>
        <v>0.99003992007996799</v>
      </c>
      <c r="E114" s="48">
        <f t="shared" si="2"/>
        <v>12762815.625</v>
      </c>
      <c r="F114" s="46">
        <f>+NPV(3%,E114:$E$129)</f>
        <v>229919108.87116572</v>
      </c>
      <c r="G114" s="46">
        <f t="shared" si="4"/>
        <v>456170.53341015312</v>
      </c>
      <c r="H114" s="6"/>
    </row>
    <row r="115" spans="2:8" x14ac:dyDescent="0.3">
      <c r="B115" s="6">
        <v>6</v>
      </c>
      <c r="C115" s="49">
        <v>4.0000000000000001E-3</v>
      </c>
      <c r="D115" s="50">
        <f t="shared" si="3"/>
        <v>0.98607976039964806</v>
      </c>
      <c r="E115" s="48">
        <f t="shared" si="2"/>
        <v>13400956.40625</v>
      </c>
      <c r="F115" s="46">
        <f>+NPV(3%,E115:$E$129)</f>
        <v>224053866.51230067</v>
      </c>
      <c r="G115" s="46">
        <f t="shared" si="4"/>
        <v>887289.08838178392</v>
      </c>
      <c r="H115" s="6"/>
    </row>
    <row r="116" spans="2:8" x14ac:dyDescent="0.3">
      <c r="B116" s="6">
        <v>7</v>
      </c>
      <c r="C116" s="49">
        <v>4.0000000000000001E-3</v>
      </c>
      <c r="D116" s="50">
        <f t="shared" si="3"/>
        <v>0.98213544135804942</v>
      </c>
      <c r="E116" s="48">
        <f t="shared" si="2"/>
        <v>14071004.2265625</v>
      </c>
      <c r="F116" s="46">
        <f>+NPV(3%,E116:$E$129)</f>
        <v>217374526.10141972</v>
      </c>
      <c r="G116" s="46">
        <f t="shared" si="4"/>
        <v>857394.48246030009</v>
      </c>
      <c r="H116" s="6"/>
    </row>
    <row r="117" spans="2:8" x14ac:dyDescent="0.3">
      <c r="B117" s="6">
        <v>8</v>
      </c>
      <c r="C117" s="49">
        <v>4.0000000000000001E-3</v>
      </c>
      <c r="D117" s="50">
        <f t="shared" si="3"/>
        <v>0.9782068995926172</v>
      </c>
      <c r="E117" s="48">
        <f t="shared" si="2"/>
        <v>14774554.437890625</v>
      </c>
      <c r="F117" s="46">
        <f>+NPV(3%,E117:$E$129)</f>
        <v>209824757.6578998</v>
      </c>
      <c r="G117" s="46">
        <f t="shared" si="4"/>
        <v>824305.32388074871</v>
      </c>
      <c r="H117" s="6"/>
    </row>
    <row r="118" spans="2:8" x14ac:dyDescent="0.3">
      <c r="B118" s="6">
        <v>9</v>
      </c>
      <c r="C118" s="49">
        <v>4.0000000000000001E-3</v>
      </c>
      <c r="D118" s="50">
        <f t="shared" si="3"/>
        <v>0.97429407199424667</v>
      </c>
      <c r="E118" s="48">
        <f t="shared" si="2"/>
        <v>15513282.159785157</v>
      </c>
      <c r="F118" s="46">
        <f>+NPV(3%,E118:$E$129)</f>
        <v>201344945.94974616</v>
      </c>
      <c r="G118" s="46">
        <f t="shared" si="4"/>
        <v>787828.06130457728</v>
      </c>
      <c r="H118" s="6"/>
    </row>
    <row r="119" spans="2:8" x14ac:dyDescent="0.3">
      <c r="B119" s="6">
        <v>10</v>
      </c>
      <c r="C119" s="49">
        <v>4.0000000000000001E-3</v>
      </c>
      <c r="D119" s="50">
        <f t="shared" si="3"/>
        <v>0.97039689570626964</v>
      </c>
      <c r="E119" s="48">
        <f t="shared" si="2"/>
        <v>16288946.267774416</v>
      </c>
      <c r="F119" s="46">
        <f>+NPV(3%,E119:$E$129)</f>
        <v>191872012.16845343</v>
      </c>
      <c r="G119" s="46">
        <f t="shared" si="4"/>
        <v>747759.05614932859</v>
      </c>
      <c r="H119" s="6"/>
    </row>
    <row r="120" spans="2:8" x14ac:dyDescent="0.3">
      <c r="B120" s="6">
        <v>11</v>
      </c>
      <c r="C120" s="49">
        <v>7.0000000000000001E-3</v>
      </c>
      <c r="D120" s="50">
        <f t="shared" si="3"/>
        <v>0.96360411743632579</v>
      </c>
      <c r="E120" s="48">
        <f t="shared" si="2"/>
        <v>17103393.581163138</v>
      </c>
      <c r="F120" s="46">
        <f>+NPV(3%,E120:$E$129)</f>
        <v>181339226.26573259</v>
      </c>
      <c r="G120" s="46">
        <f t="shared" si="4"/>
        <v>1231797.1556663061</v>
      </c>
      <c r="H120" s="6"/>
    </row>
    <row r="121" spans="2:8" x14ac:dyDescent="0.3">
      <c r="B121" s="6">
        <v>12</v>
      </c>
      <c r="C121" s="49">
        <v>7.0000000000000001E-3</v>
      </c>
      <c r="D121" s="50">
        <f t="shared" si="3"/>
        <v>0.95685888861427149</v>
      </c>
      <c r="E121" s="48">
        <f t="shared" si="2"/>
        <v>17958563.260221295</v>
      </c>
      <c r="F121" s="46">
        <f>+NPV(3%,E121:$E$129)</f>
        <v>169676009.47254142</v>
      </c>
      <c r="G121" s="46">
        <f t="shared" si="4"/>
        <v>1144503.5095053415</v>
      </c>
      <c r="H121" s="6"/>
    </row>
    <row r="122" spans="2:8" x14ac:dyDescent="0.3">
      <c r="B122" s="6">
        <v>13</v>
      </c>
      <c r="C122" s="49">
        <v>7.0000000000000001E-3</v>
      </c>
      <c r="D122" s="50">
        <f t="shared" si="3"/>
        <v>0.95016087639397162</v>
      </c>
      <c r="E122" s="48">
        <f t="shared" si="2"/>
        <v>18856491.423232362</v>
      </c>
      <c r="F122" s="46">
        <f>+NPV(3%,E122:$E$129)</f>
        <v>156807726.49649641</v>
      </c>
      <c r="G122" s="46">
        <f t="shared" si="4"/>
        <v>1050300.0683109774</v>
      </c>
      <c r="H122" s="6"/>
    </row>
    <row r="123" spans="2:8" x14ac:dyDescent="0.3">
      <c r="B123" s="6">
        <v>14</v>
      </c>
      <c r="C123" s="49">
        <v>7.0000000000000001E-3</v>
      </c>
      <c r="D123" s="50">
        <f t="shared" si="3"/>
        <v>0.9435097502592138</v>
      </c>
      <c r="E123" s="48">
        <f t="shared" si="2"/>
        <v>19799315.994393978</v>
      </c>
      <c r="F123" s="46">
        <f>+NPV(3%,E123:$E$129)</f>
        <v>142655466.86815897</v>
      </c>
      <c r="G123" s="46">
        <f t="shared" si="4"/>
        <v>948819.50395288772</v>
      </c>
      <c r="H123" s="6"/>
    </row>
    <row r="124" spans="2:8" x14ac:dyDescent="0.3">
      <c r="B124" s="6">
        <v>15</v>
      </c>
      <c r="C124" s="49">
        <v>7.0000000000000001E-3</v>
      </c>
      <c r="D124" s="50">
        <f t="shared" si="3"/>
        <v>0.93690518200739925</v>
      </c>
      <c r="E124" s="48">
        <f t="shared" si="2"/>
        <v>20789281.794113681</v>
      </c>
      <c r="F124" s="46">
        <f>+NPV(3%,E124:$E$129)</f>
        <v>127135814.87980974</v>
      </c>
      <c r="G124" s="46">
        <f t="shared" si="4"/>
        <v>839677.16662375652</v>
      </c>
      <c r="H124" s="6"/>
    </row>
    <row r="125" spans="2:8" x14ac:dyDescent="0.3">
      <c r="B125" s="6">
        <v>16</v>
      </c>
      <c r="C125" s="49">
        <v>0.01</v>
      </c>
      <c r="D125" s="50">
        <f t="shared" si="3"/>
        <v>0.92753613018732528</v>
      </c>
      <c r="E125" s="48">
        <f t="shared" si="2"/>
        <v>21828745.883819364</v>
      </c>
      <c r="F125" s="46">
        <f>+NPV(3%,E125:$E$129)</f>
        <v>110160607.53209035</v>
      </c>
      <c r="G125" s="46">
        <f t="shared" si="4"/>
        <v>1032100.4404989879</v>
      </c>
      <c r="H125" s="6"/>
    </row>
    <row r="126" spans="2:8" x14ac:dyDescent="0.3">
      <c r="B126" s="6">
        <v>17</v>
      </c>
      <c r="C126" s="49">
        <v>0.01</v>
      </c>
      <c r="D126" s="50">
        <f t="shared" si="3"/>
        <v>0.91826076888545205</v>
      </c>
      <c r="E126" s="48">
        <f t="shared" si="2"/>
        <v>22920183.178010333</v>
      </c>
      <c r="F126" s="46">
        <f>+NPV(3%,E126:$E$129)</f>
        <v>91636679.874233708</v>
      </c>
      <c r="G126" s="46">
        <f t="shared" si="4"/>
        <v>849963.31433761492</v>
      </c>
      <c r="H126" s="6"/>
    </row>
    <row r="127" spans="2:8" x14ac:dyDescent="0.3">
      <c r="B127" s="6">
        <v>18</v>
      </c>
      <c r="C127" s="49">
        <v>0.01</v>
      </c>
      <c r="D127" s="50">
        <f t="shared" si="3"/>
        <v>0.90907816119659757</v>
      </c>
      <c r="E127" s="48">
        <f t="shared" si="2"/>
        <v>24066192.336910851</v>
      </c>
      <c r="F127" s="46">
        <f>+NPV(3%,E127:$E$129)</f>
        <v>71465597.09245038</v>
      </c>
      <c r="G127" s="46">
        <f t="shared" si="4"/>
        <v>656240.54134971416</v>
      </c>
      <c r="H127" s="6"/>
    </row>
    <row r="128" spans="2:8" x14ac:dyDescent="0.3">
      <c r="B128" s="6">
        <v>19</v>
      </c>
      <c r="C128" s="49">
        <v>0.01</v>
      </c>
      <c r="D128" s="50">
        <f t="shared" si="3"/>
        <v>0.8999873795846316</v>
      </c>
      <c r="E128" s="48">
        <f t="shared" si="2"/>
        <v>25269501.953756392</v>
      </c>
      <c r="F128" s="46">
        <f>+NPV(3%,E128:$E$129)</f>
        <v>49543372.668313041</v>
      </c>
      <c r="G128" s="46">
        <f t="shared" si="4"/>
        <v>450387.98124787788</v>
      </c>
      <c r="H128" s="6"/>
    </row>
    <row r="129" spans="1:9" x14ac:dyDescent="0.3">
      <c r="B129" s="6">
        <v>20</v>
      </c>
      <c r="C129" s="49">
        <v>0.01</v>
      </c>
      <c r="D129" s="50">
        <f t="shared" si="3"/>
        <v>0.89098750578878527</v>
      </c>
      <c r="E129" s="48">
        <f t="shared" si="2"/>
        <v>26532977.051444218</v>
      </c>
      <c r="F129" s="46">
        <f>+NPV(3%,E129:$E$129)</f>
        <v>25760171.894606035</v>
      </c>
      <c r="G129" s="46">
        <f t="shared" si="4"/>
        <v>231838.29601076161</v>
      </c>
      <c r="H129" s="6"/>
    </row>
    <row r="130" spans="1:9" x14ac:dyDescent="0.3">
      <c r="B130" s="6"/>
      <c r="C130" s="6"/>
      <c r="D130" s="6"/>
      <c r="E130" s="6"/>
      <c r="F130" s="46"/>
      <c r="G130" s="46">
        <f>+NPV(3%,G110:G129)</f>
        <v>10934015.313641189</v>
      </c>
      <c r="H130" s="6"/>
    </row>
    <row r="131" spans="1:9" x14ac:dyDescent="0.3">
      <c r="B131" s="6" t="s">
        <v>404</v>
      </c>
      <c r="C131" s="6"/>
      <c r="D131" s="6"/>
      <c r="E131" s="6"/>
      <c r="F131" s="6"/>
      <c r="G131" s="6"/>
      <c r="H131" s="6"/>
    </row>
    <row r="132" spans="1:9" x14ac:dyDescent="0.3">
      <c r="B132" s="7" t="s">
        <v>405</v>
      </c>
      <c r="C132" s="6"/>
      <c r="D132" s="6"/>
      <c r="E132" s="6"/>
      <c r="F132" s="6"/>
      <c r="G132" s="6"/>
      <c r="H132" s="6"/>
    </row>
    <row r="133" spans="1:9" x14ac:dyDescent="0.3">
      <c r="B133" s="7" t="s">
        <v>413</v>
      </c>
      <c r="C133" s="6"/>
      <c r="D133" s="6"/>
      <c r="E133" s="6"/>
      <c r="F133" s="6"/>
      <c r="G133" s="6"/>
      <c r="H133" s="6"/>
    </row>
    <row r="134" spans="1:9" x14ac:dyDescent="0.3">
      <c r="B134" s="6"/>
      <c r="C134" s="6"/>
      <c r="D134" s="6"/>
      <c r="E134" s="6"/>
      <c r="F134" s="6"/>
      <c r="G134" s="6"/>
      <c r="H134" s="6"/>
    </row>
    <row r="136" spans="1:9" x14ac:dyDescent="0.3">
      <c r="A136" t="s">
        <v>407</v>
      </c>
    </row>
    <row r="138" spans="1:9" x14ac:dyDescent="0.3">
      <c r="A138" t="s">
        <v>408</v>
      </c>
    </row>
    <row r="140" spans="1:9" ht="28.8" x14ac:dyDescent="0.3">
      <c r="B140" s="6" t="s">
        <v>225</v>
      </c>
      <c r="C140" s="6" t="s">
        <v>387</v>
      </c>
      <c r="D140" s="6" t="s">
        <v>406</v>
      </c>
      <c r="E140" s="6" t="s">
        <v>388</v>
      </c>
      <c r="F140" s="6" t="s">
        <v>409</v>
      </c>
      <c r="G140" s="45" t="s">
        <v>402</v>
      </c>
      <c r="H140" s="45" t="s">
        <v>410</v>
      </c>
      <c r="I140" s="45" t="s">
        <v>411</v>
      </c>
    </row>
    <row r="141" spans="1:9" x14ac:dyDescent="0.3">
      <c r="B141" s="6">
        <v>6</v>
      </c>
      <c r="C141" s="50">
        <v>4.0000000000000001E-3</v>
      </c>
      <c r="D141" s="50">
        <f>1-C141</f>
        <v>0.996</v>
      </c>
      <c r="E141" s="50">
        <f t="shared" ref="E141:E155" si="5">+C141*1.5</f>
        <v>6.0000000000000001E-3</v>
      </c>
      <c r="F141" s="50">
        <f>1-E141</f>
        <v>0.99399999999999999</v>
      </c>
      <c r="G141" s="46">
        <f>+NPV(3%,E115:$E$129)</f>
        <v>224053866.51230067</v>
      </c>
      <c r="H141" s="46">
        <f>+C141*G141</f>
        <v>896215.46604920272</v>
      </c>
      <c r="I141" s="46">
        <f>+E141*G141</f>
        <v>1344323.1990738041</v>
      </c>
    </row>
    <row r="142" spans="1:9" x14ac:dyDescent="0.3">
      <c r="B142" s="6">
        <v>7</v>
      </c>
      <c r="C142" s="50">
        <v>4.0000000000000001E-3</v>
      </c>
      <c r="D142" s="50">
        <f>+D141*(1-C142)</f>
        <v>0.99201600000000001</v>
      </c>
      <c r="E142" s="50">
        <f t="shared" si="5"/>
        <v>6.0000000000000001E-3</v>
      </c>
      <c r="F142" s="50">
        <f>+F141*(1-E142)</f>
        <v>0.98803600000000003</v>
      </c>
      <c r="G142" s="46">
        <f>+NPV(3%,E116:$E$129)</f>
        <v>217374526.10141972</v>
      </c>
      <c r="H142" s="46">
        <f>+C142*D141*G142</f>
        <v>866020.1119880561</v>
      </c>
      <c r="I142" s="46">
        <f>+E142*F141*G142</f>
        <v>1296421.6736688672</v>
      </c>
    </row>
    <row r="143" spans="1:9" x14ac:dyDescent="0.3">
      <c r="B143" s="6">
        <v>8</v>
      </c>
      <c r="C143" s="50">
        <v>4.0000000000000001E-3</v>
      </c>
      <c r="D143" s="50">
        <f t="shared" ref="D143:F155" si="6">+D142*(1-C143)</f>
        <v>0.98804793599999996</v>
      </c>
      <c r="E143" s="50">
        <f t="shared" si="5"/>
        <v>6.0000000000000001E-3</v>
      </c>
      <c r="F143" s="50">
        <f t="shared" si="6"/>
        <v>0.98210778399999998</v>
      </c>
      <c r="G143" s="46">
        <f>+NPV(3%,E117:$E$129)</f>
        <v>209824757.6578998</v>
      </c>
      <c r="H143" s="46">
        <f t="shared" ref="H143:H155" si="7">+C143*D142*G143</f>
        <v>832598.06717103662</v>
      </c>
      <c r="I143" s="46">
        <f t="shared" ref="I143:I155" si="8">+E143*F142*G143</f>
        <v>1243886.4855436841</v>
      </c>
    </row>
    <row r="144" spans="1:9" x14ac:dyDescent="0.3">
      <c r="B144" s="6">
        <v>9</v>
      </c>
      <c r="C144" s="50">
        <v>4.0000000000000001E-3</v>
      </c>
      <c r="D144" s="50">
        <f t="shared" si="6"/>
        <v>0.98409574425599999</v>
      </c>
      <c r="E144" s="50">
        <f t="shared" si="5"/>
        <v>6.0000000000000001E-3</v>
      </c>
      <c r="F144" s="50">
        <f t="shared" si="6"/>
        <v>0.97621513729599996</v>
      </c>
      <c r="G144" s="46">
        <f>+NPV(3%,E118:$E$129)</f>
        <v>201344945.94974616</v>
      </c>
      <c r="H144" s="46">
        <f t="shared" si="7"/>
        <v>795753.83307871292</v>
      </c>
      <c r="I144" s="46">
        <f t="shared" si="8"/>
        <v>1186454.63211783</v>
      </c>
    </row>
    <row r="145" spans="2:10" x14ac:dyDescent="0.3">
      <c r="B145" s="6">
        <v>10</v>
      </c>
      <c r="C145" s="50">
        <v>4.0000000000000001E-3</v>
      </c>
      <c r="D145" s="50">
        <f t="shared" si="6"/>
        <v>0.98015936127897596</v>
      </c>
      <c r="E145" s="50">
        <f t="shared" si="5"/>
        <v>6.0000000000000001E-3</v>
      </c>
      <c r="F145" s="50">
        <f t="shared" si="6"/>
        <v>0.97035784647222401</v>
      </c>
      <c r="G145" s="46">
        <f>+NPV(3%,E119:$E$129)</f>
        <v>191872012.16845343</v>
      </c>
      <c r="H145" s="46">
        <f t="shared" si="7"/>
        <v>755281.72246724193</v>
      </c>
      <c r="I145" s="46">
        <f t="shared" si="8"/>
        <v>1123850.1762137192</v>
      </c>
    </row>
    <row r="146" spans="2:10" x14ac:dyDescent="0.3">
      <c r="B146" s="6">
        <v>11</v>
      </c>
      <c r="C146" s="50">
        <v>7.0000000000000001E-3</v>
      </c>
      <c r="D146" s="50">
        <f t="shared" si="6"/>
        <v>0.97329824575002311</v>
      </c>
      <c r="E146" s="50">
        <f t="shared" si="5"/>
        <v>1.0500000000000001E-2</v>
      </c>
      <c r="F146" s="50">
        <f t="shared" si="6"/>
        <v>0.96016908908426568</v>
      </c>
      <c r="G146" s="46">
        <f>+NPV(3%,E120:$E$129)</f>
        <v>181339226.26573259</v>
      </c>
      <c r="H146" s="46">
        <f t="shared" si="7"/>
        <v>1244189.381340109</v>
      </c>
      <c r="I146" s="46">
        <f t="shared" si="8"/>
        <v>1847621.3813416343</v>
      </c>
    </row>
    <row r="147" spans="2:10" x14ac:dyDescent="0.3">
      <c r="B147" s="6">
        <v>12</v>
      </c>
      <c r="C147" s="50">
        <v>7.0000000000000001E-3</v>
      </c>
      <c r="D147" s="50">
        <f t="shared" si="6"/>
        <v>0.96648515802977297</v>
      </c>
      <c r="E147" s="50">
        <f t="shared" si="5"/>
        <v>1.0500000000000001E-2</v>
      </c>
      <c r="F147" s="50">
        <f t="shared" si="6"/>
        <v>0.95008731364888088</v>
      </c>
      <c r="G147" s="46">
        <f>+NPV(3%,E121:$E$129)</f>
        <v>169676009.47254142</v>
      </c>
      <c r="H147" s="46">
        <f t="shared" si="7"/>
        <v>1156017.5365584223</v>
      </c>
      <c r="I147" s="46">
        <f t="shared" si="8"/>
        <v>1710635.424274385</v>
      </c>
    </row>
    <row r="148" spans="2:10" x14ac:dyDescent="0.3">
      <c r="B148" s="6">
        <v>13</v>
      </c>
      <c r="C148" s="50">
        <v>7.0000000000000001E-3</v>
      </c>
      <c r="D148" s="50">
        <f t="shared" si="6"/>
        <v>0.95971976192356456</v>
      </c>
      <c r="E148" s="50">
        <f t="shared" si="5"/>
        <v>1.0500000000000001E-2</v>
      </c>
      <c r="F148" s="50">
        <f t="shared" si="6"/>
        <v>0.94011139685556766</v>
      </c>
      <c r="G148" s="46">
        <f>+NPV(3%,E122:$E$129)</f>
        <v>156807726.49649641</v>
      </c>
      <c r="H148" s="46">
        <f t="shared" si="7"/>
        <v>1060866.3822627903</v>
      </c>
      <c r="I148" s="46">
        <f t="shared" si="8"/>
        <v>1564300.8320776697</v>
      </c>
    </row>
    <row r="149" spans="2:10" x14ac:dyDescent="0.3">
      <c r="B149" s="6">
        <v>14</v>
      </c>
      <c r="C149" s="50">
        <v>7.0000000000000001E-3</v>
      </c>
      <c r="D149" s="50">
        <f t="shared" si="6"/>
        <v>0.9530017235900996</v>
      </c>
      <c r="E149" s="50">
        <f t="shared" si="5"/>
        <v>1.0500000000000001E-2</v>
      </c>
      <c r="F149" s="50">
        <f t="shared" si="6"/>
        <v>0.93024022718858423</v>
      </c>
      <c r="G149" s="46">
        <f>+NPV(3%,E123:$E$129)</f>
        <v>142655466.86815897</v>
      </c>
      <c r="H149" s="46">
        <f t="shared" si="7"/>
        <v>958364.89489863126</v>
      </c>
      <c r="I149" s="46">
        <f t="shared" si="8"/>
        <v>1408176.3173783349</v>
      </c>
    </row>
    <row r="150" spans="2:10" x14ac:dyDescent="0.3">
      <c r="B150" s="6">
        <v>15</v>
      </c>
      <c r="C150" s="50">
        <v>7.0000000000000001E-3</v>
      </c>
      <c r="D150" s="50">
        <f t="shared" si="6"/>
        <v>0.94633071152496895</v>
      </c>
      <c r="E150" s="50">
        <f t="shared" si="5"/>
        <v>1.0500000000000001E-2</v>
      </c>
      <c r="F150" s="50">
        <f t="shared" si="6"/>
        <v>0.92047270480310417</v>
      </c>
      <c r="G150" s="46">
        <f>+NPV(3%,E124:$E$129)</f>
        <v>127135814.87980974</v>
      </c>
      <c r="H150" s="46">
        <f t="shared" si="7"/>
        <v>848124.55497343361</v>
      </c>
      <c r="I150" s="46">
        <f t="shared" si="8"/>
        <v>1241801.9178348</v>
      </c>
    </row>
    <row r="151" spans="2:10" x14ac:dyDescent="0.3">
      <c r="B151" s="6">
        <v>16</v>
      </c>
      <c r="C151" s="50">
        <v>0.01</v>
      </c>
      <c r="D151" s="50">
        <f t="shared" si="6"/>
        <v>0.93686740440971927</v>
      </c>
      <c r="E151" s="50">
        <f t="shared" si="5"/>
        <v>1.4999999999999999E-2</v>
      </c>
      <c r="F151" s="50">
        <f t="shared" si="6"/>
        <v>0.90666561423105763</v>
      </c>
      <c r="G151" s="46">
        <f>+NPV(3%,E125:$E$129)</f>
        <v>110160607.53209035</v>
      </c>
      <c r="H151" s="46">
        <f t="shared" si="7"/>
        <v>1042483.6610786591</v>
      </c>
      <c r="I151" s="46">
        <f t="shared" si="8"/>
        <v>1520997.4856672462</v>
      </c>
    </row>
    <row r="152" spans="2:10" x14ac:dyDescent="0.3">
      <c r="B152" s="6">
        <v>17</v>
      </c>
      <c r="C152" s="50">
        <v>0.01</v>
      </c>
      <c r="D152" s="50">
        <f t="shared" si="6"/>
        <v>0.92749873036562203</v>
      </c>
      <c r="E152" s="50">
        <f t="shared" si="5"/>
        <v>1.4999999999999999E-2</v>
      </c>
      <c r="F152" s="50">
        <f t="shared" si="6"/>
        <v>0.89306563001759176</v>
      </c>
      <c r="G152" s="46">
        <f>+NPV(3%,E126:$E$129)</f>
        <v>91636679.874233708</v>
      </c>
      <c r="H152" s="46">
        <f t="shared" si="7"/>
        <v>858514.18422497704</v>
      </c>
      <c r="I152" s="46">
        <f t="shared" si="8"/>
        <v>1246257.3996640034</v>
      </c>
    </row>
    <row r="153" spans="2:10" x14ac:dyDescent="0.3">
      <c r="B153" s="6">
        <v>18</v>
      </c>
      <c r="C153" s="50">
        <v>0.01</v>
      </c>
      <c r="D153" s="50">
        <f t="shared" si="6"/>
        <v>0.91822374306196575</v>
      </c>
      <c r="E153" s="50">
        <f t="shared" si="5"/>
        <v>1.4999999999999999E-2</v>
      </c>
      <c r="F153" s="50">
        <f t="shared" si="6"/>
        <v>0.87966964556732785</v>
      </c>
      <c r="G153" s="46">
        <f>+NPV(3%,E127:$E$129)</f>
        <v>71465597.09245038</v>
      </c>
      <c r="H153" s="46">
        <f t="shared" si="7"/>
        <v>662842.50568068819</v>
      </c>
      <c r="I153" s="46">
        <f t="shared" si="8"/>
        <v>957352.02737928857</v>
      </c>
    </row>
    <row r="154" spans="2:10" x14ac:dyDescent="0.3">
      <c r="B154" s="6">
        <v>19</v>
      </c>
      <c r="C154" s="50">
        <v>0.01</v>
      </c>
      <c r="D154" s="50">
        <f t="shared" si="6"/>
        <v>0.90904150563134611</v>
      </c>
      <c r="E154" s="50">
        <f t="shared" si="5"/>
        <v>1.4999999999999999E-2</v>
      </c>
      <c r="F154" s="50">
        <f t="shared" si="6"/>
        <v>0.86647460088381789</v>
      </c>
      <c r="G154" s="46">
        <f>+NPV(3%,E128:$E$129)</f>
        <v>49543372.668313041</v>
      </c>
      <c r="H154" s="46">
        <f t="shared" si="7"/>
        <v>454919.01095412287</v>
      </c>
      <c r="I154" s="46">
        <f t="shared" si="8"/>
        <v>653727.01613017451</v>
      </c>
    </row>
    <row r="155" spans="2:10" ht="15" thickBot="1" x14ac:dyDescent="0.35">
      <c r="B155" s="6">
        <v>20</v>
      </c>
      <c r="C155" s="50">
        <v>0.01</v>
      </c>
      <c r="D155" s="50">
        <f t="shared" si="6"/>
        <v>0.89995109057503264</v>
      </c>
      <c r="E155" s="50">
        <f t="shared" si="5"/>
        <v>1.4999999999999999E-2</v>
      </c>
      <c r="F155" s="50">
        <f t="shared" si="6"/>
        <v>0.85347748187056061</v>
      </c>
      <c r="G155" s="46">
        <f>+NPV(3%,E129:$E$129)</f>
        <v>25760171.894606035</v>
      </c>
      <c r="H155" s="72">
        <f t="shared" si="7"/>
        <v>234170.65444394958</v>
      </c>
      <c r="I155" s="72">
        <f t="shared" si="8"/>
        <v>334808.01991615962</v>
      </c>
    </row>
    <row r="156" spans="2:10" ht="15" thickTop="1" x14ac:dyDescent="0.3">
      <c r="B156" s="6"/>
      <c r="C156" s="6"/>
      <c r="D156" s="6"/>
      <c r="E156" s="6"/>
      <c r="F156" s="6"/>
      <c r="G156" s="6"/>
      <c r="H156" s="46">
        <f>+NPV(3%,H141:H155)</f>
        <v>10249560.648290437</v>
      </c>
      <c r="I156" s="46">
        <f>+NPV(3%,I141:I155)</f>
        <v>15137394.551970871</v>
      </c>
      <c r="J156" s="44"/>
    </row>
    <row r="157" spans="2:10" x14ac:dyDescent="0.3">
      <c r="B157" s="6" t="s">
        <v>412</v>
      </c>
      <c r="C157" s="6"/>
      <c r="D157" s="6"/>
      <c r="E157" s="51"/>
      <c r="F157" s="51"/>
      <c r="G157" s="51"/>
      <c r="H157" s="52" t="s">
        <v>414</v>
      </c>
      <c r="I157" s="52">
        <f>+I156-H156</f>
        <v>4887833.9036804345</v>
      </c>
    </row>
    <row r="158" spans="2:10" x14ac:dyDescent="0.3">
      <c r="B158" s="7" t="s">
        <v>415</v>
      </c>
      <c r="C158" s="6"/>
      <c r="D158" s="6"/>
      <c r="E158" s="51"/>
      <c r="F158" s="51"/>
      <c r="G158" s="51"/>
      <c r="H158" s="46"/>
      <c r="I158" s="46"/>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3A769-AAAD-49AD-906A-80478BD57D27}">
  <sheetPr codeName="Sheet15">
    <tabColor theme="9" tint="0.59999389629810485"/>
  </sheetPr>
  <dimension ref="A1:G49"/>
  <sheetViews>
    <sheetView showGridLines="0" zoomScale="115" zoomScaleNormal="115" workbookViewId="0"/>
  </sheetViews>
  <sheetFormatPr defaultRowHeight="14.4" x14ac:dyDescent="0.3"/>
  <cols>
    <col min="1" max="1" width="12" customWidth="1"/>
    <col min="2" max="2" width="8" customWidth="1"/>
    <col min="3" max="6" width="13.33203125" customWidth="1"/>
    <col min="7" max="7" width="14.88671875" customWidth="1"/>
    <col min="8" max="8" width="14.5546875" customWidth="1"/>
    <col min="9" max="9" width="9.44140625" customWidth="1"/>
    <col min="11" max="11" width="9.88671875" customWidth="1"/>
  </cols>
  <sheetData>
    <row r="1" spans="1:2" x14ac:dyDescent="0.3">
      <c r="A1" s="10" t="s">
        <v>416</v>
      </c>
    </row>
    <row r="3" spans="1:2" x14ac:dyDescent="0.3">
      <c r="A3" s="11" t="s">
        <v>1</v>
      </c>
    </row>
    <row r="4" spans="1:2" x14ac:dyDescent="0.3">
      <c r="A4" t="s">
        <v>417</v>
      </c>
    </row>
    <row r="6" spans="1:2" x14ac:dyDescent="0.3">
      <c r="A6" s="11" t="s">
        <v>2</v>
      </c>
    </row>
    <row r="7" spans="1:2" x14ac:dyDescent="0.3">
      <c r="A7" t="s">
        <v>418</v>
      </c>
      <c r="B7" t="s">
        <v>419</v>
      </c>
    </row>
    <row r="8" spans="1:2" x14ac:dyDescent="0.3">
      <c r="A8" t="s">
        <v>368</v>
      </c>
      <c r="B8" t="s">
        <v>369</v>
      </c>
    </row>
    <row r="10" spans="1:2" x14ac:dyDescent="0.3">
      <c r="A10" s="11" t="s">
        <v>3</v>
      </c>
    </row>
    <row r="11" spans="1:2" x14ac:dyDescent="0.3">
      <c r="A11">
        <v>1</v>
      </c>
      <c r="B11" t="s">
        <v>420</v>
      </c>
    </row>
    <row r="14" spans="1:2" x14ac:dyDescent="0.3">
      <c r="A14" t="s">
        <v>566</v>
      </c>
    </row>
    <row r="16" spans="1:2" x14ac:dyDescent="0.3">
      <c r="A16" t="s">
        <v>422</v>
      </c>
    </row>
    <row r="17" spans="1:7" x14ac:dyDescent="0.3">
      <c r="A17" t="s">
        <v>423</v>
      </c>
    </row>
    <row r="18" spans="1:7" x14ac:dyDescent="0.3">
      <c r="A18" t="s">
        <v>421</v>
      </c>
    </row>
    <row r="19" spans="1:7" x14ac:dyDescent="0.3">
      <c r="A19" t="s">
        <v>424</v>
      </c>
    </row>
    <row r="21" spans="1:7" x14ac:dyDescent="0.3">
      <c r="A21" t="s">
        <v>427</v>
      </c>
    </row>
    <row r="22" spans="1:7" x14ac:dyDescent="0.3">
      <c r="B22" t="s">
        <v>425</v>
      </c>
    </row>
    <row r="23" spans="1:7" x14ac:dyDescent="0.3">
      <c r="B23" t="s">
        <v>426</v>
      </c>
    </row>
    <row r="26" spans="1:7" x14ac:dyDescent="0.3">
      <c r="A26" t="s">
        <v>429</v>
      </c>
    </row>
    <row r="28" spans="1:7" x14ac:dyDescent="0.3">
      <c r="B28" t="s">
        <v>430</v>
      </c>
      <c r="C28" s="14" t="s">
        <v>273</v>
      </c>
      <c r="D28" s="14" t="s">
        <v>431</v>
      </c>
      <c r="E28" s="14" t="s">
        <v>432</v>
      </c>
    </row>
    <row r="29" spans="1:7" x14ac:dyDescent="0.3">
      <c r="B29">
        <v>0</v>
      </c>
      <c r="C29" s="1"/>
      <c r="D29" s="1"/>
      <c r="E29" s="1">
        <v>100000</v>
      </c>
    </row>
    <row r="30" spans="1:7" x14ac:dyDescent="0.3">
      <c r="B30">
        <v>1</v>
      </c>
      <c r="C30" s="1">
        <v>500000</v>
      </c>
      <c r="D30" s="1">
        <v>150000</v>
      </c>
      <c r="E30" s="1">
        <f>+C30*0.05</f>
        <v>25000</v>
      </c>
      <c r="G30" s="1"/>
    </row>
    <row r="31" spans="1:7" x14ac:dyDescent="0.3">
      <c r="B31">
        <v>2</v>
      </c>
      <c r="C31" s="1">
        <f t="shared" ref="C31:C39" si="0">+C30-10000</f>
        <v>490000</v>
      </c>
      <c r="D31" s="1">
        <f t="shared" ref="D31:D39" si="1">+D30+50000</f>
        <v>200000</v>
      </c>
      <c r="E31" s="1">
        <f t="shared" ref="E31:E39" si="2">+C31*0.05</f>
        <v>24500</v>
      </c>
      <c r="G31" s="1"/>
    </row>
    <row r="32" spans="1:7" x14ac:dyDescent="0.3">
      <c r="B32">
        <v>3</v>
      </c>
      <c r="C32" s="1">
        <f t="shared" si="0"/>
        <v>480000</v>
      </c>
      <c r="D32" s="1">
        <f t="shared" si="1"/>
        <v>250000</v>
      </c>
      <c r="E32" s="1">
        <f t="shared" si="2"/>
        <v>24000</v>
      </c>
      <c r="G32" s="1"/>
    </row>
    <row r="33" spans="1:7" x14ac:dyDescent="0.3">
      <c r="B33">
        <v>4</v>
      </c>
      <c r="C33" s="1">
        <f t="shared" si="0"/>
        <v>470000</v>
      </c>
      <c r="D33" s="1">
        <f t="shared" si="1"/>
        <v>300000</v>
      </c>
      <c r="E33" s="1">
        <f t="shared" si="2"/>
        <v>23500</v>
      </c>
      <c r="G33" s="1"/>
    </row>
    <row r="34" spans="1:7" x14ac:dyDescent="0.3">
      <c r="B34">
        <v>5</v>
      </c>
      <c r="C34" s="1">
        <f t="shared" si="0"/>
        <v>460000</v>
      </c>
      <c r="D34" s="1">
        <f t="shared" si="1"/>
        <v>350000</v>
      </c>
      <c r="E34" s="1">
        <f t="shared" si="2"/>
        <v>23000</v>
      </c>
      <c r="G34" s="1"/>
    </row>
    <row r="35" spans="1:7" x14ac:dyDescent="0.3">
      <c r="B35">
        <v>6</v>
      </c>
      <c r="C35" s="1">
        <f t="shared" si="0"/>
        <v>450000</v>
      </c>
      <c r="D35" s="1">
        <f t="shared" si="1"/>
        <v>400000</v>
      </c>
      <c r="E35" s="1">
        <f t="shared" si="2"/>
        <v>22500</v>
      </c>
      <c r="G35" s="1"/>
    </row>
    <row r="36" spans="1:7" x14ac:dyDescent="0.3">
      <c r="B36">
        <v>7</v>
      </c>
      <c r="C36" s="1">
        <f t="shared" si="0"/>
        <v>440000</v>
      </c>
      <c r="D36" s="1">
        <f t="shared" si="1"/>
        <v>450000</v>
      </c>
      <c r="E36" s="1">
        <f t="shared" si="2"/>
        <v>22000</v>
      </c>
      <c r="G36" s="1"/>
    </row>
    <row r="37" spans="1:7" x14ac:dyDescent="0.3">
      <c r="B37">
        <v>8</v>
      </c>
      <c r="C37" s="1">
        <f t="shared" si="0"/>
        <v>430000</v>
      </c>
      <c r="D37" s="1">
        <f t="shared" si="1"/>
        <v>500000</v>
      </c>
      <c r="E37" s="1">
        <f t="shared" si="2"/>
        <v>21500</v>
      </c>
      <c r="G37" s="1"/>
    </row>
    <row r="38" spans="1:7" x14ac:dyDescent="0.3">
      <c r="B38">
        <v>9</v>
      </c>
      <c r="C38" s="1">
        <f t="shared" si="0"/>
        <v>420000</v>
      </c>
      <c r="D38" s="1">
        <f t="shared" si="1"/>
        <v>550000</v>
      </c>
      <c r="E38" s="1">
        <f t="shared" si="2"/>
        <v>21000</v>
      </c>
      <c r="G38" s="1"/>
    </row>
    <row r="39" spans="1:7" x14ac:dyDescent="0.3">
      <c r="B39">
        <v>10</v>
      </c>
      <c r="C39" s="1">
        <f t="shared" si="0"/>
        <v>410000</v>
      </c>
      <c r="D39" s="1">
        <f t="shared" si="1"/>
        <v>600000</v>
      </c>
      <c r="E39" s="1">
        <f t="shared" si="2"/>
        <v>20500</v>
      </c>
      <c r="G39" s="1"/>
    </row>
    <row r="42" spans="1:7" x14ac:dyDescent="0.3">
      <c r="A42" t="s">
        <v>572</v>
      </c>
    </row>
    <row r="43" spans="1:7" x14ac:dyDescent="0.3">
      <c r="A43" t="s">
        <v>433</v>
      </c>
    </row>
    <row r="44" spans="1:7" x14ac:dyDescent="0.3">
      <c r="A44" t="s">
        <v>435</v>
      </c>
    </row>
    <row r="45" spans="1:7" x14ac:dyDescent="0.3">
      <c r="A45" t="s">
        <v>434</v>
      </c>
    </row>
    <row r="46" spans="1:7" x14ac:dyDescent="0.3">
      <c r="A46" t="s">
        <v>436</v>
      </c>
    </row>
    <row r="47" spans="1:7" x14ac:dyDescent="0.3">
      <c r="A47" t="s">
        <v>428</v>
      </c>
    </row>
    <row r="49" spans="1:1" x14ac:dyDescent="0.3">
      <c r="A49" t="s">
        <v>437</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8DFEC-A42C-4504-920E-2C534F4718F6}">
  <sheetPr codeName="Sheet16">
    <tabColor theme="5" tint="0.39997558519241921"/>
  </sheetPr>
  <dimension ref="A1:M99"/>
  <sheetViews>
    <sheetView showGridLines="0" zoomScale="115" zoomScaleNormal="115" workbookViewId="0"/>
  </sheetViews>
  <sheetFormatPr defaultRowHeight="14.4" x14ac:dyDescent="0.3"/>
  <cols>
    <col min="1" max="1" width="12" customWidth="1"/>
    <col min="2" max="2" width="8" customWidth="1"/>
    <col min="3" max="3" width="16.44140625" customWidth="1"/>
    <col min="4" max="6" width="13.33203125" customWidth="1"/>
    <col min="7" max="7" width="14.88671875" customWidth="1"/>
    <col min="8" max="8" width="14.5546875" customWidth="1"/>
    <col min="9" max="9" width="13.44140625" customWidth="1"/>
    <col min="11" max="11" width="9.88671875" customWidth="1"/>
  </cols>
  <sheetData>
    <row r="1" spans="1:2" x14ac:dyDescent="0.3">
      <c r="A1" s="10" t="s">
        <v>416</v>
      </c>
    </row>
    <row r="3" spans="1:2" x14ac:dyDescent="0.3">
      <c r="A3" s="11" t="s">
        <v>1</v>
      </c>
    </row>
    <row r="4" spans="1:2" x14ac:dyDescent="0.3">
      <c r="A4" t="s">
        <v>417</v>
      </c>
    </row>
    <row r="6" spans="1:2" x14ac:dyDescent="0.3">
      <c r="A6" s="11" t="s">
        <v>2</v>
      </c>
    </row>
    <row r="7" spans="1:2" x14ac:dyDescent="0.3">
      <c r="A7" t="s">
        <v>418</v>
      </c>
      <c r="B7" t="s">
        <v>419</v>
      </c>
    </row>
    <row r="8" spans="1:2" x14ac:dyDescent="0.3">
      <c r="A8" t="s">
        <v>368</v>
      </c>
      <c r="B8" t="s">
        <v>369</v>
      </c>
    </row>
    <row r="10" spans="1:2" x14ac:dyDescent="0.3">
      <c r="A10" s="11" t="s">
        <v>3</v>
      </c>
    </row>
    <row r="11" spans="1:2" x14ac:dyDescent="0.3">
      <c r="A11">
        <v>1</v>
      </c>
      <c r="B11" t="s">
        <v>420</v>
      </c>
    </row>
    <row r="14" spans="1:2" x14ac:dyDescent="0.3">
      <c r="A14" t="s">
        <v>567</v>
      </c>
    </row>
    <row r="16" spans="1:2" x14ac:dyDescent="0.3">
      <c r="A16" t="s">
        <v>422</v>
      </c>
    </row>
    <row r="17" spans="1:12" x14ac:dyDescent="0.3">
      <c r="A17" t="s">
        <v>423</v>
      </c>
    </row>
    <row r="18" spans="1:12" x14ac:dyDescent="0.3">
      <c r="A18" t="s">
        <v>421</v>
      </c>
    </row>
    <row r="19" spans="1:12" x14ac:dyDescent="0.3">
      <c r="A19" t="s">
        <v>424</v>
      </c>
    </row>
    <row r="21" spans="1:12" x14ac:dyDescent="0.3">
      <c r="A21" t="s">
        <v>427</v>
      </c>
    </row>
    <row r="22" spans="1:12" x14ac:dyDescent="0.3">
      <c r="B22" t="s">
        <v>425</v>
      </c>
    </row>
    <row r="23" spans="1:12" x14ac:dyDescent="0.3">
      <c r="B23" s="6" t="s">
        <v>454</v>
      </c>
      <c r="C23" s="6"/>
      <c r="D23" s="6"/>
      <c r="E23" s="6"/>
      <c r="F23" s="6"/>
      <c r="G23" s="6"/>
      <c r="H23" s="6"/>
      <c r="I23" s="6"/>
      <c r="J23" s="6"/>
      <c r="K23" s="6"/>
      <c r="L23" s="6"/>
    </row>
    <row r="24" spans="1:12" x14ac:dyDescent="0.3">
      <c r="B24" s="6" t="s">
        <v>456</v>
      </c>
      <c r="C24" s="6"/>
      <c r="D24" s="6"/>
      <c r="E24" s="6"/>
      <c r="F24" s="6"/>
      <c r="G24" s="6"/>
      <c r="H24" s="6"/>
      <c r="I24" s="6"/>
      <c r="J24" s="6"/>
      <c r="K24" s="6"/>
      <c r="L24" s="6"/>
    </row>
    <row r="25" spans="1:12" x14ac:dyDescent="0.3">
      <c r="B25" s="6" t="s">
        <v>458</v>
      </c>
      <c r="C25" s="6"/>
      <c r="D25" s="6"/>
      <c r="E25" s="6"/>
      <c r="F25" s="6"/>
      <c r="G25" s="6"/>
      <c r="H25" s="6"/>
      <c r="I25" s="6"/>
      <c r="J25" s="6"/>
      <c r="K25" s="6"/>
      <c r="L25" s="6"/>
    </row>
    <row r="26" spans="1:12" x14ac:dyDescent="0.3">
      <c r="B26" s="6" t="s">
        <v>462</v>
      </c>
      <c r="C26" s="6"/>
      <c r="D26" s="6"/>
      <c r="E26" s="6"/>
      <c r="F26" s="6"/>
      <c r="G26" s="6"/>
      <c r="H26" s="6"/>
      <c r="I26" s="6"/>
      <c r="J26" s="6"/>
      <c r="K26" s="6"/>
      <c r="L26" s="6"/>
    </row>
    <row r="27" spans="1:12" x14ac:dyDescent="0.3">
      <c r="B27" s="6"/>
      <c r="C27" s="6"/>
      <c r="D27" s="6"/>
      <c r="E27" s="6"/>
      <c r="F27" s="6"/>
      <c r="G27" s="6"/>
      <c r="H27" s="6"/>
      <c r="I27" s="6"/>
      <c r="J27" s="6"/>
      <c r="K27" s="6"/>
      <c r="L27" s="6"/>
    </row>
    <row r="28" spans="1:12" x14ac:dyDescent="0.3">
      <c r="B28" s="6"/>
      <c r="C28" s="6"/>
      <c r="D28" s="6"/>
      <c r="E28" s="6"/>
      <c r="F28" s="6"/>
      <c r="G28" s="6"/>
      <c r="H28" s="6"/>
      <c r="I28" s="6"/>
      <c r="J28" s="6"/>
      <c r="K28" s="6"/>
      <c r="L28" s="6"/>
    </row>
    <row r="29" spans="1:12" x14ac:dyDescent="0.3">
      <c r="B29" t="s">
        <v>426</v>
      </c>
    </row>
    <row r="30" spans="1:12" x14ac:dyDescent="0.3">
      <c r="B30" s="6" t="s">
        <v>455</v>
      </c>
      <c r="C30" s="6"/>
      <c r="D30" s="6"/>
      <c r="E30" s="6"/>
      <c r="F30" s="6"/>
      <c r="G30" s="6"/>
      <c r="H30" s="6"/>
      <c r="I30" s="6"/>
      <c r="J30" s="6"/>
      <c r="K30" s="6"/>
      <c r="L30" s="6"/>
    </row>
    <row r="31" spans="1:12" x14ac:dyDescent="0.3">
      <c r="B31" s="6" t="s">
        <v>457</v>
      </c>
      <c r="C31" s="6"/>
      <c r="D31" s="6"/>
      <c r="E31" s="6"/>
      <c r="F31" s="6"/>
      <c r="G31" s="6"/>
      <c r="H31" s="6"/>
      <c r="I31" s="6"/>
      <c r="J31" s="6"/>
      <c r="K31" s="6"/>
      <c r="L31" s="6"/>
    </row>
    <row r="32" spans="1:12" x14ac:dyDescent="0.3">
      <c r="B32" s="6" t="s">
        <v>458</v>
      </c>
      <c r="C32" s="6"/>
      <c r="D32" s="6"/>
      <c r="E32" s="6"/>
      <c r="F32" s="6"/>
      <c r="G32" s="6"/>
      <c r="H32" s="6"/>
      <c r="I32" s="6"/>
      <c r="J32" s="6"/>
      <c r="K32" s="6"/>
      <c r="L32" s="6"/>
    </row>
    <row r="33" spans="1:12" x14ac:dyDescent="0.3">
      <c r="B33" s="6" t="s">
        <v>459</v>
      </c>
      <c r="C33" s="6"/>
      <c r="D33" s="6"/>
      <c r="E33" s="6"/>
      <c r="F33" s="6"/>
      <c r="G33" s="6"/>
      <c r="H33" s="6"/>
      <c r="I33" s="6"/>
      <c r="J33" s="6"/>
      <c r="K33" s="6"/>
      <c r="L33" s="6"/>
    </row>
    <row r="34" spans="1:12" x14ac:dyDescent="0.3">
      <c r="B34" s="6" t="s">
        <v>460</v>
      </c>
      <c r="C34" s="6"/>
      <c r="D34" s="6"/>
      <c r="E34" s="6"/>
      <c r="F34" s="6"/>
      <c r="G34" s="6"/>
      <c r="H34" s="6"/>
      <c r="I34" s="6"/>
      <c r="J34" s="6"/>
      <c r="K34" s="6"/>
      <c r="L34" s="6"/>
    </row>
    <row r="35" spans="1:12" x14ac:dyDescent="0.3">
      <c r="B35" s="6" t="s">
        <v>461</v>
      </c>
      <c r="C35" s="6"/>
      <c r="D35" s="6"/>
      <c r="E35" s="6"/>
      <c r="F35" s="6"/>
      <c r="G35" s="6"/>
      <c r="H35" s="6"/>
      <c r="I35" s="6"/>
      <c r="J35" s="6"/>
      <c r="K35" s="6"/>
      <c r="L35" s="6"/>
    </row>
    <row r="36" spans="1:12" x14ac:dyDescent="0.3">
      <c r="B36" s="6"/>
      <c r="C36" s="6"/>
      <c r="D36" s="6"/>
      <c r="E36" s="6"/>
      <c r="F36" s="6"/>
      <c r="G36" s="6"/>
      <c r="H36" s="6"/>
      <c r="I36" s="6"/>
      <c r="J36" s="6"/>
      <c r="K36" s="6"/>
      <c r="L36" s="6"/>
    </row>
    <row r="37" spans="1:12" x14ac:dyDescent="0.3">
      <c r="B37" s="6"/>
      <c r="C37" s="6"/>
      <c r="D37" s="6"/>
      <c r="E37" s="6"/>
      <c r="F37" s="6"/>
      <c r="G37" s="6"/>
      <c r="H37" s="6"/>
      <c r="I37" s="6"/>
      <c r="J37" s="6"/>
      <c r="K37" s="6"/>
      <c r="L37" s="6"/>
    </row>
    <row r="39" spans="1:12" x14ac:dyDescent="0.3">
      <c r="A39" t="s">
        <v>429</v>
      </c>
    </row>
    <row r="41" spans="1:12" x14ac:dyDescent="0.3">
      <c r="B41" t="s">
        <v>430</v>
      </c>
      <c r="C41" s="14" t="s">
        <v>273</v>
      </c>
      <c r="D41" s="14" t="s">
        <v>431</v>
      </c>
      <c r="E41" s="14" t="s">
        <v>432</v>
      </c>
    </row>
    <row r="42" spans="1:12" x14ac:dyDescent="0.3">
      <c r="B42">
        <v>0</v>
      </c>
      <c r="C42" s="1"/>
      <c r="D42" s="1"/>
      <c r="E42" s="1">
        <f>+'Q8'!E29</f>
        <v>100000</v>
      </c>
    </row>
    <row r="43" spans="1:12" x14ac:dyDescent="0.3">
      <c r="B43">
        <v>1</v>
      </c>
      <c r="C43" s="1">
        <f>+'Q8'!C30</f>
        <v>500000</v>
      </c>
      <c r="D43" s="1">
        <f>+'Q8'!D30</f>
        <v>150000</v>
      </c>
      <c r="E43" s="1">
        <f>+'Q8'!E30</f>
        <v>25000</v>
      </c>
      <c r="G43" s="1"/>
    </row>
    <row r="44" spans="1:12" x14ac:dyDescent="0.3">
      <c r="B44">
        <v>2</v>
      </c>
      <c r="C44" s="1">
        <f>+'Q8'!C31</f>
        <v>490000</v>
      </c>
      <c r="D44" s="1">
        <f>+'Q8'!D31</f>
        <v>200000</v>
      </c>
      <c r="E44" s="1">
        <f>+'Q8'!E31</f>
        <v>24500</v>
      </c>
      <c r="G44" s="1"/>
    </row>
    <row r="45" spans="1:12" x14ac:dyDescent="0.3">
      <c r="B45">
        <v>3</v>
      </c>
      <c r="C45" s="1">
        <f>+'Q8'!C32</f>
        <v>480000</v>
      </c>
      <c r="D45" s="1">
        <f>+'Q8'!D32</f>
        <v>250000</v>
      </c>
      <c r="E45" s="1">
        <f>+'Q8'!E32</f>
        <v>24000</v>
      </c>
      <c r="G45" s="1"/>
    </row>
    <row r="46" spans="1:12" x14ac:dyDescent="0.3">
      <c r="B46">
        <v>4</v>
      </c>
      <c r="C46" s="1">
        <f>+'Q8'!C33</f>
        <v>470000</v>
      </c>
      <c r="D46" s="1">
        <f>+'Q8'!D33</f>
        <v>300000</v>
      </c>
      <c r="E46" s="1">
        <f>+'Q8'!E33</f>
        <v>23500</v>
      </c>
      <c r="G46" s="1"/>
    </row>
    <row r="47" spans="1:12" x14ac:dyDescent="0.3">
      <c r="B47">
        <v>5</v>
      </c>
      <c r="C47" s="1">
        <f>+'Q8'!C34</f>
        <v>460000</v>
      </c>
      <c r="D47" s="1">
        <f>+'Q8'!D34</f>
        <v>350000</v>
      </c>
      <c r="E47" s="1">
        <f>+'Q8'!E34</f>
        <v>23000</v>
      </c>
      <c r="G47" s="1"/>
    </row>
    <row r="48" spans="1:12" x14ac:dyDescent="0.3">
      <c r="B48">
        <v>6</v>
      </c>
      <c r="C48" s="1">
        <f>+'Q8'!C35</f>
        <v>450000</v>
      </c>
      <c r="D48" s="1">
        <f>+'Q8'!D35</f>
        <v>400000</v>
      </c>
      <c r="E48" s="1">
        <f>+'Q8'!E35</f>
        <v>22500</v>
      </c>
      <c r="G48" s="1"/>
    </row>
    <row r="49" spans="1:7" x14ac:dyDescent="0.3">
      <c r="B49">
        <v>7</v>
      </c>
      <c r="C49" s="1">
        <f>+'Q8'!C36</f>
        <v>440000</v>
      </c>
      <c r="D49" s="1">
        <f>+'Q8'!D36</f>
        <v>450000</v>
      </c>
      <c r="E49" s="1">
        <f>+'Q8'!E36</f>
        <v>22000</v>
      </c>
      <c r="G49" s="1"/>
    </row>
    <row r="50" spans="1:7" x14ac:dyDescent="0.3">
      <c r="B50">
        <v>8</v>
      </c>
      <c r="C50" s="1">
        <f>+'Q8'!C37</f>
        <v>430000</v>
      </c>
      <c r="D50" s="1">
        <f>+'Q8'!D37</f>
        <v>500000</v>
      </c>
      <c r="E50" s="1">
        <f>+'Q8'!E37</f>
        <v>21500</v>
      </c>
      <c r="G50" s="1"/>
    </row>
    <row r="51" spans="1:7" x14ac:dyDescent="0.3">
      <c r="B51">
        <v>9</v>
      </c>
      <c r="C51" s="1">
        <f>+'Q8'!C38</f>
        <v>420000</v>
      </c>
      <c r="D51" s="1">
        <f>+'Q8'!D38</f>
        <v>550000</v>
      </c>
      <c r="E51" s="1">
        <f>+'Q8'!E38</f>
        <v>21000</v>
      </c>
      <c r="G51" s="1"/>
    </row>
    <row r="52" spans="1:7" x14ac:dyDescent="0.3">
      <c r="B52">
        <v>10</v>
      </c>
      <c r="C52" s="1">
        <f>+'Q8'!C39</f>
        <v>410000</v>
      </c>
      <c r="D52" s="1">
        <f>+'Q8'!D39</f>
        <v>600000</v>
      </c>
      <c r="E52" s="1">
        <f>+'Q8'!E39</f>
        <v>20500</v>
      </c>
      <c r="G52" s="1"/>
    </row>
    <row r="55" spans="1:7" x14ac:dyDescent="0.3">
      <c r="A55" t="s">
        <v>572</v>
      </c>
    </row>
    <row r="56" spans="1:7" x14ac:dyDescent="0.3">
      <c r="A56" t="s">
        <v>433</v>
      </c>
    </row>
    <row r="57" spans="1:7" x14ac:dyDescent="0.3">
      <c r="A57" t="s">
        <v>435</v>
      </c>
    </row>
    <row r="58" spans="1:7" x14ac:dyDescent="0.3">
      <c r="A58" t="s">
        <v>434</v>
      </c>
    </row>
    <row r="59" spans="1:7" x14ac:dyDescent="0.3">
      <c r="A59" t="s">
        <v>436</v>
      </c>
    </row>
    <row r="60" spans="1:7" x14ac:dyDescent="0.3">
      <c r="A60" t="s">
        <v>446</v>
      </c>
    </row>
    <row r="61" spans="1:7" x14ac:dyDescent="0.3">
      <c r="A61" t="s">
        <v>428</v>
      </c>
    </row>
    <row r="63" spans="1:7" x14ac:dyDescent="0.3">
      <c r="A63" t="s">
        <v>437</v>
      </c>
    </row>
    <row r="65" spans="2:13" x14ac:dyDescent="0.3">
      <c r="B65" s="6"/>
      <c r="C65" s="87" t="s">
        <v>441</v>
      </c>
      <c r="D65" s="82"/>
      <c r="E65" s="83"/>
      <c r="F65" s="87" t="s">
        <v>449</v>
      </c>
      <c r="G65" s="88"/>
      <c r="H65" s="88"/>
      <c r="I65" s="89"/>
      <c r="J65" s="6"/>
      <c r="K65" s="6"/>
      <c r="L65" s="6"/>
      <c r="M65" s="6"/>
    </row>
    <row r="66" spans="2:13" ht="28.8" x14ac:dyDescent="0.3">
      <c r="B66" s="6" t="str">
        <f>+B41</f>
        <v>Time</v>
      </c>
      <c r="C66" s="55" t="str">
        <f>+C41</f>
        <v>Premiums</v>
      </c>
      <c r="D66" s="33" t="str">
        <f>+D41</f>
        <v xml:space="preserve">Benefits </v>
      </c>
      <c r="E66" s="56" t="str">
        <f>+E41</f>
        <v>Expenses</v>
      </c>
      <c r="F66" s="55" t="s">
        <v>273</v>
      </c>
      <c r="G66" s="33" t="s">
        <v>438</v>
      </c>
      <c r="H66" s="33" t="s">
        <v>439</v>
      </c>
      <c r="I66" s="63" t="s">
        <v>440</v>
      </c>
      <c r="J66" s="6"/>
      <c r="K66" s="6"/>
      <c r="L66" s="6"/>
      <c r="M66" s="6"/>
    </row>
    <row r="67" spans="2:13" x14ac:dyDescent="0.3">
      <c r="B67" s="6">
        <f>+B42</f>
        <v>0</v>
      </c>
      <c r="C67" s="57"/>
      <c r="D67" s="58"/>
      <c r="E67" s="59">
        <f>+E42</f>
        <v>100000</v>
      </c>
      <c r="F67" s="57"/>
      <c r="G67" s="58"/>
      <c r="H67" s="58"/>
      <c r="I67" s="59"/>
      <c r="J67" s="46"/>
      <c r="K67" s="6"/>
      <c r="L67" s="6"/>
      <c r="M67" s="6"/>
    </row>
    <row r="68" spans="2:13" x14ac:dyDescent="0.3">
      <c r="B68" s="6">
        <f t="shared" ref="B68:E68" si="0">+B43</f>
        <v>1</v>
      </c>
      <c r="C68" s="57">
        <f t="shared" si="0"/>
        <v>500000</v>
      </c>
      <c r="D68" s="58">
        <f t="shared" si="0"/>
        <v>150000</v>
      </c>
      <c r="E68" s="59">
        <f t="shared" si="0"/>
        <v>25000</v>
      </c>
      <c r="F68" s="57">
        <f>+C68</f>
        <v>500000</v>
      </c>
      <c r="G68" s="58">
        <f>+D68</f>
        <v>150000</v>
      </c>
      <c r="H68" s="58">
        <v>25000</v>
      </c>
      <c r="I68" s="59">
        <f>0.01*F68</f>
        <v>5000</v>
      </c>
      <c r="J68" s="46"/>
      <c r="K68" s="6"/>
      <c r="L68" s="6"/>
      <c r="M68" s="6"/>
    </row>
    <row r="69" spans="2:13" x14ac:dyDescent="0.3">
      <c r="B69" s="6">
        <f t="shared" ref="B69:E69" si="1">+B44</f>
        <v>2</v>
      </c>
      <c r="C69" s="57">
        <f t="shared" si="1"/>
        <v>490000</v>
      </c>
      <c r="D69" s="58">
        <f t="shared" si="1"/>
        <v>200000</v>
      </c>
      <c r="E69" s="59">
        <f t="shared" si="1"/>
        <v>24500</v>
      </c>
      <c r="F69" s="57">
        <f t="shared" ref="F69:F77" si="2">+C69</f>
        <v>490000</v>
      </c>
      <c r="G69" s="58">
        <f t="shared" ref="G69:G77" si="3">+D69</f>
        <v>200000</v>
      </c>
      <c r="H69" s="58">
        <v>25000</v>
      </c>
      <c r="I69" s="59">
        <f t="shared" ref="I69:I77" si="4">0.01*F69</f>
        <v>4900</v>
      </c>
      <c r="J69" s="46"/>
      <c r="K69" s="6"/>
      <c r="L69" s="6"/>
      <c r="M69" s="6"/>
    </row>
    <row r="70" spans="2:13" x14ac:dyDescent="0.3">
      <c r="B70" s="6">
        <f t="shared" ref="B70:E70" si="5">+B45</f>
        <v>3</v>
      </c>
      <c r="C70" s="57">
        <f t="shared" si="5"/>
        <v>480000</v>
      </c>
      <c r="D70" s="58">
        <f t="shared" si="5"/>
        <v>250000</v>
      </c>
      <c r="E70" s="59">
        <f t="shared" si="5"/>
        <v>24000</v>
      </c>
      <c r="F70" s="57">
        <f t="shared" si="2"/>
        <v>480000</v>
      </c>
      <c r="G70" s="58">
        <f t="shared" si="3"/>
        <v>250000</v>
      </c>
      <c r="H70" s="58">
        <v>25000</v>
      </c>
      <c r="I70" s="59">
        <f t="shared" si="4"/>
        <v>4800</v>
      </c>
      <c r="J70" s="46"/>
      <c r="K70" s="6"/>
      <c r="L70" s="6"/>
      <c r="M70" s="6"/>
    </row>
    <row r="71" spans="2:13" x14ac:dyDescent="0.3">
      <c r="B71" s="6">
        <f t="shared" ref="B71:E71" si="6">+B46</f>
        <v>4</v>
      </c>
      <c r="C71" s="57">
        <f t="shared" si="6"/>
        <v>470000</v>
      </c>
      <c r="D71" s="58">
        <f t="shared" si="6"/>
        <v>300000</v>
      </c>
      <c r="E71" s="59">
        <f t="shared" si="6"/>
        <v>23500</v>
      </c>
      <c r="F71" s="57">
        <f t="shared" si="2"/>
        <v>470000</v>
      </c>
      <c r="G71" s="58">
        <f t="shared" si="3"/>
        <v>300000</v>
      </c>
      <c r="H71" s="58">
        <v>25000</v>
      </c>
      <c r="I71" s="59">
        <f t="shared" si="4"/>
        <v>4700</v>
      </c>
      <c r="J71" s="46"/>
      <c r="K71" s="6"/>
      <c r="L71" s="6"/>
      <c r="M71" s="6"/>
    </row>
    <row r="72" spans="2:13" x14ac:dyDescent="0.3">
      <c r="B72" s="6">
        <f t="shared" ref="B72:E72" si="7">+B47</f>
        <v>5</v>
      </c>
      <c r="C72" s="57">
        <f t="shared" si="7"/>
        <v>460000</v>
      </c>
      <c r="D72" s="58">
        <f t="shared" si="7"/>
        <v>350000</v>
      </c>
      <c r="E72" s="59">
        <f t="shared" si="7"/>
        <v>23000</v>
      </c>
      <c r="F72" s="57">
        <f t="shared" si="2"/>
        <v>460000</v>
      </c>
      <c r="G72" s="58">
        <f t="shared" si="3"/>
        <v>350000</v>
      </c>
      <c r="H72" s="58">
        <v>25000</v>
      </c>
      <c r="I72" s="59">
        <f t="shared" si="4"/>
        <v>4600</v>
      </c>
      <c r="J72" s="46"/>
      <c r="K72" s="6"/>
      <c r="L72" s="6"/>
      <c r="M72" s="6"/>
    </row>
    <row r="73" spans="2:13" x14ac:dyDescent="0.3">
      <c r="B73" s="6">
        <f t="shared" ref="B73:E73" si="8">+B48</f>
        <v>6</v>
      </c>
      <c r="C73" s="57">
        <f t="shared" si="8"/>
        <v>450000</v>
      </c>
      <c r="D73" s="58">
        <f t="shared" si="8"/>
        <v>400000</v>
      </c>
      <c r="E73" s="59">
        <f t="shared" si="8"/>
        <v>22500</v>
      </c>
      <c r="F73" s="57">
        <f t="shared" si="2"/>
        <v>450000</v>
      </c>
      <c r="G73" s="58">
        <f t="shared" si="3"/>
        <v>400000</v>
      </c>
      <c r="H73" s="58">
        <v>25000</v>
      </c>
      <c r="I73" s="59">
        <f t="shared" si="4"/>
        <v>4500</v>
      </c>
      <c r="J73" s="46"/>
      <c r="K73" s="6"/>
      <c r="L73" s="6"/>
      <c r="M73" s="6"/>
    </row>
    <row r="74" spans="2:13" x14ac:dyDescent="0.3">
      <c r="B74" s="6">
        <f t="shared" ref="B74:E74" si="9">+B49</f>
        <v>7</v>
      </c>
      <c r="C74" s="57">
        <f t="shared" si="9"/>
        <v>440000</v>
      </c>
      <c r="D74" s="58">
        <f t="shared" si="9"/>
        <v>450000</v>
      </c>
      <c r="E74" s="59">
        <f t="shared" si="9"/>
        <v>22000</v>
      </c>
      <c r="F74" s="57">
        <f t="shared" si="2"/>
        <v>440000</v>
      </c>
      <c r="G74" s="58">
        <f t="shared" si="3"/>
        <v>450000</v>
      </c>
      <c r="H74" s="58">
        <v>25000</v>
      </c>
      <c r="I74" s="59">
        <f t="shared" si="4"/>
        <v>4400</v>
      </c>
      <c r="J74" s="46"/>
      <c r="K74" s="6"/>
      <c r="L74" s="6"/>
      <c r="M74" s="6"/>
    </row>
    <row r="75" spans="2:13" x14ac:dyDescent="0.3">
      <c r="B75" s="6">
        <f t="shared" ref="B75:E75" si="10">+B50</f>
        <v>8</v>
      </c>
      <c r="C75" s="57">
        <f t="shared" si="10"/>
        <v>430000</v>
      </c>
      <c r="D75" s="58">
        <f t="shared" si="10"/>
        <v>500000</v>
      </c>
      <c r="E75" s="59">
        <f t="shared" si="10"/>
        <v>21500</v>
      </c>
      <c r="F75" s="57">
        <f t="shared" si="2"/>
        <v>430000</v>
      </c>
      <c r="G75" s="58">
        <f t="shared" si="3"/>
        <v>500000</v>
      </c>
      <c r="H75" s="58">
        <v>25000</v>
      </c>
      <c r="I75" s="59">
        <f t="shared" si="4"/>
        <v>4300</v>
      </c>
      <c r="J75" s="46"/>
      <c r="K75" s="6"/>
      <c r="L75" s="6"/>
      <c r="M75" s="6"/>
    </row>
    <row r="76" spans="2:13" x14ac:dyDescent="0.3">
      <c r="B76" s="6">
        <f t="shared" ref="B76:E77" si="11">+B51</f>
        <v>9</v>
      </c>
      <c r="C76" s="57">
        <f t="shared" si="11"/>
        <v>420000</v>
      </c>
      <c r="D76" s="58">
        <f t="shared" si="11"/>
        <v>550000</v>
      </c>
      <c r="E76" s="59">
        <f t="shared" si="11"/>
        <v>21000</v>
      </c>
      <c r="F76" s="57">
        <f t="shared" si="2"/>
        <v>420000</v>
      </c>
      <c r="G76" s="58">
        <f t="shared" si="3"/>
        <v>550000</v>
      </c>
      <c r="H76" s="58">
        <v>25000</v>
      </c>
      <c r="I76" s="59">
        <f t="shared" si="4"/>
        <v>4200</v>
      </c>
      <c r="J76" s="46"/>
      <c r="K76" s="6"/>
      <c r="L76" s="6"/>
      <c r="M76" s="6"/>
    </row>
    <row r="77" spans="2:13" x14ac:dyDescent="0.3">
      <c r="B77" s="6">
        <f t="shared" si="11"/>
        <v>10</v>
      </c>
      <c r="C77" s="57">
        <f t="shared" si="11"/>
        <v>410000</v>
      </c>
      <c r="D77" s="58">
        <f t="shared" si="11"/>
        <v>600000</v>
      </c>
      <c r="E77" s="59">
        <f t="shared" si="11"/>
        <v>20500</v>
      </c>
      <c r="F77" s="57">
        <f t="shared" si="2"/>
        <v>410000</v>
      </c>
      <c r="G77" s="58">
        <f t="shared" si="3"/>
        <v>600000</v>
      </c>
      <c r="H77" s="58">
        <v>25000</v>
      </c>
      <c r="I77" s="59">
        <f t="shared" si="4"/>
        <v>4100</v>
      </c>
      <c r="J77" s="46"/>
      <c r="K77" s="6"/>
      <c r="L77" s="6"/>
      <c r="M77" s="6"/>
    </row>
    <row r="78" spans="2:13" x14ac:dyDescent="0.3">
      <c r="B78" s="6"/>
      <c r="C78" s="60">
        <f>+SUM(C68:C77)</f>
        <v>4550000</v>
      </c>
      <c r="D78" s="61">
        <f t="shared" ref="D78" si="12">+SUM(D68:D77)</f>
        <v>3750000</v>
      </c>
      <c r="E78" s="62">
        <f>+SUM(E68:E77)+E67</f>
        <v>327500</v>
      </c>
      <c r="F78" s="60">
        <f t="shared" ref="F78" si="13">+SUM(F68:F77)</f>
        <v>4550000</v>
      </c>
      <c r="G78" s="61">
        <f t="shared" ref="G78" si="14">+SUM(G68:G77)</f>
        <v>3750000</v>
      </c>
      <c r="H78" s="61">
        <f t="shared" ref="H78" si="15">+SUM(H68:H77)</f>
        <v>250000</v>
      </c>
      <c r="I78" s="64"/>
      <c r="J78" s="6"/>
      <c r="K78" s="6"/>
      <c r="L78" s="6"/>
      <c r="M78" s="6"/>
    </row>
    <row r="79" spans="2:13" x14ac:dyDescent="0.3">
      <c r="B79" s="6"/>
      <c r="C79" s="6"/>
      <c r="D79" s="6"/>
      <c r="E79" s="6"/>
      <c r="F79" s="6"/>
      <c r="G79" s="6"/>
      <c r="H79" s="6"/>
      <c r="I79" s="6"/>
      <c r="J79" s="6"/>
      <c r="K79" s="6"/>
      <c r="L79" s="6"/>
      <c r="M79" s="6"/>
    </row>
    <row r="80" spans="2:13" x14ac:dyDescent="0.3">
      <c r="B80" s="6" t="s">
        <v>442</v>
      </c>
      <c r="C80" s="6"/>
      <c r="D80" s="48">
        <f>+C78-D78-E78</f>
        <v>472500</v>
      </c>
      <c r="E80" s="7" t="s">
        <v>450</v>
      </c>
      <c r="F80" s="6"/>
      <c r="G80" s="6"/>
      <c r="H80" s="6"/>
      <c r="I80" s="6"/>
      <c r="J80" s="6"/>
      <c r="K80" s="6"/>
      <c r="L80" s="6"/>
      <c r="M80" s="6"/>
    </row>
    <row r="81" spans="2:13" x14ac:dyDescent="0.3">
      <c r="B81" s="6" t="s">
        <v>443</v>
      </c>
      <c r="C81" s="6"/>
      <c r="D81" s="48">
        <f>+G78+H78-F78+I68</f>
        <v>-545000</v>
      </c>
      <c r="E81" s="7" t="s">
        <v>444</v>
      </c>
      <c r="F81" s="6"/>
      <c r="G81" s="6"/>
      <c r="H81" s="6"/>
      <c r="I81" s="6"/>
      <c r="J81" s="6"/>
      <c r="K81" s="6"/>
      <c r="L81" s="6"/>
      <c r="M81" s="6"/>
    </row>
    <row r="82" spans="2:13" x14ac:dyDescent="0.3">
      <c r="B82" s="6"/>
      <c r="C82" s="6"/>
      <c r="D82" s="6"/>
      <c r="E82" s="6"/>
      <c r="F82" s="6"/>
      <c r="G82" s="6"/>
      <c r="H82" s="6"/>
      <c r="I82" s="6"/>
      <c r="J82" s="6"/>
      <c r="K82" s="6"/>
      <c r="L82" s="6"/>
      <c r="M82" s="6"/>
    </row>
    <row r="83" spans="2:13" x14ac:dyDescent="0.3">
      <c r="B83" s="6" t="s">
        <v>451</v>
      </c>
      <c r="C83" s="6"/>
      <c r="D83" s="6"/>
      <c r="E83" s="6"/>
      <c r="F83" s="6"/>
      <c r="G83" s="6"/>
      <c r="H83" s="6"/>
      <c r="I83" s="6"/>
      <c r="J83" s="6"/>
      <c r="K83" s="6"/>
      <c r="L83" s="6"/>
      <c r="M83" s="6"/>
    </row>
    <row r="84" spans="2:13" ht="43.2" x14ac:dyDescent="0.3">
      <c r="B84" s="6" t="str">
        <f>B66</f>
        <v>Time</v>
      </c>
      <c r="C84" s="34" t="s">
        <v>445</v>
      </c>
      <c r="D84" s="34" t="s">
        <v>452</v>
      </c>
      <c r="E84" s="34" t="s">
        <v>453</v>
      </c>
      <c r="F84" s="53" t="s">
        <v>447</v>
      </c>
      <c r="G84" s="6"/>
      <c r="H84" s="6"/>
      <c r="I84" s="6"/>
      <c r="J84" s="6"/>
      <c r="K84" s="6"/>
      <c r="L84" s="6"/>
      <c r="M84" s="6"/>
    </row>
    <row r="85" spans="2:13" x14ac:dyDescent="0.3">
      <c r="B85" s="6">
        <f t="shared" ref="B85:B95" si="16">B67</f>
        <v>0</v>
      </c>
      <c r="C85" s="48"/>
      <c r="D85" s="48"/>
      <c r="E85" s="48">
        <v>0</v>
      </c>
      <c r="F85" s="54">
        <f>SUM(C85:E85)</f>
        <v>0</v>
      </c>
      <c r="G85" s="6"/>
      <c r="H85" s="6"/>
      <c r="I85" s="6"/>
      <c r="J85" s="6"/>
      <c r="K85" s="6"/>
      <c r="L85" s="6"/>
      <c r="M85" s="6"/>
    </row>
    <row r="86" spans="2:13" x14ac:dyDescent="0.3">
      <c r="B86" s="6">
        <f t="shared" si="16"/>
        <v>1</v>
      </c>
      <c r="C86" s="48">
        <f>+D80/10</f>
        <v>47250</v>
      </c>
      <c r="D86" s="48">
        <f>+D81/10</f>
        <v>-54500</v>
      </c>
      <c r="E86" s="48">
        <f>I68-I69</f>
        <v>100</v>
      </c>
      <c r="F86" s="54">
        <f t="shared" ref="F86:F95" si="17">SUM(C86:E86)</f>
        <v>-7150</v>
      </c>
      <c r="G86" s="6"/>
      <c r="H86" s="6"/>
      <c r="I86" s="6"/>
      <c r="J86" s="6"/>
      <c r="K86" s="6"/>
      <c r="L86" s="6"/>
      <c r="M86" s="6"/>
    </row>
    <row r="87" spans="2:13" x14ac:dyDescent="0.3">
      <c r="B87" s="6">
        <f t="shared" si="16"/>
        <v>2</v>
      </c>
      <c r="C87" s="48">
        <f t="shared" ref="C87:C95" si="18">C86</f>
        <v>47250</v>
      </c>
      <c r="D87" s="48">
        <f t="shared" ref="D87:D95" si="19">D86</f>
        <v>-54500</v>
      </c>
      <c r="E87" s="48">
        <f t="shared" ref="E87:E95" si="20">I69-I70</f>
        <v>100</v>
      </c>
      <c r="F87" s="54">
        <f t="shared" si="17"/>
        <v>-7150</v>
      </c>
      <c r="G87" s="6"/>
      <c r="H87" s="6"/>
      <c r="I87" s="6"/>
      <c r="J87" s="6"/>
      <c r="K87" s="6"/>
      <c r="L87" s="6"/>
      <c r="M87" s="6"/>
    </row>
    <row r="88" spans="2:13" x14ac:dyDescent="0.3">
      <c r="B88" s="6">
        <f t="shared" si="16"/>
        <v>3</v>
      </c>
      <c r="C88" s="48">
        <f t="shared" si="18"/>
        <v>47250</v>
      </c>
      <c r="D88" s="48">
        <f t="shared" si="19"/>
        <v>-54500</v>
      </c>
      <c r="E88" s="48">
        <f t="shared" si="20"/>
        <v>100</v>
      </c>
      <c r="F88" s="54">
        <f t="shared" si="17"/>
        <v>-7150</v>
      </c>
      <c r="G88" s="6"/>
      <c r="H88" s="6"/>
      <c r="I88" s="6"/>
      <c r="J88" s="6"/>
      <c r="K88" s="6"/>
      <c r="L88" s="6"/>
      <c r="M88" s="6"/>
    </row>
    <row r="89" spans="2:13" x14ac:dyDescent="0.3">
      <c r="B89" s="6">
        <f t="shared" si="16"/>
        <v>4</v>
      </c>
      <c r="C89" s="48">
        <f t="shared" si="18"/>
        <v>47250</v>
      </c>
      <c r="D89" s="48">
        <f t="shared" si="19"/>
        <v>-54500</v>
      </c>
      <c r="E89" s="48">
        <f t="shared" si="20"/>
        <v>100</v>
      </c>
      <c r="F89" s="54">
        <f t="shared" si="17"/>
        <v>-7150</v>
      </c>
      <c r="G89" s="6"/>
      <c r="H89" s="6"/>
      <c r="I89" s="6"/>
      <c r="J89" s="6"/>
      <c r="K89" s="6"/>
      <c r="L89" s="6"/>
      <c r="M89" s="6"/>
    </row>
    <row r="90" spans="2:13" x14ac:dyDescent="0.3">
      <c r="B90" s="6">
        <f t="shared" si="16"/>
        <v>5</v>
      </c>
      <c r="C90" s="48">
        <f t="shared" si="18"/>
        <v>47250</v>
      </c>
      <c r="D90" s="48">
        <f t="shared" si="19"/>
        <v>-54500</v>
      </c>
      <c r="E90" s="48">
        <f t="shared" si="20"/>
        <v>100</v>
      </c>
      <c r="F90" s="54">
        <f t="shared" si="17"/>
        <v>-7150</v>
      </c>
      <c r="G90" s="6"/>
      <c r="H90" s="6"/>
      <c r="I90" s="6"/>
      <c r="J90" s="6"/>
      <c r="K90" s="6"/>
      <c r="L90" s="6"/>
      <c r="M90" s="6"/>
    </row>
    <row r="91" spans="2:13" x14ac:dyDescent="0.3">
      <c r="B91" s="6">
        <f t="shared" si="16"/>
        <v>6</v>
      </c>
      <c r="C91" s="48">
        <f t="shared" si="18"/>
        <v>47250</v>
      </c>
      <c r="D91" s="48">
        <f t="shared" si="19"/>
        <v>-54500</v>
      </c>
      <c r="E91" s="48">
        <f t="shared" si="20"/>
        <v>100</v>
      </c>
      <c r="F91" s="54">
        <f t="shared" si="17"/>
        <v>-7150</v>
      </c>
      <c r="G91" s="6"/>
      <c r="H91" s="6"/>
      <c r="I91" s="6"/>
      <c r="J91" s="6"/>
      <c r="K91" s="6"/>
      <c r="L91" s="6"/>
      <c r="M91" s="6"/>
    </row>
    <row r="92" spans="2:13" x14ac:dyDescent="0.3">
      <c r="B92" s="6">
        <f t="shared" si="16"/>
        <v>7</v>
      </c>
      <c r="C92" s="48">
        <f t="shared" si="18"/>
        <v>47250</v>
      </c>
      <c r="D92" s="48">
        <f t="shared" si="19"/>
        <v>-54500</v>
      </c>
      <c r="E92" s="48">
        <f t="shared" si="20"/>
        <v>100</v>
      </c>
      <c r="F92" s="54">
        <f t="shared" si="17"/>
        <v>-7150</v>
      </c>
      <c r="G92" s="6"/>
      <c r="H92" s="6"/>
      <c r="I92" s="6"/>
      <c r="J92" s="6"/>
      <c r="K92" s="6"/>
      <c r="L92" s="6"/>
      <c r="M92" s="6"/>
    </row>
    <row r="93" spans="2:13" x14ac:dyDescent="0.3">
      <c r="B93" s="6">
        <f t="shared" si="16"/>
        <v>8</v>
      </c>
      <c r="C93" s="48">
        <f t="shared" si="18"/>
        <v>47250</v>
      </c>
      <c r="D93" s="48">
        <f t="shared" si="19"/>
        <v>-54500</v>
      </c>
      <c r="E93" s="48">
        <f t="shared" si="20"/>
        <v>100</v>
      </c>
      <c r="F93" s="54">
        <f t="shared" si="17"/>
        <v>-7150</v>
      </c>
      <c r="G93" s="6"/>
      <c r="H93" s="6"/>
      <c r="I93" s="6"/>
      <c r="J93" s="6"/>
      <c r="K93" s="6"/>
      <c r="L93" s="6"/>
      <c r="M93" s="6"/>
    </row>
    <row r="94" spans="2:13" x14ac:dyDescent="0.3">
      <c r="B94" s="6">
        <f t="shared" si="16"/>
        <v>9</v>
      </c>
      <c r="C94" s="48">
        <f t="shared" si="18"/>
        <v>47250</v>
      </c>
      <c r="D94" s="48">
        <f t="shared" si="19"/>
        <v>-54500</v>
      </c>
      <c r="E94" s="48">
        <f t="shared" si="20"/>
        <v>100</v>
      </c>
      <c r="F94" s="54">
        <f t="shared" si="17"/>
        <v>-7150</v>
      </c>
      <c r="G94" s="6"/>
      <c r="H94" s="6"/>
      <c r="I94" s="6"/>
      <c r="J94" s="6"/>
      <c r="K94" s="6"/>
      <c r="L94" s="6"/>
      <c r="M94" s="6"/>
    </row>
    <row r="95" spans="2:13" x14ac:dyDescent="0.3">
      <c r="B95" s="6">
        <f t="shared" si="16"/>
        <v>10</v>
      </c>
      <c r="C95" s="48">
        <f t="shared" si="18"/>
        <v>47250</v>
      </c>
      <c r="D95" s="48">
        <f t="shared" si="19"/>
        <v>-54500</v>
      </c>
      <c r="E95" s="48">
        <f t="shared" si="20"/>
        <v>4100</v>
      </c>
      <c r="F95" s="54">
        <f t="shared" si="17"/>
        <v>-3150</v>
      </c>
      <c r="G95" s="6"/>
      <c r="H95" s="6"/>
      <c r="I95" s="6"/>
      <c r="J95" s="6"/>
      <c r="K95" s="6"/>
      <c r="L95" s="6"/>
      <c r="M95" s="6"/>
    </row>
    <row r="96" spans="2:13" x14ac:dyDescent="0.3">
      <c r="B96" s="6"/>
      <c r="C96" s="6"/>
      <c r="D96" s="6"/>
      <c r="E96" s="6"/>
      <c r="F96" s="54">
        <f>SUM(F85:F95)</f>
        <v>-67500</v>
      </c>
      <c r="G96" s="6"/>
      <c r="H96" s="6"/>
      <c r="I96" s="6"/>
      <c r="J96" s="6"/>
      <c r="K96" s="6"/>
      <c r="L96" s="6"/>
      <c r="M96" s="6"/>
    </row>
    <row r="97" spans="2:13" x14ac:dyDescent="0.3">
      <c r="B97" s="6"/>
      <c r="C97" s="6"/>
      <c r="D97" s="6"/>
      <c r="E97" s="6"/>
      <c r="F97" s="6"/>
      <c r="G97" s="6"/>
      <c r="H97" s="6"/>
      <c r="I97" s="6"/>
      <c r="J97" s="6"/>
      <c r="K97" s="6"/>
      <c r="L97" s="6"/>
      <c r="M97" s="6"/>
    </row>
    <row r="98" spans="2:13" x14ac:dyDescent="0.3">
      <c r="B98" s="7" t="s">
        <v>448</v>
      </c>
      <c r="C98" s="6"/>
      <c r="D98" s="6"/>
      <c r="E98" s="6"/>
      <c r="F98" s="6"/>
      <c r="G98" s="6"/>
      <c r="H98" s="6"/>
      <c r="I98" s="6"/>
      <c r="J98" s="6"/>
      <c r="K98" s="6"/>
      <c r="L98" s="6"/>
      <c r="M98" s="6"/>
    </row>
    <row r="99" spans="2:13" x14ac:dyDescent="0.3">
      <c r="B99" s="6"/>
      <c r="C99" s="6"/>
      <c r="D99" s="6"/>
      <c r="E99" s="6"/>
      <c r="F99" s="6"/>
      <c r="G99" s="6"/>
      <c r="H99" s="6"/>
      <c r="I99" s="6"/>
      <c r="J99" s="6"/>
      <c r="K99" s="6"/>
      <c r="L99" s="6"/>
      <c r="M99" s="6"/>
    </row>
  </sheetData>
  <mergeCells count="2">
    <mergeCell ref="C65:E65"/>
    <mergeCell ref="F65:I6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97A45-99B4-414D-B869-37CF120AF574}">
  <sheetPr codeName="Sheet17">
    <tabColor theme="9" tint="0.59999389629810485"/>
  </sheetPr>
  <dimension ref="A1:H32"/>
  <sheetViews>
    <sheetView showGridLines="0" zoomScale="115" zoomScaleNormal="115" workbookViewId="0"/>
  </sheetViews>
  <sheetFormatPr defaultRowHeight="14.4" x14ac:dyDescent="0.3"/>
  <cols>
    <col min="1" max="1" width="12" customWidth="1"/>
    <col min="2" max="2" width="13" customWidth="1"/>
    <col min="3" max="8" width="12.88671875" customWidth="1"/>
    <col min="9" max="17" width="9.33203125" customWidth="1"/>
  </cols>
  <sheetData>
    <row r="1" spans="1:2" x14ac:dyDescent="0.3">
      <c r="A1" s="10" t="s">
        <v>464</v>
      </c>
    </row>
    <row r="3" spans="1:2" x14ac:dyDescent="0.3">
      <c r="A3" s="11" t="s">
        <v>1</v>
      </c>
    </row>
    <row r="4" spans="1:2" x14ac:dyDescent="0.3">
      <c r="A4" t="s">
        <v>465</v>
      </c>
    </row>
    <row r="6" spans="1:2" x14ac:dyDescent="0.3">
      <c r="A6" s="11" t="s">
        <v>2</v>
      </c>
    </row>
    <row r="7" spans="1:2" x14ac:dyDescent="0.3">
      <c r="A7" t="s">
        <v>111</v>
      </c>
      <c r="B7" t="s">
        <v>114</v>
      </c>
    </row>
    <row r="8" spans="1:2" x14ac:dyDescent="0.3">
      <c r="A8" t="s">
        <v>418</v>
      </c>
      <c r="B8" t="s">
        <v>419</v>
      </c>
    </row>
    <row r="10" spans="1:2" x14ac:dyDescent="0.3">
      <c r="A10" s="11" t="s">
        <v>3</v>
      </c>
    </row>
    <row r="11" spans="1:2" x14ac:dyDescent="0.3">
      <c r="A11">
        <v>1</v>
      </c>
      <c r="B11" t="s">
        <v>161</v>
      </c>
    </row>
    <row r="12" spans="1:2" x14ac:dyDescent="0.3">
      <c r="A12">
        <v>2</v>
      </c>
      <c r="B12" t="s">
        <v>561</v>
      </c>
    </row>
    <row r="14" spans="1:2" x14ac:dyDescent="0.3">
      <c r="A14" t="s">
        <v>568</v>
      </c>
    </row>
    <row r="16" spans="1:2" x14ac:dyDescent="0.3">
      <c r="A16" t="s">
        <v>468</v>
      </c>
    </row>
    <row r="17" spans="1:8" x14ac:dyDescent="0.3">
      <c r="B17" t="s">
        <v>466</v>
      </c>
    </row>
    <row r="18" spans="1:8" x14ac:dyDescent="0.3">
      <c r="B18" t="s">
        <v>467</v>
      </c>
    </row>
    <row r="20" spans="1:8" x14ac:dyDescent="0.3">
      <c r="A20" t="s">
        <v>469</v>
      </c>
    </row>
    <row r="22" spans="1:8" x14ac:dyDescent="0.3">
      <c r="A22" t="s">
        <v>470</v>
      </c>
    </row>
    <row r="24" spans="1:8" x14ac:dyDescent="0.3">
      <c r="C24" t="s">
        <v>475</v>
      </c>
      <c r="D24" t="s">
        <v>476</v>
      </c>
      <c r="E24" t="s">
        <v>477</v>
      </c>
      <c r="F24" t="s">
        <v>478</v>
      </c>
      <c r="G24" t="s">
        <v>479</v>
      </c>
      <c r="H24" t="s">
        <v>480</v>
      </c>
    </row>
    <row r="25" spans="1:8" x14ac:dyDescent="0.3">
      <c r="A25" t="s">
        <v>471</v>
      </c>
      <c r="C25" s="1">
        <v>208322</v>
      </c>
      <c r="D25" s="1">
        <v>362442</v>
      </c>
      <c r="E25" s="1">
        <v>335313</v>
      </c>
      <c r="F25" s="1">
        <v>157761</v>
      </c>
      <c r="G25" s="1">
        <v>54167</v>
      </c>
      <c r="H25" s="1">
        <v>0</v>
      </c>
    </row>
    <row r="26" spans="1:8" x14ac:dyDescent="0.3">
      <c r="A26" t="s">
        <v>472</v>
      </c>
      <c r="C26" s="1">
        <v>304871</v>
      </c>
      <c r="D26" s="1">
        <v>466226</v>
      </c>
      <c r="E26" s="1">
        <v>455512</v>
      </c>
      <c r="F26" s="1">
        <v>373386</v>
      </c>
      <c r="G26" s="1">
        <v>249270</v>
      </c>
      <c r="H26" s="1">
        <v>103046</v>
      </c>
    </row>
    <row r="27" spans="1:8" x14ac:dyDescent="0.3">
      <c r="A27" t="s">
        <v>473</v>
      </c>
      <c r="C27" s="1">
        <v>1348</v>
      </c>
      <c r="D27" s="1">
        <v>4372</v>
      </c>
      <c r="E27" s="1">
        <v>26980</v>
      </c>
      <c r="F27" s="1">
        <v>59835</v>
      </c>
      <c r="G27" s="1">
        <v>106756</v>
      </c>
      <c r="H27" s="1">
        <v>65560</v>
      </c>
    </row>
    <row r="28" spans="1:8" x14ac:dyDescent="0.3">
      <c r="A28" t="s">
        <v>474</v>
      </c>
      <c r="C28" s="1">
        <v>50717</v>
      </c>
      <c r="D28" s="1">
        <v>87638</v>
      </c>
      <c r="E28" s="1">
        <v>73814</v>
      </c>
      <c r="F28" s="1">
        <v>74840</v>
      </c>
      <c r="G28" s="1">
        <v>73826</v>
      </c>
      <c r="H28" s="1">
        <v>30753</v>
      </c>
    </row>
    <row r="30" spans="1:8" x14ac:dyDescent="0.3">
      <c r="A30" t="s">
        <v>481</v>
      </c>
    </row>
    <row r="31" spans="1:8" x14ac:dyDescent="0.3">
      <c r="B31" t="s">
        <v>482</v>
      </c>
    </row>
    <row r="32" spans="1:8" x14ac:dyDescent="0.3">
      <c r="B32" t="s">
        <v>483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DB29D-81D6-4913-B8D7-C1BC9D622DD3}">
  <sheetPr>
    <tabColor theme="1"/>
  </sheetPr>
  <dimension ref="A1:D11"/>
  <sheetViews>
    <sheetView showGridLines="0" zoomScale="115" zoomScaleNormal="115" workbookViewId="0"/>
  </sheetViews>
  <sheetFormatPr defaultRowHeight="14.4" x14ac:dyDescent="0.3"/>
  <cols>
    <col min="1" max="1" width="10.44140625" customWidth="1"/>
    <col min="2" max="2" width="11.109375" customWidth="1"/>
    <col min="3" max="3" width="90.5546875" customWidth="1"/>
  </cols>
  <sheetData>
    <row r="1" spans="1:4" ht="35.25" customHeight="1" x14ac:dyDescent="0.3">
      <c r="A1" s="66" t="s">
        <v>543</v>
      </c>
      <c r="B1" s="67" t="s">
        <v>2</v>
      </c>
      <c r="C1" s="66" t="s">
        <v>551</v>
      </c>
      <c r="D1" s="66" t="s">
        <v>552</v>
      </c>
    </row>
    <row r="2" spans="1:4" ht="42.75" customHeight="1" x14ac:dyDescent="0.3">
      <c r="A2" s="68">
        <v>1</v>
      </c>
      <c r="B2" s="69" t="s">
        <v>544</v>
      </c>
      <c r="C2" s="70" t="s">
        <v>4</v>
      </c>
      <c r="D2" s="71">
        <v>8</v>
      </c>
    </row>
    <row r="3" spans="1:4" ht="42.75" customHeight="1" x14ac:dyDescent="0.3">
      <c r="A3" s="68">
        <v>2</v>
      </c>
      <c r="B3" s="69" t="s">
        <v>545</v>
      </c>
      <c r="C3" s="70" t="s">
        <v>120</v>
      </c>
      <c r="D3" s="71">
        <v>7</v>
      </c>
    </row>
    <row r="4" spans="1:4" ht="42.75" customHeight="1" x14ac:dyDescent="0.3">
      <c r="A4" s="68">
        <v>3</v>
      </c>
      <c r="B4" s="69" t="s">
        <v>111</v>
      </c>
      <c r="C4" s="70" t="s">
        <v>160</v>
      </c>
      <c r="D4" s="71">
        <v>9</v>
      </c>
    </row>
    <row r="5" spans="1:4" ht="42.75" customHeight="1" x14ac:dyDescent="0.3">
      <c r="A5" s="68">
        <v>4</v>
      </c>
      <c r="B5" s="69" t="s">
        <v>165</v>
      </c>
      <c r="C5" s="70" t="s">
        <v>164</v>
      </c>
      <c r="D5" s="71">
        <v>6</v>
      </c>
    </row>
    <row r="6" spans="1:4" ht="42.75" customHeight="1" x14ac:dyDescent="0.3">
      <c r="A6" s="68">
        <v>5</v>
      </c>
      <c r="B6" s="69" t="s">
        <v>546</v>
      </c>
      <c r="C6" s="70" t="s">
        <v>210</v>
      </c>
      <c r="D6" s="71">
        <v>6</v>
      </c>
    </row>
    <row r="7" spans="1:4" ht="42.75" customHeight="1" x14ac:dyDescent="0.3">
      <c r="A7" s="68">
        <v>6</v>
      </c>
      <c r="B7" s="69" t="s">
        <v>547</v>
      </c>
      <c r="C7" s="70" t="s">
        <v>334</v>
      </c>
      <c r="D7" s="71">
        <v>6</v>
      </c>
    </row>
    <row r="8" spans="1:4" ht="42.75" customHeight="1" x14ac:dyDescent="0.3">
      <c r="A8" s="68">
        <v>7</v>
      </c>
      <c r="B8" s="69" t="s">
        <v>368</v>
      </c>
      <c r="C8" s="70" t="s">
        <v>367</v>
      </c>
      <c r="D8" s="71">
        <v>8</v>
      </c>
    </row>
    <row r="9" spans="1:4" ht="42.75" customHeight="1" x14ac:dyDescent="0.3">
      <c r="A9" s="68">
        <v>8</v>
      </c>
      <c r="B9" s="69" t="s">
        <v>548</v>
      </c>
      <c r="C9" s="70" t="s">
        <v>417</v>
      </c>
      <c r="D9" s="71">
        <v>8</v>
      </c>
    </row>
    <row r="10" spans="1:4" ht="42.75" customHeight="1" x14ac:dyDescent="0.3">
      <c r="A10" s="68">
        <v>9</v>
      </c>
      <c r="B10" s="69" t="s">
        <v>549</v>
      </c>
      <c r="C10" s="70" t="s">
        <v>465</v>
      </c>
      <c r="D10" s="71">
        <v>7</v>
      </c>
    </row>
    <row r="11" spans="1:4" ht="42.75" customHeight="1" x14ac:dyDescent="0.3">
      <c r="A11" s="68">
        <v>10</v>
      </c>
      <c r="B11" s="69" t="s">
        <v>550</v>
      </c>
      <c r="C11" s="70" t="s">
        <v>505</v>
      </c>
      <c r="D11" s="71">
        <v>10</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440D7-F154-474D-9917-54BFC2734C97}">
  <sheetPr codeName="Sheet18">
    <tabColor theme="5" tint="0.39997558519241921"/>
  </sheetPr>
  <dimension ref="A1:P59"/>
  <sheetViews>
    <sheetView showGridLines="0" zoomScale="115" zoomScaleNormal="115" workbookViewId="0"/>
  </sheetViews>
  <sheetFormatPr defaultRowHeight="14.4" x14ac:dyDescent="0.3"/>
  <cols>
    <col min="1" max="1" width="12" customWidth="1"/>
    <col min="2" max="2" width="13" customWidth="1"/>
    <col min="3" max="8" width="12.88671875" customWidth="1"/>
    <col min="9" max="17" width="9.33203125" customWidth="1"/>
  </cols>
  <sheetData>
    <row r="1" spans="1:2" x14ac:dyDescent="0.3">
      <c r="A1" s="10" t="s">
        <v>464</v>
      </c>
    </row>
    <row r="3" spans="1:2" x14ac:dyDescent="0.3">
      <c r="A3" s="11" t="s">
        <v>1</v>
      </c>
    </row>
    <row r="4" spans="1:2" x14ac:dyDescent="0.3">
      <c r="A4" t="s">
        <v>465</v>
      </c>
    </row>
    <row r="6" spans="1:2" x14ac:dyDescent="0.3">
      <c r="A6" s="11" t="s">
        <v>2</v>
      </c>
    </row>
    <row r="7" spans="1:2" x14ac:dyDescent="0.3">
      <c r="A7" t="s">
        <v>111</v>
      </c>
      <c r="B7" t="s">
        <v>114</v>
      </c>
    </row>
    <row r="8" spans="1:2" x14ac:dyDescent="0.3">
      <c r="A8" t="s">
        <v>418</v>
      </c>
      <c r="B8" t="s">
        <v>419</v>
      </c>
    </row>
    <row r="10" spans="1:2" x14ac:dyDescent="0.3">
      <c r="A10" s="11" t="s">
        <v>3</v>
      </c>
    </row>
    <row r="11" spans="1:2" x14ac:dyDescent="0.3">
      <c r="A11">
        <v>1</v>
      </c>
      <c r="B11" t="s">
        <v>161</v>
      </c>
    </row>
    <row r="12" spans="1:2" x14ac:dyDescent="0.3">
      <c r="A12">
        <v>2</v>
      </c>
      <c r="B12" t="s">
        <v>561</v>
      </c>
    </row>
    <row r="14" spans="1:2" x14ac:dyDescent="0.3">
      <c r="A14" t="s">
        <v>568</v>
      </c>
    </row>
    <row r="16" spans="1:2" x14ac:dyDescent="0.3">
      <c r="A16" t="s">
        <v>468</v>
      </c>
    </row>
    <row r="17" spans="1:13" x14ac:dyDescent="0.3">
      <c r="B17" t="s">
        <v>500</v>
      </c>
    </row>
    <row r="18" spans="1:13" x14ac:dyDescent="0.3">
      <c r="B18" t="s">
        <v>467</v>
      </c>
    </row>
    <row r="20" spans="1:13" x14ac:dyDescent="0.3">
      <c r="A20" t="s">
        <v>469</v>
      </c>
    </row>
    <row r="21" spans="1:13" x14ac:dyDescent="0.3">
      <c r="A21" s="6" t="s">
        <v>492</v>
      </c>
      <c r="B21" s="6"/>
      <c r="C21" s="6"/>
      <c r="D21" s="6"/>
      <c r="E21" s="6"/>
      <c r="F21" s="6"/>
      <c r="G21" s="6"/>
      <c r="H21" s="6"/>
      <c r="I21" s="6"/>
      <c r="J21" s="6"/>
      <c r="K21" s="6"/>
      <c r="L21" s="6"/>
      <c r="M21" s="6"/>
    </row>
    <row r="22" spans="1:13" x14ac:dyDescent="0.3">
      <c r="A22" s="6" t="s">
        <v>501</v>
      </c>
      <c r="B22" s="6"/>
      <c r="C22" s="6"/>
      <c r="D22" s="6"/>
      <c r="E22" s="6"/>
      <c r="F22" s="6"/>
      <c r="G22" s="6"/>
      <c r="H22" s="6"/>
      <c r="I22" s="6"/>
      <c r="J22" s="6"/>
      <c r="K22" s="6"/>
      <c r="L22" s="6"/>
      <c r="M22" s="6"/>
    </row>
    <row r="23" spans="1:13" x14ac:dyDescent="0.3">
      <c r="A23" s="6" t="s">
        <v>493</v>
      </c>
      <c r="B23" s="6"/>
      <c r="C23" s="6"/>
      <c r="D23" s="6"/>
      <c r="E23" s="6"/>
      <c r="F23" s="6"/>
      <c r="G23" s="6"/>
      <c r="H23" s="6"/>
      <c r="I23" s="6"/>
      <c r="J23" s="6"/>
      <c r="K23" s="6"/>
      <c r="L23" s="6"/>
      <c r="M23" s="6"/>
    </row>
    <row r="24" spans="1:13" x14ac:dyDescent="0.3">
      <c r="A24" s="6" t="s">
        <v>497</v>
      </c>
      <c r="B24" s="6"/>
      <c r="C24" s="6"/>
      <c r="D24" s="6"/>
      <c r="E24" s="6"/>
      <c r="F24" s="6"/>
      <c r="G24" s="6"/>
      <c r="H24" s="6"/>
      <c r="I24" s="6"/>
      <c r="J24" s="6"/>
      <c r="K24" s="6"/>
      <c r="L24" s="6"/>
      <c r="M24" s="6"/>
    </row>
    <row r="25" spans="1:13" x14ac:dyDescent="0.3">
      <c r="A25" s="6" t="s">
        <v>496</v>
      </c>
      <c r="B25" s="6"/>
      <c r="C25" s="6"/>
      <c r="D25" s="6"/>
      <c r="E25" s="6"/>
      <c r="F25" s="6"/>
      <c r="G25" s="6"/>
      <c r="H25" s="6"/>
      <c r="I25" s="6"/>
      <c r="J25" s="6"/>
      <c r="K25" s="6"/>
      <c r="L25" s="6"/>
      <c r="M25" s="6"/>
    </row>
    <row r="26" spans="1:13" x14ac:dyDescent="0.3">
      <c r="A26" s="6" t="s">
        <v>494</v>
      </c>
      <c r="B26" s="6"/>
      <c r="C26" s="6"/>
      <c r="D26" s="6"/>
      <c r="E26" s="6"/>
      <c r="F26" s="6"/>
      <c r="G26" s="6"/>
      <c r="H26" s="6"/>
      <c r="I26" s="6"/>
      <c r="J26" s="6"/>
      <c r="K26" s="6"/>
      <c r="L26" s="6"/>
      <c r="M26" s="6"/>
    </row>
    <row r="27" spans="1:13" x14ac:dyDescent="0.3">
      <c r="A27" s="6" t="s">
        <v>495</v>
      </c>
      <c r="B27" s="6"/>
      <c r="C27" s="6"/>
      <c r="D27" s="6"/>
      <c r="E27" s="6"/>
      <c r="F27" s="6"/>
      <c r="G27" s="6"/>
      <c r="H27" s="6"/>
      <c r="I27" s="6"/>
      <c r="J27" s="6"/>
      <c r="K27" s="6"/>
      <c r="L27" s="6"/>
      <c r="M27" s="6"/>
    </row>
    <row r="28" spans="1:13" x14ac:dyDescent="0.3">
      <c r="A28" s="6" t="s">
        <v>498</v>
      </c>
      <c r="B28" s="6"/>
      <c r="C28" s="6"/>
      <c r="D28" s="6"/>
      <c r="E28" s="6"/>
      <c r="F28" s="6"/>
      <c r="G28" s="6"/>
      <c r="H28" s="6"/>
      <c r="I28" s="6"/>
      <c r="J28" s="6"/>
      <c r="K28" s="6"/>
      <c r="L28" s="6"/>
      <c r="M28" s="6"/>
    </row>
    <row r="29" spans="1:13" x14ac:dyDescent="0.3">
      <c r="A29" s="7" t="s">
        <v>499</v>
      </c>
      <c r="B29" s="6"/>
      <c r="C29" s="6"/>
      <c r="D29" s="6"/>
      <c r="E29" s="6"/>
      <c r="F29" s="6"/>
      <c r="G29" s="6"/>
      <c r="H29" s="6"/>
      <c r="I29" s="6"/>
      <c r="J29" s="6"/>
      <c r="K29" s="6"/>
      <c r="L29" s="6"/>
      <c r="M29" s="6"/>
    </row>
    <row r="31" spans="1:13" x14ac:dyDescent="0.3">
      <c r="A31" t="s">
        <v>470</v>
      </c>
    </row>
    <row r="33" spans="1:16" x14ac:dyDescent="0.3">
      <c r="C33" t="s">
        <v>475</v>
      </c>
      <c r="D33" t="s">
        <v>476</v>
      </c>
      <c r="E33" t="s">
        <v>477</v>
      </c>
      <c r="F33" t="s">
        <v>478</v>
      </c>
      <c r="G33" t="s">
        <v>479</v>
      </c>
      <c r="H33" t="s">
        <v>480</v>
      </c>
    </row>
    <row r="34" spans="1:16" x14ac:dyDescent="0.3">
      <c r="A34" t="s">
        <v>471</v>
      </c>
      <c r="C34" s="1">
        <v>208322</v>
      </c>
      <c r="D34" s="1">
        <v>362442</v>
      </c>
      <c r="E34" s="1">
        <v>335313</v>
      </c>
      <c r="F34" s="1">
        <v>157761</v>
      </c>
      <c r="G34" s="1">
        <v>54167</v>
      </c>
      <c r="H34" s="1">
        <v>0</v>
      </c>
    </row>
    <row r="35" spans="1:16" x14ac:dyDescent="0.3">
      <c r="A35" t="s">
        <v>472</v>
      </c>
      <c r="C35" s="1">
        <v>304871</v>
      </c>
      <c r="D35" s="1">
        <v>466226</v>
      </c>
      <c r="E35" s="1">
        <v>455512</v>
      </c>
      <c r="F35" s="1">
        <v>373386</v>
      </c>
      <c r="G35" s="1">
        <v>249270</v>
      </c>
      <c r="H35" s="1">
        <v>103046</v>
      </c>
    </row>
    <row r="36" spans="1:16" x14ac:dyDescent="0.3">
      <c r="A36" t="s">
        <v>473</v>
      </c>
      <c r="C36" s="1">
        <v>1348</v>
      </c>
      <c r="D36" s="1">
        <v>4372</v>
      </c>
      <c r="E36" s="1">
        <v>26980</v>
      </c>
      <c r="F36" s="1">
        <v>59835</v>
      </c>
      <c r="G36" s="1">
        <v>106756</v>
      </c>
      <c r="H36" s="1">
        <v>65560</v>
      </c>
    </row>
    <row r="37" spans="1:16" x14ac:dyDescent="0.3">
      <c r="A37" t="s">
        <v>474</v>
      </c>
      <c r="C37" s="1">
        <v>50717</v>
      </c>
      <c r="D37" s="1">
        <v>87638</v>
      </c>
      <c r="E37" s="1">
        <v>73814</v>
      </c>
      <c r="F37" s="1">
        <v>74840</v>
      </c>
      <c r="G37" s="1">
        <v>73826</v>
      </c>
      <c r="H37" s="1">
        <v>30753</v>
      </c>
    </row>
    <row r="39" spans="1:16" x14ac:dyDescent="0.3">
      <c r="A39" t="s">
        <v>481</v>
      </c>
    </row>
    <row r="40" spans="1:16" x14ac:dyDescent="0.3">
      <c r="B40" t="s">
        <v>482</v>
      </c>
    </row>
    <row r="42" spans="1:16" x14ac:dyDescent="0.3">
      <c r="A42" s="6"/>
      <c r="B42" s="6"/>
      <c r="C42" s="6" t="s">
        <v>475</v>
      </c>
      <c r="D42" s="6" t="s">
        <v>476</v>
      </c>
      <c r="E42" s="6" t="s">
        <v>477</v>
      </c>
      <c r="F42" s="6" t="s">
        <v>478</v>
      </c>
      <c r="G42" s="6" t="s">
        <v>479</v>
      </c>
      <c r="H42" s="6" t="s">
        <v>480</v>
      </c>
      <c r="I42" s="6"/>
      <c r="J42" s="6"/>
      <c r="K42" s="6"/>
      <c r="L42" s="6"/>
      <c r="M42" s="6"/>
      <c r="N42" s="6"/>
      <c r="O42" s="6"/>
      <c r="P42" s="6"/>
    </row>
    <row r="43" spans="1:16" x14ac:dyDescent="0.3">
      <c r="A43" s="6" t="s">
        <v>471</v>
      </c>
      <c r="B43" s="6"/>
      <c r="C43" s="46">
        <v>208322</v>
      </c>
      <c r="D43" s="46">
        <v>362442</v>
      </c>
      <c r="E43" s="46">
        <v>335313</v>
      </c>
      <c r="F43" s="46">
        <v>157761</v>
      </c>
      <c r="G43" s="46">
        <v>54167</v>
      </c>
      <c r="H43" s="46">
        <v>0</v>
      </c>
      <c r="I43" s="6"/>
      <c r="J43" s="6"/>
      <c r="K43" s="6"/>
      <c r="L43" s="6"/>
      <c r="M43" s="6"/>
      <c r="N43" s="6"/>
      <c r="O43" s="6"/>
      <c r="P43" s="6"/>
    </row>
    <row r="44" spans="1:16" x14ac:dyDescent="0.3">
      <c r="A44" s="6" t="s">
        <v>472</v>
      </c>
      <c r="B44" s="6"/>
      <c r="C44" s="46">
        <v>304871</v>
      </c>
      <c r="D44" s="46">
        <v>466226</v>
      </c>
      <c r="E44" s="46">
        <v>455512</v>
      </c>
      <c r="F44" s="46">
        <v>373386</v>
      </c>
      <c r="G44" s="46">
        <v>249270</v>
      </c>
      <c r="H44" s="46">
        <v>103046</v>
      </c>
      <c r="I44" s="6"/>
      <c r="J44" s="6"/>
      <c r="K44" s="6"/>
      <c r="L44" s="6"/>
      <c r="M44" s="6"/>
      <c r="N44" s="6"/>
      <c r="O44" s="6"/>
      <c r="P44" s="6"/>
    </row>
    <row r="45" spans="1:16" x14ac:dyDescent="0.3">
      <c r="A45" s="6" t="s">
        <v>473</v>
      </c>
      <c r="B45" s="6"/>
      <c r="C45" s="46">
        <v>1348</v>
      </c>
      <c r="D45" s="46">
        <v>4372</v>
      </c>
      <c r="E45" s="46">
        <v>26980</v>
      </c>
      <c r="F45" s="46">
        <v>59835</v>
      </c>
      <c r="G45" s="46">
        <v>106756</v>
      </c>
      <c r="H45" s="46">
        <v>65560</v>
      </c>
      <c r="I45" s="6"/>
      <c r="J45" s="6"/>
      <c r="K45" s="6"/>
      <c r="L45" s="6"/>
      <c r="M45" s="6"/>
      <c r="N45" s="6"/>
      <c r="O45" s="6"/>
      <c r="P45" s="6"/>
    </row>
    <row r="46" spans="1:16" x14ac:dyDescent="0.3">
      <c r="A46" s="6" t="s">
        <v>484</v>
      </c>
      <c r="B46" s="6"/>
      <c r="C46" s="48">
        <f>+C43+C45</f>
        <v>209670</v>
      </c>
      <c r="D46" s="48">
        <f t="shared" ref="D46:H46" si="0">+D43+D45</f>
        <v>366814</v>
      </c>
      <c r="E46" s="48">
        <f t="shared" si="0"/>
        <v>362293</v>
      </c>
      <c r="F46" s="48">
        <f t="shared" si="0"/>
        <v>217596</v>
      </c>
      <c r="G46" s="48">
        <f t="shared" si="0"/>
        <v>160923</v>
      </c>
      <c r="H46" s="48">
        <f t="shared" si="0"/>
        <v>65560</v>
      </c>
      <c r="I46" s="7" t="s">
        <v>486</v>
      </c>
      <c r="J46" s="6"/>
      <c r="K46" s="6"/>
      <c r="L46" s="6"/>
      <c r="M46" s="6"/>
      <c r="N46" s="6"/>
      <c r="O46" s="6"/>
      <c r="P46" s="6"/>
    </row>
    <row r="47" spans="1:16" x14ac:dyDescent="0.3">
      <c r="A47" s="6" t="s">
        <v>485</v>
      </c>
      <c r="B47" s="6"/>
      <c r="C47" s="48">
        <f>+C44-C46</f>
        <v>95201</v>
      </c>
      <c r="D47" s="48">
        <f t="shared" ref="D47:H47" si="1">+D44-D46</f>
        <v>99412</v>
      </c>
      <c r="E47" s="48">
        <f t="shared" si="1"/>
        <v>93219</v>
      </c>
      <c r="F47" s="48">
        <f t="shared" si="1"/>
        <v>155790</v>
      </c>
      <c r="G47" s="48">
        <f t="shared" si="1"/>
        <v>88347</v>
      </c>
      <c r="H47" s="48">
        <f t="shared" si="1"/>
        <v>37486</v>
      </c>
      <c r="I47" s="7" t="s">
        <v>487</v>
      </c>
      <c r="J47" s="6"/>
      <c r="K47" s="6"/>
      <c r="L47" s="6"/>
      <c r="M47" s="6"/>
      <c r="N47" s="6"/>
      <c r="O47" s="6"/>
      <c r="P47" s="6"/>
    </row>
    <row r="48" spans="1:16" x14ac:dyDescent="0.3">
      <c r="A48" s="7" t="s">
        <v>488</v>
      </c>
      <c r="B48" s="6"/>
      <c r="C48" s="6"/>
      <c r="D48" s="6"/>
      <c r="E48" s="6"/>
      <c r="F48" s="6"/>
      <c r="G48" s="6"/>
      <c r="H48" s="6"/>
      <c r="I48" s="6"/>
      <c r="J48" s="6"/>
      <c r="K48" s="6"/>
      <c r="L48" s="6"/>
      <c r="M48" s="6"/>
      <c r="N48" s="6"/>
      <c r="O48" s="6"/>
      <c r="P48" s="6"/>
    </row>
    <row r="50" spans="1:16" x14ac:dyDescent="0.3">
      <c r="B50" t="s">
        <v>483</v>
      </c>
    </row>
    <row r="52" spans="1:16" x14ac:dyDescent="0.3">
      <c r="A52" s="6"/>
      <c r="B52" s="6"/>
      <c r="C52" s="6" t="s">
        <v>475</v>
      </c>
      <c r="D52" s="6" t="s">
        <v>476</v>
      </c>
      <c r="E52" s="6" t="s">
        <v>477</v>
      </c>
      <c r="F52" s="6" t="s">
        <v>478</v>
      </c>
      <c r="G52" s="6" t="s">
        <v>479</v>
      </c>
      <c r="H52" s="6" t="s">
        <v>480</v>
      </c>
      <c r="I52" s="6"/>
      <c r="J52" s="6"/>
      <c r="K52" s="6"/>
      <c r="L52" s="6"/>
      <c r="M52" s="6"/>
      <c r="N52" s="6"/>
      <c r="O52" s="6"/>
      <c r="P52" s="6"/>
    </row>
    <row r="53" spans="1:16" x14ac:dyDescent="0.3">
      <c r="A53" s="6" t="s">
        <v>471</v>
      </c>
      <c r="B53" s="6"/>
      <c r="C53" s="46">
        <v>208322</v>
      </c>
      <c r="D53" s="46">
        <v>362442</v>
      </c>
      <c r="E53" s="46">
        <v>335313</v>
      </c>
      <c r="F53" s="46">
        <v>157761</v>
      </c>
      <c r="G53" s="46">
        <v>54167</v>
      </c>
      <c r="H53" s="46">
        <v>0</v>
      </c>
      <c r="I53" s="6"/>
      <c r="J53" s="6"/>
      <c r="K53" s="6"/>
      <c r="L53" s="6"/>
      <c r="M53" s="6"/>
      <c r="N53" s="6"/>
      <c r="O53" s="6"/>
      <c r="P53" s="6"/>
    </row>
    <row r="54" spans="1:16" x14ac:dyDescent="0.3">
      <c r="A54" s="6" t="s">
        <v>472</v>
      </c>
      <c r="B54" s="6"/>
      <c r="C54" s="46">
        <v>304871</v>
      </c>
      <c r="D54" s="46">
        <v>466226</v>
      </c>
      <c r="E54" s="46">
        <v>455512</v>
      </c>
      <c r="F54" s="46">
        <v>373386</v>
      </c>
      <c r="G54" s="46">
        <v>249270</v>
      </c>
      <c r="H54" s="46">
        <v>103046</v>
      </c>
      <c r="I54" s="6"/>
      <c r="J54" s="6"/>
      <c r="K54" s="6"/>
      <c r="L54" s="6"/>
      <c r="M54" s="6"/>
      <c r="N54" s="6"/>
      <c r="O54" s="6"/>
      <c r="P54" s="6"/>
    </row>
    <row r="55" spans="1:16" x14ac:dyDescent="0.3">
      <c r="A55" s="6" t="s">
        <v>474</v>
      </c>
      <c r="B55" s="6"/>
      <c r="C55" s="46">
        <f>+C37</f>
        <v>50717</v>
      </c>
      <c r="D55" s="46">
        <f t="shared" ref="D55:H55" si="2">+D37</f>
        <v>87638</v>
      </c>
      <c r="E55" s="46">
        <f t="shared" si="2"/>
        <v>73814</v>
      </c>
      <c r="F55" s="46">
        <f t="shared" si="2"/>
        <v>74840</v>
      </c>
      <c r="G55" s="46">
        <f t="shared" si="2"/>
        <v>73826</v>
      </c>
      <c r="H55" s="46">
        <f t="shared" si="2"/>
        <v>30753</v>
      </c>
      <c r="I55" s="6"/>
      <c r="J55" s="6"/>
      <c r="K55" s="6"/>
      <c r="L55" s="6"/>
      <c r="M55" s="6"/>
      <c r="N55" s="6"/>
      <c r="O55" s="6"/>
      <c r="P55" s="6"/>
    </row>
    <row r="56" spans="1:16" x14ac:dyDescent="0.3">
      <c r="A56" s="6" t="s">
        <v>484</v>
      </c>
      <c r="B56" s="6"/>
      <c r="C56" s="48">
        <f>+C53+C55</f>
        <v>259039</v>
      </c>
      <c r="D56" s="48">
        <f t="shared" ref="D56" si="3">+D53+D55</f>
        <v>450080</v>
      </c>
      <c r="E56" s="48">
        <f t="shared" ref="E56" si="4">+E53+E55</f>
        <v>409127</v>
      </c>
      <c r="F56" s="48">
        <f t="shared" ref="F56" si="5">+F53+F55</f>
        <v>232601</v>
      </c>
      <c r="G56" s="48">
        <f t="shared" ref="G56" si="6">+G53+G55</f>
        <v>127993</v>
      </c>
      <c r="H56" s="48">
        <f t="shared" ref="H56" si="7">+H53+H55</f>
        <v>30753</v>
      </c>
      <c r="I56" s="7" t="s">
        <v>489</v>
      </c>
      <c r="J56" s="6"/>
      <c r="K56" s="6"/>
      <c r="L56" s="6"/>
      <c r="M56" s="6"/>
      <c r="N56" s="6"/>
      <c r="O56" s="6"/>
      <c r="P56" s="6"/>
    </row>
    <row r="57" spans="1:16" x14ac:dyDescent="0.3">
      <c r="A57" s="6" t="s">
        <v>485</v>
      </c>
      <c r="B57" s="6"/>
      <c r="C57" s="48">
        <f>+C54-C56</f>
        <v>45832</v>
      </c>
      <c r="D57" s="48">
        <f t="shared" ref="D57" si="8">+D54-D56</f>
        <v>16146</v>
      </c>
      <c r="E57" s="48">
        <f t="shared" ref="E57" si="9">+E54-E56</f>
        <v>46385</v>
      </c>
      <c r="F57" s="48">
        <f t="shared" ref="F57" si="10">+F54-F56</f>
        <v>140785</v>
      </c>
      <c r="G57" s="48">
        <f t="shared" ref="G57" si="11">+G54-G56</f>
        <v>121277</v>
      </c>
      <c r="H57" s="48">
        <f t="shared" ref="H57" si="12">+H54-H56</f>
        <v>72293</v>
      </c>
      <c r="I57" s="7" t="s">
        <v>487</v>
      </c>
      <c r="J57" s="6"/>
      <c r="K57" s="6"/>
      <c r="L57" s="6"/>
      <c r="M57" s="6"/>
      <c r="N57" s="6"/>
      <c r="O57" s="6"/>
      <c r="P57" s="6"/>
    </row>
    <row r="58" spans="1:16" x14ac:dyDescent="0.3">
      <c r="A58" s="7" t="s">
        <v>490</v>
      </c>
      <c r="B58" s="6"/>
      <c r="C58" s="6"/>
      <c r="D58" s="6"/>
      <c r="E58" s="6"/>
      <c r="F58" s="6"/>
      <c r="G58" s="6"/>
      <c r="H58" s="6"/>
      <c r="I58" s="6"/>
      <c r="J58" s="6"/>
      <c r="K58" s="6"/>
      <c r="L58" s="6"/>
      <c r="M58" s="6"/>
      <c r="N58" s="6"/>
      <c r="O58" s="6"/>
      <c r="P58" s="6"/>
    </row>
    <row r="59" spans="1:16" x14ac:dyDescent="0.3">
      <c r="A59" s="7" t="s">
        <v>491</v>
      </c>
      <c r="B59" s="6"/>
      <c r="C59" s="6"/>
      <c r="D59" s="6"/>
      <c r="E59" s="6"/>
      <c r="F59" s="6"/>
      <c r="G59" s="6"/>
      <c r="H59" s="6"/>
      <c r="I59" s="6"/>
      <c r="J59" s="6"/>
      <c r="K59" s="6"/>
      <c r="L59" s="6"/>
      <c r="M59" s="6"/>
      <c r="N59" s="6"/>
      <c r="O59" s="6"/>
      <c r="P59" s="6"/>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C68E5-A637-4837-A7FD-381EAC14C8A4}">
  <sheetPr codeName="Sheet19">
    <tabColor theme="9" tint="0.59999389629810485"/>
  </sheetPr>
  <dimension ref="A1:B23"/>
  <sheetViews>
    <sheetView showGridLines="0" zoomScale="115" zoomScaleNormal="115" workbookViewId="0"/>
  </sheetViews>
  <sheetFormatPr defaultRowHeight="14.4" x14ac:dyDescent="0.3"/>
  <cols>
    <col min="1" max="1" width="12" customWidth="1"/>
    <col min="2" max="2" width="13" customWidth="1"/>
    <col min="3" max="8" width="12.88671875" customWidth="1"/>
    <col min="9" max="17" width="9.33203125" customWidth="1"/>
  </cols>
  <sheetData>
    <row r="1" spans="1:2" x14ac:dyDescent="0.3">
      <c r="A1" s="10" t="s">
        <v>502</v>
      </c>
    </row>
    <row r="3" spans="1:2" x14ac:dyDescent="0.3">
      <c r="A3" s="11" t="s">
        <v>1</v>
      </c>
    </row>
    <row r="4" spans="1:2" x14ac:dyDescent="0.3">
      <c r="A4" t="s">
        <v>505</v>
      </c>
    </row>
    <row r="6" spans="1:2" x14ac:dyDescent="0.3">
      <c r="A6" s="11" t="s">
        <v>2</v>
      </c>
    </row>
    <row r="7" spans="1:2" x14ac:dyDescent="0.3">
      <c r="A7" t="s">
        <v>503</v>
      </c>
      <c r="B7" t="s">
        <v>504</v>
      </c>
    </row>
    <row r="8" spans="1:2" x14ac:dyDescent="0.3">
      <c r="A8" t="s">
        <v>6</v>
      </c>
      <c r="B8" t="s">
        <v>10</v>
      </c>
    </row>
    <row r="10" spans="1:2" x14ac:dyDescent="0.3">
      <c r="A10" s="11" t="s">
        <v>3</v>
      </c>
    </row>
    <row r="11" spans="1:2" x14ac:dyDescent="0.3">
      <c r="A11">
        <v>1</v>
      </c>
      <c r="B11" t="s">
        <v>556</v>
      </c>
    </row>
    <row r="12" spans="1:2" x14ac:dyDescent="0.3">
      <c r="A12">
        <v>2</v>
      </c>
      <c r="B12" t="s">
        <v>557</v>
      </c>
    </row>
    <row r="13" spans="1:2" x14ac:dyDescent="0.3">
      <c r="A13">
        <v>3</v>
      </c>
      <c r="B13" t="s">
        <v>558</v>
      </c>
    </row>
    <row r="14" spans="1:2" x14ac:dyDescent="0.3">
      <c r="A14">
        <v>4</v>
      </c>
      <c r="B14" t="s">
        <v>559</v>
      </c>
    </row>
    <row r="15" spans="1:2" x14ac:dyDescent="0.3">
      <c r="A15">
        <v>5</v>
      </c>
      <c r="B15" t="s">
        <v>560</v>
      </c>
    </row>
    <row r="17" spans="1:1" x14ac:dyDescent="0.3">
      <c r="A17" t="s">
        <v>569</v>
      </c>
    </row>
    <row r="19" spans="1:1" x14ac:dyDescent="0.3">
      <c r="A19" t="s">
        <v>506</v>
      </c>
    </row>
    <row r="21" spans="1:1" x14ac:dyDescent="0.3">
      <c r="A21" t="s">
        <v>507</v>
      </c>
    </row>
    <row r="23" spans="1:1" x14ac:dyDescent="0.3">
      <c r="A23" t="s">
        <v>508</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806EA-C650-4822-90CA-905FB5945C42}">
  <sheetPr codeName="Sheet20">
    <tabColor theme="5" tint="0.39997558519241921"/>
  </sheetPr>
  <dimension ref="A1:R60"/>
  <sheetViews>
    <sheetView showGridLines="0" zoomScale="115" zoomScaleNormal="115" workbookViewId="0"/>
  </sheetViews>
  <sheetFormatPr defaultRowHeight="14.4" x14ac:dyDescent="0.3"/>
  <cols>
    <col min="1" max="1" width="12" customWidth="1"/>
    <col min="2" max="2" width="13" customWidth="1"/>
    <col min="3" max="8" width="12.88671875" customWidth="1"/>
    <col min="9" max="17" width="9.33203125" customWidth="1"/>
  </cols>
  <sheetData>
    <row r="1" spans="1:2" x14ac:dyDescent="0.3">
      <c r="A1" s="10" t="s">
        <v>502</v>
      </c>
    </row>
    <row r="3" spans="1:2" x14ac:dyDescent="0.3">
      <c r="A3" s="11" t="s">
        <v>1</v>
      </c>
    </row>
    <row r="4" spans="1:2" x14ac:dyDescent="0.3">
      <c r="A4" t="s">
        <v>505</v>
      </c>
    </row>
    <row r="6" spans="1:2" x14ac:dyDescent="0.3">
      <c r="A6" s="11" t="s">
        <v>2</v>
      </c>
    </row>
    <row r="7" spans="1:2" x14ac:dyDescent="0.3">
      <c r="A7" t="s">
        <v>503</v>
      </c>
      <c r="B7" t="s">
        <v>504</v>
      </c>
    </row>
    <row r="8" spans="1:2" x14ac:dyDescent="0.3">
      <c r="A8" t="s">
        <v>6</v>
      </c>
      <c r="B8" t="s">
        <v>10</v>
      </c>
    </row>
    <row r="10" spans="1:2" x14ac:dyDescent="0.3">
      <c r="A10" s="11" t="s">
        <v>3</v>
      </c>
    </row>
    <row r="11" spans="1:2" x14ac:dyDescent="0.3">
      <c r="A11">
        <v>1</v>
      </c>
      <c r="B11" t="s">
        <v>556</v>
      </c>
    </row>
    <row r="12" spans="1:2" x14ac:dyDescent="0.3">
      <c r="A12">
        <v>2</v>
      </c>
      <c r="B12" t="s">
        <v>557</v>
      </c>
    </row>
    <row r="13" spans="1:2" x14ac:dyDescent="0.3">
      <c r="A13">
        <v>3</v>
      </c>
      <c r="B13" t="s">
        <v>558</v>
      </c>
    </row>
    <row r="14" spans="1:2" x14ac:dyDescent="0.3">
      <c r="A14">
        <v>4</v>
      </c>
      <c r="B14" t="s">
        <v>559</v>
      </c>
    </row>
    <row r="15" spans="1:2" x14ac:dyDescent="0.3">
      <c r="A15">
        <v>5</v>
      </c>
      <c r="B15" t="s">
        <v>560</v>
      </c>
    </row>
    <row r="17" spans="1:18" x14ac:dyDescent="0.3">
      <c r="A17" t="s">
        <v>569</v>
      </c>
    </row>
    <row r="19" spans="1:18" x14ac:dyDescent="0.3">
      <c r="A19" t="s">
        <v>506</v>
      </c>
    </row>
    <row r="21" spans="1:18" x14ac:dyDescent="0.3">
      <c r="B21" s="7" t="s">
        <v>509</v>
      </c>
      <c r="C21" s="6"/>
      <c r="D21" s="6"/>
      <c r="E21" s="6"/>
      <c r="F21" s="6"/>
      <c r="G21" s="6"/>
      <c r="H21" s="6"/>
      <c r="I21" s="6"/>
      <c r="J21" s="6"/>
      <c r="K21" s="6"/>
      <c r="L21" s="6"/>
      <c r="M21" s="6"/>
      <c r="N21" s="6"/>
      <c r="O21" s="6"/>
      <c r="P21" s="6"/>
      <c r="Q21" s="6"/>
      <c r="R21" s="6"/>
    </row>
    <row r="22" spans="1:18" x14ac:dyDescent="0.3">
      <c r="B22" s="6" t="s">
        <v>510</v>
      </c>
      <c r="C22" s="6"/>
      <c r="D22" s="6"/>
      <c r="E22" s="6"/>
      <c r="F22" s="6"/>
      <c r="G22" s="6"/>
      <c r="H22" s="6"/>
      <c r="I22" s="6"/>
      <c r="J22" s="6"/>
      <c r="K22" s="6"/>
      <c r="L22" s="6"/>
      <c r="M22" s="6"/>
      <c r="N22" s="6"/>
      <c r="O22" s="6"/>
      <c r="P22" s="6"/>
      <c r="Q22" s="6"/>
      <c r="R22" s="6" t="s">
        <v>512</v>
      </c>
    </row>
    <row r="23" spans="1:18" x14ac:dyDescent="0.3">
      <c r="B23" s="6" t="s">
        <v>511</v>
      </c>
      <c r="C23" s="6"/>
      <c r="D23" s="6"/>
      <c r="E23" s="6"/>
      <c r="F23" s="6"/>
      <c r="G23" s="6"/>
      <c r="H23" s="6"/>
      <c r="I23" s="6"/>
      <c r="J23" s="6"/>
      <c r="K23" s="6"/>
      <c r="L23" s="6"/>
      <c r="M23" s="6"/>
      <c r="N23" s="6"/>
      <c r="O23" s="6"/>
      <c r="P23" s="6"/>
      <c r="Q23" s="6"/>
      <c r="R23" s="6" t="s">
        <v>512</v>
      </c>
    </row>
    <row r="24" spans="1:18" x14ac:dyDescent="0.3">
      <c r="B24" s="6" t="s">
        <v>513</v>
      </c>
      <c r="C24" s="6"/>
      <c r="D24" s="6"/>
      <c r="E24" s="6"/>
      <c r="F24" s="6"/>
      <c r="G24" s="6"/>
      <c r="H24" s="6"/>
      <c r="I24" s="6"/>
      <c r="J24" s="6"/>
      <c r="K24" s="6"/>
      <c r="L24" s="6"/>
      <c r="M24" s="6"/>
      <c r="N24" s="6"/>
      <c r="O24" s="6"/>
      <c r="P24" s="6"/>
      <c r="Q24" s="6"/>
      <c r="R24" s="6" t="s">
        <v>515</v>
      </c>
    </row>
    <row r="25" spans="1:18" x14ac:dyDescent="0.3">
      <c r="B25" s="6" t="s">
        <v>535</v>
      </c>
      <c r="C25" s="6"/>
      <c r="D25" s="6"/>
      <c r="E25" s="6"/>
      <c r="F25" s="6"/>
      <c r="G25" s="6"/>
      <c r="H25" s="6"/>
      <c r="I25" s="6"/>
      <c r="J25" s="6"/>
      <c r="K25" s="6"/>
      <c r="L25" s="6"/>
      <c r="M25" s="6"/>
      <c r="N25" s="6"/>
      <c r="O25" s="6"/>
      <c r="P25" s="6"/>
      <c r="Q25" s="6"/>
      <c r="R25" s="6" t="s">
        <v>536</v>
      </c>
    </row>
    <row r="26" spans="1:18" x14ac:dyDescent="0.3">
      <c r="B26" s="6" t="s">
        <v>514</v>
      </c>
      <c r="C26" s="6"/>
      <c r="D26" s="6"/>
      <c r="E26" s="6"/>
      <c r="F26" s="6"/>
      <c r="G26" s="6"/>
      <c r="H26" s="6"/>
      <c r="I26" s="6"/>
      <c r="J26" s="6"/>
      <c r="K26" s="6"/>
      <c r="L26" s="6"/>
      <c r="M26" s="6"/>
      <c r="N26" s="6"/>
      <c r="O26" s="6"/>
      <c r="P26" s="6"/>
      <c r="Q26" s="6"/>
      <c r="R26" s="6" t="s">
        <v>515</v>
      </c>
    </row>
    <row r="27" spans="1:18" x14ac:dyDescent="0.3">
      <c r="B27" s="6" t="s">
        <v>521</v>
      </c>
      <c r="C27" s="6"/>
      <c r="D27" s="6"/>
      <c r="E27" s="6"/>
      <c r="F27" s="6"/>
      <c r="G27" s="6"/>
      <c r="H27" s="6"/>
      <c r="I27" s="6"/>
      <c r="J27" s="6"/>
      <c r="K27" s="6"/>
      <c r="L27" s="6"/>
      <c r="M27" s="6"/>
      <c r="N27" s="6"/>
      <c r="O27" s="6"/>
      <c r="P27" s="6"/>
      <c r="Q27" s="6"/>
      <c r="R27" s="6" t="s">
        <v>512</v>
      </c>
    </row>
    <row r="28" spans="1:18" x14ac:dyDescent="0.3">
      <c r="B28" s="6" t="s">
        <v>516</v>
      </c>
      <c r="C28" s="6"/>
      <c r="D28" s="6"/>
      <c r="E28" s="6"/>
      <c r="F28" s="6"/>
      <c r="G28" s="6"/>
      <c r="H28" s="6"/>
      <c r="I28" s="6"/>
      <c r="J28" s="6"/>
      <c r="K28" s="6"/>
      <c r="L28" s="6"/>
      <c r="M28" s="6"/>
      <c r="N28" s="6"/>
      <c r="O28" s="6"/>
      <c r="P28" s="6"/>
      <c r="Q28" s="6"/>
      <c r="R28" s="6" t="s">
        <v>515</v>
      </c>
    </row>
    <row r="29" spans="1:18" x14ac:dyDescent="0.3">
      <c r="B29" s="6" t="s">
        <v>517</v>
      </c>
      <c r="C29" s="6"/>
      <c r="D29" s="6"/>
      <c r="E29" s="6"/>
      <c r="F29" s="6"/>
      <c r="G29" s="6"/>
      <c r="H29" s="6"/>
      <c r="I29" s="6"/>
      <c r="J29" s="6"/>
      <c r="K29" s="6"/>
      <c r="L29" s="6"/>
      <c r="M29" s="6"/>
      <c r="N29" s="6"/>
      <c r="O29" s="6"/>
      <c r="P29" s="6"/>
      <c r="Q29" s="6"/>
      <c r="R29" s="6" t="s">
        <v>512</v>
      </c>
    </row>
    <row r="30" spans="1:18" x14ac:dyDescent="0.3">
      <c r="B30" s="6" t="s">
        <v>518</v>
      </c>
      <c r="C30" s="6"/>
      <c r="D30" s="6"/>
      <c r="E30" s="6"/>
      <c r="F30" s="6"/>
      <c r="G30" s="6"/>
      <c r="H30" s="6"/>
      <c r="I30" s="6"/>
      <c r="J30" s="6"/>
      <c r="K30" s="6"/>
      <c r="L30" s="6"/>
      <c r="M30" s="6"/>
      <c r="N30" s="6"/>
      <c r="O30" s="6"/>
      <c r="P30" s="6"/>
      <c r="Q30" s="6"/>
      <c r="R30" s="6" t="s">
        <v>519</v>
      </c>
    </row>
    <row r="31" spans="1:18" x14ac:dyDescent="0.3">
      <c r="B31" s="7"/>
      <c r="C31" s="6"/>
      <c r="D31" s="6"/>
      <c r="E31" s="6"/>
      <c r="F31" s="6"/>
      <c r="G31" s="6"/>
      <c r="H31" s="6"/>
      <c r="I31" s="6"/>
      <c r="J31" s="6"/>
      <c r="K31" s="6"/>
      <c r="L31" s="6"/>
      <c r="M31" s="6"/>
      <c r="N31" s="6"/>
      <c r="O31" s="6"/>
      <c r="P31" s="6"/>
      <c r="Q31" s="6"/>
      <c r="R31" s="6"/>
    </row>
    <row r="33" spans="1:18" x14ac:dyDescent="0.3">
      <c r="A33" t="s">
        <v>507</v>
      </c>
    </row>
    <row r="35" spans="1:18" x14ac:dyDescent="0.3">
      <c r="B35" s="6" t="s">
        <v>522</v>
      </c>
      <c r="C35" s="6"/>
      <c r="D35" s="6"/>
      <c r="E35" s="6"/>
      <c r="F35" s="6"/>
      <c r="G35" s="6"/>
      <c r="H35" s="6"/>
      <c r="I35" s="6"/>
      <c r="J35" s="6"/>
      <c r="K35" s="6"/>
      <c r="L35" s="6"/>
      <c r="M35" s="6"/>
      <c r="N35" s="6"/>
      <c r="O35" s="6"/>
      <c r="P35" s="6"/>
      <c r="Q35" s="6"/>
      <c r="R35" s="6" t="s">
        <v>512</v>
      </c>
    </row>
    <row r="36" spans="1:18" x14ac:dyDescent="0.3">
      <c r="B36" s="6" t="s">
        <v>523</v>
      </c>
      <c r="C36" s="6"/>
      <c r="D36" s="6"/>
      <c r="E36" s="6"/>
      <c r="F36" s="6"/>
      <c r="G36" s="6"/>
      <c r="H36" s="6"/>
      <c r="I36" s="6"/>
      <c r="J36" s="6"/>
      <c r="K36" s="6"/>
      <c r="L36" s="6"/>
      <c r="M36" s="6"/>
      <c r="N36" s="6"/>
      <c r="O36" s="6"/>
      <c r="P36" s="6"/>
      <c r="Q36" s="6"/>
      <c r="R36" s="6" t="s">
        <v>515</v>
      </c>
    </row>
    <row r="37" spans="1:18" x14ac:dyDescent="0.3">
      <c r="B37" s="6" t="s">
        <v>524</v>
      </c>
      <c r="C37" s="6"/>
      <c r="D37" s="6"/>
      <c r="E37" s="6"/>
      <c r="F37" s="6"/>
      <c r="G37" s="6"/>
      <c r="H37" s="6"/>
      <c r="I37" s="6"/>
      <c r="J37" s="6"/>
      <c r="K37" s="6"/>
      <c r="L37" s="6"/>
      <c r="M37" s="6"/>
      <c r="N37" s="6"/>
      <c r="O37" s="6"/>
      <c r="P37" s="6"/>
      <c r="Q37" s="6"/>
      <c r="R37" s="6" t="s">
        <v>515</v>
      </c>
    </row>
    <row r="38" spans="1:18" x14ac:dyDescent="0.3">
      <c r="B38" s="6" t="s">
        <v>520</v>
      </c>
      <c r="C38" s="6"/>
      <c r="D38" s="6"/>
      <c r="E38" s="6"/>
      <c r="F38" s="6"/>
      <c r="G38" s="6"/>
      <c r="H38" s="6"/>
      <c r="I38" s="6"/>
      <c r="J38" s="6"/>
      <c r="K38" s="6"/>
      <c r="L38" s="6"/>
      <c r="M38" s="6"/>
      <c r="N38" s="6"/>
      <c r="O38" s="6"/>
      <c r="P38" s="6"/>
      <c r="Q38" s="6"/>
      <c r="R38" s="6" t="s">
        <v>515</v>
      </c>
    </row>
    <row r="39" spans="1:18" x14ac:dyDescent="0.3">
      <c r="B39" s="6" t="s">
        <v>573</v>
      </c>
      <c r="C39" s="6"/>
      <c r="D39" s="6"/>
      <c r="E39" s="6"/>
      <c r="F39" s="6"/>
      <c r="G39" s="6"/>
      <c r="H39" s="6"/>
      <c r="I39" s="6"/>
      <c r="J39" s="6"/>
      <c r="K39" s="6"/>
      <c r="L39" s="6"/>
      <c r="M39" s="6"/>
      <c r="N39" s="6"/>
      <c r="O39" s="6"/>
      <c r="P39" s="6"/>
      <c r="Q39" s="6"/>
      <c r="R39" s="6" t="s">
        <v>512</v>
      </c>
    </row>
    <row r="40" spans="1:18" x14ac:dyDescent="0.3">
      <c r="B40" s="6" t="s">
        <v>525</v>
      </c>
      <c r="C40" s="6"/>
      <c r="D40" s="6"/>
      <c r="E40" s="6"/>
      <c r="F40" s="6"/>
      <c r="G40" s="6"/>
      <c r="H40" s="6"/>
      <c r="I40" s="6"/>
      <c r="J40" s="6"/>
      <c r="K40" s="6"/>
      <c r="L40" s="6"/>
      <c r="M40" s="6"/>
      <c r="N40" s="6"/>
      <c r="O40" s="6"/>
      <c r="P40" s="6"/>
      <c r="Q40" s="6"/>
      <c r="R40" s="6" t="s">
        <v>512</v>
      </c>
    </row>
    <row r="41" spans="1:18" x14ac:dyDescent="0.3">
      <c r="B41" s="6" t="s">
        <v>526</v>
      </c>
      <c r="C41" s="6"/>
      <c r="D41" s="6"/>
      <c r="E41" s="6"/>
      <c r="F41" s="6"/>
      <c r="G41" s="6"/>
      <c r="H41" s="6"/>
      <c r="I41" s="6"/>
      <c r="J41" s="6"/>
      <c r="K41" s="6"/>
      <c r="L41" s="6"/>
      <c r="M41" s="6"/>
      <c r="N41" s="6"/>
      <c r="O41" s="6"/>
      <c r="P41" s="6"/>
      <c r="Q41" s="6"/>
      <c r="R41" s="6" t="s">
        <v>512</v>
      </c>
    </row>
    <row r="42" spans="1:18" x14ac:dyDescent="0.3">
      <c r="B42" s="65" t="s">
        <v>527</v>
      </c>
      <c r="C42" s="6"/>
      <c r="D42" s="6"/>
      <c r="E42" s="6"/>
      <c r="F42" s="6"/>
      <c r="G42" s="6"/>
      <c r="H42" s="6"/>
      <c r="I42" s="6"/>
      <c r="J42" s="6"/>
      <c r="K42" s="6"/>
      <c r="L42" s="6"/>
      <c r="M42" s="6"/>
      <c r="N42" s="6"/>
      <c r="O42" s="6"/>
      <c r="P42" s="6"/>
      <c r="Q42" s="6"/>
      <c r="R42" s="6" t="s">
        <v>512</v>
      </c>
    </row>
    <row r="44" spans="1:18" x14ac:dyDescent="0.3">
      <c r="A44" t="s">
        <v>508</v>
      </c>
    </row>
    <row r="46" spans="1:18" x14ac:dyDescent="0.3">
      <c r="B46" s="7" t="s">
        <v>542</v>
      </c>
      <c r="C46" s="6"/>
      <c r="D46" s="6"/>
      <c r="E46" s="6"/>
      <c r="F46" s="6"/>
      <c r="G46" s="6"/>
      <c r="H46" s="6"/>
      <c r="I46" s="6"/>
      <c r="J46" s="6"/>
      <c r="K46" s="6"/>
      <c r="L46" s="6"/>
      <c r="M46" s="6"/>
      <c r="N46" s="6"/>
      <c r="O46" s="6"/>
      <c r="P46" s="6"/>
      <c r="Q46" s="6"/>
      <c r="R46" s="6"/>
    </row>
    <row r="47" spans="1:18" x14ac:dyDescent="0.3">
      <c r="B47" s="6" t="s">
        <v>528</v>
      </c>
      <c r="C47" s="6"/>
      <c r="D47" s="6"/>
      <c r="E47" s="6"/>
      <c r="F47" s="6"/>
      <c r="G47" s="6"/>
      <c r="H47" s="6"/>
      <c r="I47" s="6"/>
      <c r="J47" s="6"/>
      <c r="K47" s="6"/>
      <c r="L47" s="6"/>
      <c r="M47" s="6"/>
      <c r="N47" s="6"/>
      <c r="O47" s="6"/>
      <c r="P47" s="6"/>
      <c r="Q47" s="6"/>
      <c r="R47" s="6"/>
    </row>
    <row r="48" spans="1:18" x14ac:dyDescent="0.3">
      <c r="B48" s="6" t="s">
        <v>529</v>
      </c>
      <c r="C48" s="6"/>
      <c r="D48" s="6"/>
      <c r="E48" s="6"/>
      <c r="F48" s="6"/>
      <c r="G48" s="6"/>
      <c r="H48" s="6"/>
      <c r="I48" s="6"/>
      <c r="J48" s="6"/>
      <c r="K48" s="6"/>
      <c r="L48" s="6"/>
      <c r="M48" s="6"/>
      <c r="N48" s="6"/>
      <c r="O48" s="6"/>
      <c r="P48" s="6"/>
      <c r="Q48" s="6"/>
      <c r="R48" s="6"/>
    </row>
    <row r="49" spans="2:18" x14ac:dyDescent="0.3">
      <c r="B49" s="6" t="s">
        <v>532</v>
      </c>
      <c r="C49" s="6"/>
      <c r="D49" s="6"/>
      <c r="E49" s="6"/>
      <c r="F49" s="6"/>
      <c r="G49" s="6"/>
      <c r="H49" s="6"/>
      <c r="I49" s="6"/>
      <c r="J49" s="6"/>
      <c r="K49" s="6"/>
      <c r="L49" s="6"/>
      <c r="M49" s="6"/>
      <c r="N49" s="6"/>
      <c r="O49" s="6"/>
      <c r="P49" s="6"/>
      <c r="Q49" s="6"/>
      <c r="R49" s="6"/>
    </row>
    <row r="50" spans="2:18" x14ac:dyDescent="0.3">
      <c r="B50" s="6" t="s">
        <v>530</v>
      </c>
      <c r="C50" s="6"/>
      <c r="D50" s="6"/>
      <c r="E50" s="6"/>
      <c r="F50" s="6"/>
      <c r="G50" s="6"/>
      <c r="H50" s="6"/>
      <c r="I50" s="6"/>
      <c r="J50" s="6"/>
      <c r="K50" s="6"/>
      <c r="L50" s="6"/>
      <c r="M50" s="6"/>
      <c r="N50" s="6"/>
      <c r="O50" s="6"/>
      <c r="P50" s="6"/>
      <c r="Q50" s="6"/>
      <c r="R50" s="6"/>
    </row>
    <row r="51" spans="2:18" x14ac:dyDescent="0.3">
      <c r="B51" s="6" t="s">
        <v>531</v>
      </c>
      <c r="C51" s="6"/>
      <c r="D51" s="6"/>
      <c r="E51" s="6"/>
      <c r="F51" s="6"/>
      <c r="G51" s="6"/>
      <c r="H51" s="6"/>
      <c r="I51" s="6"/>
      <c r="J51" s="6"/>
      <c r="K51" s="6"/>
      <c r="L51" s="6"/>
      <c r="M51" s="6"/>
      <c r="N51" s="6"/>
      <c r="O51" s="6"/>
      <c r="P51" s="6"/>
      <c r="Q51" s="6"/>
      <c r="R51" s="6"/>
    </row>
    <row r="52" spans="2:18" x14ac:dyDescent="0.3">
      <c r="B52" s="8" t="s">
        <v>533</v>
      </c>
      <c r="C52" s="6"/>
      <c r="D52" s="6"/>
      <c r="E52" s="6"/>
      <c r="F52" s="6"/>
      <c r="G52" s="6"/>
      <c r="H52" s="6"/>
      <c r="I52" s="6"/>
      <c r="J52" s="6"/>
      <c r="K52" s="6"/>
      <c r="L52" s="6"/>
      <c r="M52" s="6"/>
      <c r="N52" s="6"/>
      <c r="O52" s="6"/>
      <c r="P52" s="6"/>
      <c r="Q52" s="6"/>
      <c r="R52" s="6"/>
    </row>
    <row r="53" spans="2:18" x14ac:dyDescent="0.3">
      <c r="B53" s="6" t="s">
        <v>534</v>
      </c>
      <c r="C53" s="6"/>
      <c r="D53" s="6"/>
      <c r="E53" s="6"/>
      <c r="F53" s="6"/>
      <c r="G53" s="6"/>
      <c r="H53" s="6"/>
      <c r="I53" s="6"/>
      <c r="J53" s="6"/>
      <c r="K53" s="6"/>
      <c r="L53" s="6"/>
      <c r="M53" s="6"/>
      <c r="N53" s="6"/>
      <c r="O53" s="6"/>
      <c r="P53" s="6"/>
      <c r="Q53" s="6"/>
      <c r="R53" s="6"/>
    </row>
    <row r="54" spans="2:18" x14ac:dyDescent="0.3">
      <c r="B54" s="6" t="s">
        <v>537</v>
      </c>
      <c r="C54" s="6"/>
      <c r="D54" s="6"/>
      <c r="E54" s="6"/>
      <c r="F54" s="6"/>
      <c r="G54" s="6"/>
      <c r="H54" s="6"/>
      <c r="I54" s="6"/>
      <c r="J54" s="6"/>
      <c r="K54" s="6"/>
      <c r="L54" s="6"/>
      <c r="M54" s="6"/>
      <c r="N54" s="6"/>
      <c r="O54" s="6"/>
      <c r="P54" s="6"/>
      <c r="Q54" s="6"/>
      <c r="R54" s="6"/>
    </row>
    <row r="55" spans="2:18" x14ac:dyDescent="0.3">
      <c r="B55" s="8" t="s">
        <v>538</v>
      </c>
      <c r="C55" s="6"/>
      <c r="D55" s="6"/>
      <c r="E55" s="6"/>
      <c r="F55" s="6"/>
      <c r="G55" s="6"/>
      <c r="H55" s="6"/>
      <c r="I55" s="6"/>
      <c r="J55" s="6"/>
      <c r="K55" s="6"/>
      <c r="L55" s="6"/>
      <c r="M55" s="6"/>
      <c r="N55" s="6"/>
      <c r="O55" s="6"/>
      <c r="P55" s="6"/>
      <c r="Q55" s="6"/>
      <c r="R55" s="6"/>
    </row>
    <row r="56" spans="2:18" x14ac:dyDescent="0.3">
      <c r="B56" s="6" t="s">
        <v>539</v>
      </c>
      <c r="C56" s="6"/>
      <c r="D56" s="6"/>
      <c r="E56" s="6"/>
      <c r="F56" s="6"/>
      <c r="G56" s="6"/>
      <c r="H56" s="6"/>
      <c r="I56" s="6"/>
      <c r="J56" s="6"/>
      <c r="K56" s="6"/>
      <c r="L56" s="6"/>
      <c r="M56" s="6"/>
      <c r="N56" s="6"/>
      <c r="O56" s="6"/>
      <c r="P56" s="6"/>
      <c r="Q56" s="6"/>
      <c r="R56" s="6"/>
    </row>
    <row r="57" spans="2:18" x14ac:dyDescent="0.3">
      <c r="B57" s="6" t="s">
        <v>540</v>
      </c>
      <c r="C57" s="6"/>
      <c r="D57" s="6"/>
      <c r="E57" s="6"/>
      <c r="F57" s="6"/>
      <c r="G57" s="6"/>
      <c r="H57" s="6"/>
      <c r="I57" s="6"/>
      <c r="J57" s="6"/>
      <c r="K57" s="6"/>
      <c r="L57" s="6"/>
      <c r="M57" s="6"/>
      <c r="N57" s="6"/>
      <c r="O57" s="6"/>
      <c r="P57" s="6"/>
      <c r="Q57" s="6"/>
      <c r="R57" s="6"/>
    </row>
    <row r="58" spans="2:18" x14ac:dyDescent="0.3">
      <c r="B58" s="6" t="s">
        <v>541</v>
      </c>
      <c r="C58" s="6"/>
      <c r="D58" s="6"/>
      <c r="E58" s="6"/>
      <c r="F58" s="6"/>
      <c r="G58" s="6"/>
      <c r="H58" s="6"/>
      <c r="I58" s="6"/>
      <c r="J58" s="6"/>
      <c r="K58" s="6"/>
      <c r="L58" s="6"/>
      <c r="M58" s="6"/>
      <c r="N58" s="6"/>
      <c r="O58" s="6"/>
      <c r="P58" s="6"/>
      <c r="Q58" s="6"/>
      <c r="R58" s="6"/>
    </row>
    <row r="59" spans="2:18" x14ac:dyDescent="0.3">
      <c r="B59" s="6"/>
      <c r="C59" s="6"/>
      <c r="D59" s="6"/>
      <c r="E59" s="6"/>
      <c r="F59" s="6"/>
      <c r="G59" s="6"/>
      <c r="H59" s="6"/>
      <c r="I59" s="6"/>
      <c r="J59" s="6"/>
      <c r="K59" s="6"/>
      <c r="L59" s="6"/>
      <c r="M59" s="6"/>
      <c r="N59" s="6"/>
      <c r="O59" s="6"/>
      <c r="P59" s="6"/>
      <c r="Q59" s="6"/>
      <c r="R59" s="6"/>
    </row>
    <row r="60" spans="2:18" x14ac:dyDescent="0.3">
      <c r="B60" s="6"/>
      <c r="C60" s="6"/>
      <c r="D60" s="6"/>
      <c r="E60" s="6"/>
      <c r="F60" s="6"/>
      <c r="G60" s="6"/>
      <c r="H60" s="6"/>
      <c r="I60" s="6"/>
      <c r="J60" s="6"/>
      <c r="K60" s="6"/>
      <c r="L60" s="6"/>
      <c r="M60" s="6"/>
      <c r="N60" s="6"/>
      <c r="O60" s="6"/>
      <c r="P60" s="6"/>
      <c r="Q60" s="6"/>
      <c r="R60" s="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F5697-6274-4DCC-A9E5-9EB8B73870E7}">
  <sheetPr codeName="Sheet1">
    <tabColor theme="9" tint="0.59999389629810485"/>
  </sheetPr>
  <dimension ref="A1:I87"/>
  <sheetViews>
    <sheetView showGridLines="0" zoomScale="115" zoomScaleNormal="115" workbookViewId="0"/>
  </sheetViews>
  <sheetFormatPr defaultRowHeight="14.4" x14ac:dyDescent="0.3"/>
  <cols>
    <col min="1" max="1" width="12" customWidth="1"/>
    <col min="4" max="4" width="16.109375" customWidth="1"/>
    <col min="7" max="7" width="11.44140625" customWidth="1"/>
    <col min="8" max="8" width="15" customWidth="1"/>
    <col min="9" max="9" width="14.33203125" bestFit="1" customWidth="1"/>
  </cols>
  <sheetData>
    <row r="1" spans="1:2" x14ac:dyDescent="0.3">
      <c r="A1" s="10" t="s">
        <v>0</v>
      </c>
    </row>
    <row r="3" spans="1:2" x14ac:dyDescent="0.3">
      <c r="A3" s="11" t="s">
        <v>1</v>
      </c>
    </row>
    <row r="4" spans="1:2" x14ac:dyDescent="0.3">
      <c r="A4" t="s">
        <v>4</v>
      </c>
    </row>
    <row r="6" spans="1:2" x14ac:dyDescent="0.3">
      <c r="A6" s="11" t="s">
        <v>2</v>
      </c>
    </row>
    <row r="7" spans="1:2" x14ac:dyDescent="0.3">
      <c r="A7" t="s">
        <v>5</v>
      </c>
      <c r="B7" t="s">
        <v>8</v>
      </c>
    </row>
    <row r="8" spans="1:2" x14ac:dyDescent="0.3">
      <c r="A8" t="s">
        <v>6</v>
      </c>
      <c r="B8" t="s">
        <v>10</v>
      </c>
    </row>
    <row r="9" spans="1:2" x14ac:dyDescent="0.3">
      <c r="A9" t="s">
        <v>7</v>
      </c>
      <c r="B9" t="s">
        <v>12</v>
      </c>
    </row>
    <row r="11" spans="1:2" x14ac:dyDescent="0.3">
      <c r="A11" s="11" t="s">
        <v>3</v>
      </c>
    </row>
    <row r="12" spans="1:2" x14ac:dyDescent="0.3">
      <c r="A12">
        <v>1</v>
      </c>
      <c r="B12" t="s">
        <v>9</v>
      </c>
    </row>
    <row r="13" spans="1:2" x14ac:dyDescent="0.3">
      <c r="A13">
        <v>2</v>
      </c>
      <c r="B13" t="s">
        <v>11</v>
      </c>
    </row>
    <row r="14" spans="1:2" x14ac:dyDescent="0.3">
      <c r="A14">
        <v>3</v>
      </c>
      <c r="B14" t="s">
        <v>553</v>
      </c>
    </row>
    <row r="15" spans="1:2" x14ac:dyDescent="0.3">
      <c r="A15">
        <v>4</v>
      </c>
      <c r="B15" t="s">
        <v>554</v>
      </c>
    </row>
    <row r="17" spans="1:8" x14ac:dyDescent="0.3">
      <c r="A17" t="s">
        <v>106</v>
      </c>
    </row>
    <row r="18" spans="1:8" x14ac:dyDescent="0.3">
      <c r="A18" t="s">
        <v>16</v>
      </c>
    </row>
    <row r="19" spans="1:8" x14ac:dyDescent="0.3">
      <c r="A19" t="s">
        <v>17</v>
      </c>
    </row>
    <row r="21" spans="1:8" x14ac:dyDescent="0.3">
      <c r="B21" t="s">
        <v>18</v>
      </c>
      <c r="D21" s="1">
        <v>52362</v>
      </c>
      <c r="F21" t="s">
        <v>28</v>
      </c>
      <c r="H21" s="1">
        <v>3000000000</v>
      </c>
    </row>
    <row r="22" spans="1:8" x14ac:dyDescent="0.3">
      <c r="B22" t="s">
        <v>19</v>
      </c>
      <c r="D22" s="1">
        <f>+D21*1000000</f>
        <v>52362000000</v>
      </c>
      <c r="F22" t="s">
        <v>29</v>
      </c>
      <c r="H22" s="1">
        <v>500000000</v>
      </c>
    </row>
    <row r="23" spans="1:8" x14ac:dyDescent="0.3">
      <c r="B23" t="s">
        <v>20</v>
      </c>
      <c r="D23" s="1">
        <v>4200000000</v>
      </c>
      <c r="F23" t="s">
        <v>30</v>
      </c>
      <c r="H23" s="1">
        <v>700000000</v>
      </c>
    </row>
    <row r="24" spans="1:8" x14ac:dyDescent="0.3">
      <c r="B24" t="s">
        <v>56</v>
      </c>
      <c r="D24" s="1">
        <v>10</v>
      </c>
      <c r="F24" t="s">
        <v>57</v>
      </c>
      <c r="H24" s="1">
        <v>8</v>
      </c>
    </row>
    <row r="26" spans="1:8" x14ac:dyDescent="0.3">
      <c r="A26" t="s">
        <v>13</v>
      </c>
    </row>
    <row r="29" spans="1:8" x14ac:dyDescent="0.3">
      <c r="A29" t="s">
        <v>50</v>
      </c>
    </row>
    <row r="31" spans="1:8" x14ac:dyDescent="0.3">
      <c r="A31" t="s">
        <v>39</v>
      </c>
      <c r="B31" t="s">
        <v>14</v>
      </c>
    </row>
    <row r="33" spans="1:2" x14ac:dyDescent="0.3">
      <c r="A33" t="s">
        <v>31</v>
      </c>
    </row>
    <row r="35" spans="1:2" x14ac:dyDescent="0.3">
      <c r="A35" t="s">
        <v>40</v>
      </c>
      <c r="B35" t="s">
        <v>32</v>
      </c>
    </row>
    <row r="37" spans="1:2" x14ac:dyDescent="0.3">
      <c r="A37" t="s">
        <v>45</v>
      </c>
    </row>
    <row r="39" spans="1:2" x14ac:dyDescent="0.3">
      <c r="A39" t="s">
        <v>43</v>
      </c>
      <c r="B39" t="s">
        <v>44</v>
      </c>
    </row>
    <row r="42" spans="1:2" x14ac:dyDescent="0.3">
      <c r="A42" t="s">
        <v>60</v>
      </c>
    </row>
    <row r="44" spans="1:2" x14ac:dyDescent="0.3">
      <c r="B44" t="s">
        <v>61</v>
      </c>
    </row>
    <row r="45" spans="1:2" x14ac:dyDescent="0.3">
      <c r="B45" t="s">
        <v>88</v>
      </c>
    </row>
    <row r="46" spans="1:2" x14ac:dyDescent="0.3">
      <c r="B46" t="s">
        <v>89</v>
      </c>
    </row>
    <row r="47" spans="1:2" x14ac:dyDescent="0.3">
      <c r="B47" t="s">
        <v>62</v>
      </c>
    </row>
    <row r="49" spans="1:9" x14ac:dyDescent="0.3">
      <c r="F49" t="s">
        <v>28</v>
      </c>
      <c r="H49" s="5">
        <v>0.45</v>
      </c>
      <c r="I49" s="1"/>
    </row>
    <row r="50" spans="1:9" x14ac:dyDescent="0.3">
      <c r="F50" t="s">
        <v>29</v>
      </c>
      <c r="H50" s="5">
        <v>0.35</v>
      </c>
      <c r="I50" s="1"/>
    </row>
    <row r="51" spans="1:9" x14ac:dyDescent="0.3">
      <c r="F51" t="s">
        <v>30</v>
      </c>
      <c r="H51" s="5">
        <v>0.2</v>
      </c>
      <c r="I51" s="1"/>
    </row>
    <row r="52" spans="1:9" x14ac:dyDescent="0.3">
      <c r="I52" s="4"/>
    </row>
    <row r="53" spans="1:9" x14ac:dyDescent="0.3">
      <c r="A53" t="s">
        <v>63</v>
      </c>
    </row>
    <row r="54" spans="1:9" x14ac:dyDescent="0.3">
      <c r="B54" t="s">
        <v>64</v>
      </c>
    </row>
    <row r="56" spans="1:9" x14ac:dyDescent="0.3">
      <c r="A56" t="s">
        <v>103</v>
      </c>
      <c r="B56" t="s">
        <v>141</v>
      </c>
    </row>
    <row r="57" spans="1:9" x14ac:dyDescent="0.3">
      <c r="B57" t="s">
        <v>65</v>
      </c>
    </row>
    <row r="58" spans="1:9" x14ac:dyDescent="0.3">
      <c r="B58" t="s">
        <v>85</v>
      </c>
    </row>
    <row r="59" spans="1:9" x14ac:dyDescent="0.3">
      <c r="B59" t="s">
        <v>93</v>
      </c>
    </row>
    <row r="61" spans="1:9" hidden="1" x14ac:dyDescent="0.3">
      <c r="B61" t="s">
        <v>15</v>
      </c>
      <c r="C61" t="s">
        <v>66</v>
      </c>
    </row>
    <row r="62" spans="1:9" hidden="1" x14ac:dyDescent="0.3"/>
    <row r="63" spans="1:9" hidden="1" x14ac:dyDescent="0.3">
      <c r="B63" t="s">
        <v>67</v>
      </c>
    </row>
    <row r="64" spans="1:9" hidden="1" x14ac:dyDescent="0.3"/>
    <row r="66" spans="1:3" x14ac:dyDescent="0.3">
      <c r="A66" t="s">
        <v>68</v>
      </c>
      <c r="B66" t="s">
        <v>562</v>
      </c>
    </row>
    <row r="68" spans="1:3" hidden="1" x14ac:dyDescent="0.3">
      <c r="B68" t="s">
        <v>46</v>
      </c>
      <c r="C68" t="s">
        <v>69</v>
      </c>
    </row>
    <row r="69" spans="1:3" hidden="1" x14ac:dyDescent="0.3">
      <c r="B69" t="s">
        <v>70</v>
      </c>
    </row>
    <row r="70" spans="1:3" hidden="1" x14ac:dyDescent="0.3">
      <c r="B70" t="s">
        <v>71</v>
      </c>
    </row>
    <row r="71" spans="1:3" hidden="1" x14ac:dyDescent="0.3">
      <c r="B71" t="s">
        <v>72</v>
      </c>
    </row>
    <row r="72" spans="1:3" hidden="1" x14ac:dyDescent="0.3">
      <c r="B72" t="s">
        <v>73</v>
      </c>
    </row>
    <row r="73" spans="1:3" hidden="1" x14ac:dyDescent="0.3"/>
    <row r="87" spans="2:2" x14ac:dyDescent="0.3">
      <c r="B87" t="s">
        <v>563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BC44F-A008-4624-8FD8-066D5C800981}">
  <sheetPr codeName="Sheet2">
    <tabColor theme="5" tint="0.39997558519241921"/>
  </sheetPr>
  <dimension ref="A1:T120"/>
  <sheetViews>
    <sheetView showGridLines="0" zoomScale="115" zoomScaleNormal="115" workbookViewId="0"/>
  </sheetViews>
  <sheetFormatPr defaultRowHeight="14.4" x14ac:dyDescent="0.3"/>
  <cols>
    <col min="1" max="1" width="12" customWidth="1"/>
    <col min="4" max="4" width="16.109375" customWidth="1"/>
    <col min="5" max="5" width="16.44140625" bestFit="1" customWidth="1"/>
    <col min="7" max="7" width="11.44140625" customWidth="1"/>
    <col min="8" max="8" width="15" customWidth="1"/>
    <col min="9" max="9" width="14.33203125" bestFit="1" customWidth="1"/>
  </cols>
  <sheetData>
    <row r="1" spans="1:2" x14ac:dyDescent="0.3">
      <c r="A1" s="10" t="s">
        <v>0</v>
      </c>
    </row>
    <row r="3" spans="1:2" x14ac:dyDescent="0.3">
      <c r="A3" s="11" t="s">
        <v>1</v>
      </c>
    </row>
    <row r="4" spans="1:2" x14ac:dyDescent="0.3">
      <c r="A4" t="s">
        <v>4</v>
      </c>
    </row>
    <row r="6" spans="1:2" x14ac:dyDescent="0.3">
      <c r="A6" s="11" t="s">
        <v>2</v>
      </c>
    </row>
    <row r="7" spans="1:2" x14ac:dyDescent="0.3">
      <c r="A7" t="s">
        <v>5</v>
      </c>
      <c r="B7" t="s">
        <v>8</v>
      </c>
    </row>
    <row r="8" spans="1:2" x14ac:dyDescent="0.3">
      <c r="A8" t="s">
        <v>6</v>
      </c>
      <c r="B8" t="s">
        <v>10</v>
      </c>
    </row>
    <row r="9" spans="1:2" x14ac:dyDescent="0.3">
      <c r="A9" t="s">
        <v>7</v>
      </c>
      <c r="B9" t="s">
        <v>12</v>
      </c>
    </row>
    <row r="11" spans="1:2" x14ac:dyDescent="0.3">
      <c r="A11" s="11" t="s">
        <v>3</v>
      </c>
    </row>
    <row r="12" spans="1:2" x14ac:dyDescent="0.3">
      <c r="A12">
        <v>1</v>
      </c>
      <c r="B12" t="s">
        <v>9</v>
      </c>
    </row>
    <row r="13" spans="1:2" x14ac:dyDescent="0.3">
      <c r="A13">
        <v>2</v>
      </c>
      <c r="B13" t="s">
        <v>11</v>
      </c>
    </row>
    <row r="14" spans="1:2" x14ac:dyDescent="0.3">
      <c r="A14">
        <v>3</v>
      </c>
      <c r="B14" t="s">
        <v>553</v>
      </c>
    </row>
    <row r="15" spans="1:2" x14ac:dyDescent="0.3">
      <c r="A15">
        <v>4</v>
      </c>
      <c r="B15" t="s">
        <v>554</v>
      </c>
    </row>
    <row r="17" spans="1:8" x14ac:dyDescent="0.3">
      <c r="A17" t="s">
        <v>107</v>
      </c>
    </row>
    <row r="18" spans="1:8" x14ac:dyDescent="0.3">
      <c r="A18" t="s">
        <v>16</v>
      </c>
    </row>
    <row r="19" spans="1:8" x14ac:dyDescent="0.3">
      <c r="A19" t="s">
        <v>17</v>
      </c>
    </row>
    <row r="21" spans="1:8" x14ac:dyDescent="0.3">
      <c r="B21" t="s">
        <v>18</v>
      </c>
      <c r="D21" s="1">
        <v>52362</v>
      </c>
      <c r="F21" t="s">
        <v>28</v>
      </c>
      <c r="H21" s="1">
        <v>3000000000</v>
      </c>
    </row>
    <row r="22" spans="1:8" x14ac:dyDescent="0.3">
      <c r="B22" t="s">
        <v>19</v>
      </c>
      <c r="D22" s="1">
        <f>+D21*1000000</f>
        <v>52362000000</v>
      </c>
      <c r="F22" t="s">
        <v>29</v>
      </c>
      <c r="H22" s="1">
        <v>500000000</v>
      </c>
    </row>
    <row r="23" spans="1:8" x14ac:dyDescent="0.3">
      <c r="B23" t="s">
        <v>20</v>
      </c>
      <c r="D23" s="1">
        <v>4200000000</v>
      </c>
      <c r="F23" t="s">
        <v>30</v>
      </c>
      <c r="H23" s="1">
        <v>700000000</v>
      </c>
    </row>
    <row r="24" spans="1:8" x14ac:dyDescent="0.3">
      <c r="B24" t="s">
        <v>56</v>
      </c>
      <c r="D24" s="1">
        <v>10</v>
      </c>
      <c r="F24" t="s">
        <v>57</v>
      </c>
      <c r="H24" s="1">
        <v>8</v>
      </c>
    </row>
    <row r="26" spans="1:8" x14ac:dyDescent="0.3">
      <c r="A26" t="s">
        <v>13</v>
      </c>
    </row>
    <row r="29" spans="1:8" x14ac:dyDescent="0.3">
      <c r="A29" t="s">
        <v>50</v>
      </c>
    </row>
    <row r="31" spans="1:8" x14ac:dyDescent="0.3">
      <c r="A31" t="s">
        <v>39</v>
      </c>
      <c r="B31" t="s">
        <v>14</v>
      </c>
    </row>
    <row r="33" spans="1:20" x14ac:dyDescent="0.3">
      <c r="B33" s="7" t="s">
        <v>15</v>
      </c>
      <c r="C33" s="7" t="s">
        <v>27</v>
      </c>
      <c r="D33" s="6"/>
      <c r="E33" s="6"/>
      <c r="F33" s="6"/>
      <c r="G33" s="6"/>
      <c r="H33" s="6"/>
      <c r="I33" s="6"/>
      <c r="J33" s="6"/>
      <c r="K33" s="6"/>
      <c r="L33" s="6"/>
      <c r="M33" s="6"/>
      <c r="N33" s="6"/>
      <c r="O33" s="6"/>
      <c r="P33" s="6"/>
      <c r="Q33" s="6"/>
      <c r="R33" s="6"/>
      <c r="S33" s="6"/>
      <c r="T33" s="6"/>
    </row>
    <row r="34" spans="1:20" x14ac:dyDescent="0.3">
      <c r="B34" s="6" t="s">
        <v>21</v>
      </c>
      <c r="C34" s="6"/>
      <c r="D34" s="6"/>
      <c r="E34" s="6"/>
      <c r="F34" s="6"/>
      <c r="G34" s="6"/>
      <c r="H34" s="6"/>
      <c r="I34" s="6"/>
      <c r="J34" s="6"/>
      <c r="K34" s="6"/>
      <c r="L34" s="6"/>
      <c r="M34" s="6"/>
      <c r="N34" s="6"/>
      <c r="O34" s="6"/>
      <c r="P34" s="6"/>
      <c r="Q34" s="6"/>
      <c r="R34" s="6"/>
      <c r="S34" s="6"/>
      <c r="T34" s="6"/>
    </row>
    <row r="35" spans="1:20" x14ac:dyDescent="0.3">
      <c r="B35" s="8" t="s">
        <v>22</v>
      </c>
      <c r="C35" s="6"/>
      <c r="D35" s="6"/>
      <c r="E35" s="6"/>
      <c r="F35" s="6"/>
      <c r="G35" s="6"/>
      <c r="H35" s="6"/>
      <c r="I35" s="6"/>
      <c r="J35" s="6"/>
      <c r="K35" s="6"/>
      <c r="L35" s="6"/>
      <c r="M35" s="6"/>
      <c r="N35" s="6"/>
      <c r="O35" s="6"/>
      <c r="P35" s="6"/>
      <c r="Q35" s="6"/>
      <c r="R35" s="6"/>
      <c r="S35" s="6"/>
      <c r="T35" s="6"/>
    </row>
    <row r="36" spans="1:20" x14ac:dyDescent="0.3">
      <c r="B36" s="6" t="s">
        <v>23</v>
      </c>
      <c r="C36" s="6"/>
      <c r="D36" s="6"/>
      <c r="E36" s="6"/>
      <c r="F36" s="6"/>
      <c r="G36" s="6"/>
      <c r="H36" s="6"/>
      <c r="I36" s="6"/>
      <c r="J36" s="6"/>
      <c r="K36" s="6"/>
      <c r="L36" s="6"/>
      <c r="M36" s="6"/>
      <c r="N36" s="6"/>
      <c r="O36" s="6"/>
      <c r="P36" s="6"/>
      <c r="Q36" s="6"/>
      <c r="R36" s="6"/>
      <c r="S36" s="6"/>
      <c r="T36" s="6"/>
    </row>
    <row r="37" spans="1:20" x14ac:dyDescent="0.3">
      <c r="B37" s="8" t="s">
        <v>24</v>
      </c>
      <c r="C37" s="6"/>
      <c r="D37" s="6"/>
      <c r="E37" s="6"/>
      <c r="F37" s="6"/>
      <c r="G37" s="6"/>
      <c r="H37" s="6"/>
      <c r="I37" s="6"/>
      <c r="J37" s="6"/>
      <c r="K37" s="6"/>
      <c r="L37" s="6"/>
      <c r="M37" s="6"/>
      <c r="N37" s="6"/>
      <c r="O37" s="6"/>
      <c r="P37" s="6"/>
      <c r="Q37" s="6"/>
      <c r="R37" s="6"/>
      <c r="S37" s="6"/>
      <c r="T37" s="6"/>
    </row>
    <row r="38" spans="1:20" x14ac:dyDescent="0.3">
      <c r="B38" s="6" t="s">
        <v>25</v>
      </c>
      <c r="C38" s="6"/>
      <c r="D38" s="6"/>
      <c r="E38" s="6"/>
      <c r="F38" s="6"/>
      <c r="G38" s="6"/>
      <c r="H38" s="6"/>
      <c r="I38" s="6"/>
      <c r="J38" s="6"/>
      <c r="K38" s="6"/>
      <c r="L38" s="6"/>
      <c r="M38" s="6"/>
      <c r="N38" s="6"/>
      <c r="O38" s="6"/>
      <c r="P38" s="6"/>
      <c r="Q38" s="6"/>
      <c r="R38" s="6"/>
      <c r="S38" s="6"/>
      <c r="T38" s="6"/>
    </row>
    <row r="39" spans="1:20" x14ac:dyDescent="0.3">
      <c r="B39" s="8" t="s">
        <v>26</v>
      </c>
      <c r="C39" s="6"/>
      <c r="D39" s="6"/>
      <c r="E39" s="6"/>
      <c r="F39" s="6"/>
      <c r="G39" s="6"/>
      <c r="H39" s="6"/>
      <c r="I39" s="6"/>
      <c r="J39" s="6"/>
      <c r="K39" s="6"/>
      <c r="L39" s="6"/>
      <c r="M39" s="6"/>
      <c r="N39" s="6"/>
      <c r="O39" s="6"/>
      <c r="P39" s="6"/>
      <c r="Q39" s="6"/>
      <c r="R39" s="6"/>
      <c r="S39" s="6"/>
      <c r="T39" s="6"/>
    </row>
    <row r="40" spans="1:20" x14ac:dyDescent="0.3">
      <c r="B40" s="7" t="s">
        <v>37</v>
      </c>
      <c r="C40" s="6"/>
      <c r="D40" s="6"/>
      <c r="E40" s="6"/>
      <c r="F40" s="6"/>
      <c r="G40" s="6"/>
      <c r="H40" s="6"/>
      <c r="I40" s="6"/>
      <c r="J40" s="6"/>
      <c r="K40" s="6"/>
      <c r="L40" s="6"/>
      <c r="M40" s="6"/>
      <c r="N40" s="6"/>
      <c r="O40" s="6"/>
      <c r="P40" s="6"/>
      <c r="Q40" s="6"/>
      <c r="R40" s="6"/>
      <c r="S40" s="6"/>
      <c r="T40" s="6"/>
    </row>
    <row r="42" spans="1:20" x14ac:dyDescent="0.3">
      <c r="A42" t="s">
        <v>31</v>
      </c>
    </row>
    <row r="44" spans="1:20" x14ac:dyDescent="0.3">
      <c r="A44" t="s">
        <v>40</v>
      </c>
      <c r="B44" t="s">
        <v>32</v>
      </c>
    </row>
    <row r="46" spans="1:20" x14ac:dyDescent="0.3">
      <c r="B46" s="7" t="s">
        <v>33</v>
      </c>
      <c r="C46" s="7" t="s">
        <v>34</v>
      </c>
      <c r="D46" s="6"/>
      <c r="E46" s="6"/>
      <c r="F46" s="6"/>
      <c r="G46" s="6"/>
      <c r="H46" s="6"/>
      <c r="I46" s="6"/>
      <c r="J46" s="6"/>
      <c r="K46" s="6"/>
      <c r="L46" s="6"/>
      <c r="M46" s="6"/>
      <c r="N46" s="6"/>
      <c r="O46" s="6"/>
      <c r="P46" s="6"/>
      <c r="Q46" s="6"/>
      <c r="R46" s="6"/>
      <c r="S46" s="6"/>
      <c r="T46" s="6"/>
    </row>
    <row r="47" spans="1:20" x14ac:dyDescent="0.3">
      <c r="B47" s="6" t="s">
        <v>35</v>
      </c>
      <c r="C47" s="6"/>
      <c r="D47" s="6"/>
      <c r="E47" s="6"/>
      <c r="F47" s="6"/>
      <c r="G47" s="6"/>
      <c r="H47" s="6"/>
      <c r="I47" s="6"/>
      <c r="J47" s="6"/>
      <c r="K47" s="6"/>
      <c r="L47" s="6"/>
      <c r="M47" s="6"/>
      <c r="N47" s="6"/>
      <c r="O47" s="6"/>
      <c r="P47" s="6"/>
      <c r="Q47" s="6"/>
      <c r="R47" s="6"/>
      <c r="S47" s="6"/>
      <c r="T47" s="6"/>
    </row>
    <row r="48" spans="1:20" x14ac:dyDescent="0.3">
      <c r="B48" s="8" t="s">
        <v>36</v>
      </c>
      <c r="C48" s="6"/>
      <c r="D48" s="6"/>
      <c r="E48" s="6"/>
      <c r="F48" s="6"/>
      <c r="G48" s="6"/>
      <c r="H48" s="6"/>
      <c r="I48" s="6"/>
      <c r="J48" s="6"/>
      <c r="K48" s="6"/>
      <c r="L48" s="6"/>
      <c r="M48" s="6"/>
      <c r="N48" s="6"/>
      <c r="O48" s="6"/>
      <c r="P48" s="6"/>
      <c r="Q48" s="6"/>
      <c r="R48" s="6"/>
      <c r="S48" s="6"/>
      <c r="T48" s="6"/>
    </row>
    <row r="49" spans="1:20" x14ac:dyDescent="0.3">
      <c r="B49" s="6" t="s">
        <v>38</v>
      </c>
      <c r="C49" s="6"/>
      <c r="D49" s="6"/>
      <c r="E49" s="6"/>
      <c r="F49" s="6"/>
      <c r="G49" s="6"/>
      <c r="H49" s="6"/>
      <c r="I49" s="6"/>
      <c r="J49" s="6"/>
      <c r="K49" s="6"/>
      <c r="L49" s="6"/>
      <c r="M49" s="6"/>
      <c r="N49" s="6"/>
      <c r="O49" s="6"/>
      <c r="P49" s="6"/>
      <c r="Q49" s="6"/>
      <c r="R49" s="6"/>
      <c r="S49" s="6"/>
      <c r="T49" s="6"/>
    </row>
    <row r="50" spans="1:20" x14ac:dyDescent="0.3">
      <c r="B50" s="6" t="s">
        <v>42</v>
      </c>
      <c r="C50" s="6"/>
      <c r="D50" s="6"/>
      <c r="E50" s="6"/>
      <c r="F50" s="6"/>
      <c r="G50" s="6"/>
      <c r="H50" s="6"/>
      <c r="I50" s="6"/>
      <c r="J50" s="6"/>
      <c r="K50" s="6"/>
      <c r="L50" s="6"/>
      <c r="M50" s="6"/>
      <c r="N50" s="6"/>
      <c r="O50" s="6"/>
      <c r="P50" s="6"/>
      <c r="Q50" s="6"/>
      <c r="R50" s="6"/>
      <c r="S50" s="6"/>
      <c r="T50" s="6"/>
    </row>
    <row r="51" spans="1:20" x14ac:dyDescent="0.3">
      <c r="B51" s="7" t="s">
        <v>41</v>
      </c>
      <c r="C51" s="6"/>
      <c r="D51" s="6"/>
      <c r="E51" s="6"/>
      <c r="F51" s="6"/>
      <c r="G51" s="6"/>
      <c r="H51" s="6"/>
      <c r="I51" s="6"/>
      <c r="J51" s="6"/>
      <c r="K51" s="6"/>
      <c r="L51" s="6"/>
      <c r="M51" s="6"/>
      <c r="N51" s="6"/>
      <c r="O51" s="6"/>
      <c r="P51" s="6"/>
      <c r="Q51" s="6"/>
      <c r="R51" s="6"/>
      <c r="S51" s="6"/>
      <c r="T51" s="6"/>
    </row>
    <row r="53" spans="1:20" x14ac:dyDescent="0.3">
      <c r="A53" t="s">
        <v>45</v>
      </c>
    </row>
    <row r="55" spans="1:20" x14ac:dyDescent="0.3">
      <c r="A55" t="s">
        <v>43</v>
      </c>
      <c r="B55" t="s">
        <v>44</v>
      </c>
    </row>
    <row r="57" spans="1:20" x14ac:dyDescent="0.3">
      <c r="B57" s="7" t="s">
        <v>46</v>
      </c>
      <c r="C57" s="7" t="s">
        <v>47</v>
      </c>
      <c r="D57" s="6"/>
      <c r="E57" s="6"/>
      <c r="F57" s="6"/>
      <c r="G57" s="6"/>
      <c r="H57" s="6"/>
      <c r="I57" s="6"/>
      <c r="J57" s="6"/>
      <c r="K57" s="6"/>
      <c r="L57" s="6"/>
      <c r="M57" s="6"/>
      <c r="N57" s="6"/>
      <c r="O57" s="6"/>
      <c r="P57" s="6"/>
      <c r="Q57" s="6"/>
      <c r="R57" s="6"/>
      <c r="S57" s="6"/>
      <c r="T57" s="6"/>
    </row>
    <row r="58" spans="1:20" x14ac:dyDescent="0.3">
      <c r="B58" s="6" t="s">
        <v>49</v>
      </c>
      <c r="C58" s="6"/>
      <c r="D58" s="6"/>
      <c r="E58" s="6"/>
      <c r="F58" s="6"/>
      <c r="G58" s="6"/>
      <c r="H58" s="6"/>
      <c r="I58" s="6"/>
      <c r="J58" s="6"/>
      <c r="K58" s="6"/>
      <c r="L58" s="6"/>
      <c r="M58" s="6"/>
      <c r="N58" s="6"/>
      <c r="O58" s="6"/>
      <c r="P58" s="6"/>
      <c r="Q58" s="6"/>
      <c r="R58" s="6"/>
      <c r="S58" s="6"/>
      <c r="T58" s="6"/>
    </row>
    <row r="59" spans="1:20" x14ac:dyDescent="0.3">
      <c r="B59" s="8" t="s">
        <v>48</v>
      </c>
      <c r="C59" s="6"/>
      <c r="D59" s="6"/>
      <c r="E59" s="6"/>
      <c r="F59" s="6"/>
      <c r="G59" s="6"/>
      <c r="H59" s="6"/>
      <c r="I59" s="6"/>
      <c r="J59" s="6"/>
      <c r="K59" s="6"/>
      <c r="L59" s="6"/>
      <c r="M59" s="6"/>
      <c r="N59" s="6"/>
      <c r="O59" s="6"/>
      <c r="P59" s="6"/>
      <c r="Q59" s="6"/>
      <c r="R59" s="6"/>
      <c r="S59" s="6"/>
      <c r="T59" s="6"/>
    </row>
    <row r="60" spans="1:20" x14ac:dyDescent="0.3">
      <c r="B60" s="6" t="s">
        <v>51</v>
      </c>
      <c r="C60" s="6"/>
      <c r="D60" s="6"/>
      <c r="E60" s="6"/>
      <c r="F60" s="6"/>
      <c r="G60" s="6"/>
      <c r="H60" s="6"/>
      <c r="I60" s="6"/>
      <c r="J60" s="6"/>
      <c r="K60" s="6"/>
      <c r="L60" s="6"/>
      <c r="M60" s="6"/>
      <c r="N60" s="6"/>
      <c r="O60" s="6"/>
      <c r="P60" s="6"/>
      <c r="Q60" s="6"/>
      <c r="R60" s="6"/>
      <c r="S60" s="6"/>
      <c r="T60" s="6"/>
    </row>
    <row r="61" spans="1:20" x14ac:dyDescent="0.3">
      <c r="B61" s="8" t="s">
        <v>52</v>
      </c>
      <c r="C61" s="6"/>
      <c r="D61" s="6"/>
      <c r="E61" s="6"/>
      <c r="F61" s="6"/>
      <c r="G61" s="6"/>
      <c r="H61" s="6"/>
      <c r="I61" s="6"/>
      <c r="J61" s="6"/>
      <c r="K61" s="6"/>
      <c r="L61" s="6"/>
      <c r="M61" s="6"/>
      <c r="N61" s="6"/>
      <c r="O61" s="6"/>
      <c r="P61" s="6"/>
      <c r="Q61" s="6"/>
      <c r="R61" s="6"/>
      <c r="S61" s="6"/>
      <c r="T61" s="6"/>
    </row>
    <row r="62" spans="1:20" x14ac:dyDescent="0.3">
      <c r="B62" s="8" t="s">
        <v>59</v>
      </c>
      <c r="C62" s="6"/>
      <c r="D62" s="6"/>
      <c r="E62" s="6"/>
      <c r="F62" s="6"/>
      <c r="G62" s="6"/>
      <c r="H62" s="6"/>
      <c r="I62" s="6"/>
      <c r="J62" s="6"/>
      <c r="K62" s="6"/>
      <c r="L62" s="6"/>
      <c r="M62" s="6"/>
      <c r="N62" s="6"/>
      <c r="O62" s="6"/>
      <c r="P62" s="6"/>
      <c r="Q62" s="6"/>
      <c r="R62" s="6"/>
      <c r="S62" s="6"/>
      <c r="T62" s="6"/>
    </row>
    <row r="63" spans="1:20" x14ac:dyDescent="0.3">
      <c r="B63" s="8" t="s">
        <v>53</v>
      </c>
      <c r="C63" s="6"/>
      <c r="D63" s="6"/>
      <c r="E63" s="6"/>
      <c r="F63" s="6"/>
      <c r="G63" s="6"/>
      <c r="H63" s="6"/>
      <c r="I63" s="6"/>
      <c r="J63" s="6"/>
      <c r="K63" s="6"/>
      <c r="L63" s="6"/>
      <c r="M63" s="6"/>
      <c r="N63" s="6"/>
      <c r="O63" s="6"/>
      <c r="P63" s="6"/>
      <c r="Q63" s="6"/>
      <c r="R63" s="6"/>
      <c r="S63" s="6"/>
      <c r="T63" s="6"/>
    </row>
    <row r="64" spans="1:20" x14ac:dyDescent="0.3">
      <c r="B64" s="9" t="s">
        <v>54</v>
      </c>
      <c r="C64" s="6"/>
      <c r="D64" s="6"/>
      <c r="E64" s="6"/>
      <c r="F64" s="6"/>
      <c r="G64" s="6"/>
      <c r="H64" s="6"/>
      <c r="I64" s="6"/>
      <c r="J64" s="6"/>
      <c r="K64" s="6"/>
      <c r="L64" s="6"/>
      <c r="M64" s="6"/>
      <c r="N64" s="6"/>
      <c r="O64" s="6"/>
      <c r="P64" s="6"/>
      <c r="Q64" s="6"/>
      <c r="R64" s="6"/>
      <c r="S64" s="6"/>
      <c r="T64" s="6"/>
    </row>
    <row r="65" spans="1:20" x14ac:dyDescent="0.3">
      <c r="B65" s="8" t="s">
        <v>55</v>
      </c>
      <c r="C65" s="6"/>
      <c r="D65" s="6"/>
      <c r="E65" s="6"/>
      <c r="F65" s="6"/>
      <c r="G65" s="6"/>
      <c r="H65" s="6"/>
      <c r="I65" s="6"/>
      <c r="J65" s="6"/>
      <c r="K65" s="6"/>
      <c r="L65" s="6"/>
      <c r="M65" s="6"/>
      <c r="N65" s="6"/>
      <c r="O65" s="6"/>
      <c r="P65" s="6"/>
      <c r="Q65" s="6"/>
      <c r="R65" s="6"/>
      <c r="S65" s="6"/>
      <c r="T65" s="6"/>
    </row>
    <row r="66" spans="1:20" x14ac:dyDescent="0.3">
      <c r="B66" s="7" t="s">
        <v>58</v>
      </c>
      <c r="C66" s="6"/>
      <c r="D66" s="6"/>
      <c r="E66" s="6"/>
      <c r="F66" s="6"/>
      <c r="G66" s="6"/>
      <c r="H66" s="6"/>
      <c r="I66" s="6"/>
      <c r="J66" s="6"/>
      <c r="K66" s="6"/>
      <c r="L66" s="6"/>
      <c r="M66" s="6"/>
      <c r="N66" s="6"/>
      <c r="O66" s="6"/>
      <c r="P66" s="6"/>
      <c r="Q66" s="6"/>
      <c r="R66" s="6"/>
      <c r="S66" s="6"/>
      <c r="T66" s="6"/>
    </row>
    <row r="69" spans="1:20" x14ac:dyDescent="0.3">
      <c r="A69" t="s">
        <v>60</v>
      </c>
    </row>
    <row r="71" spans="1:20" x14ac:dyDescent="0.3">
      <c r="B71" t="s">
        <v>61</v>
      </c>
    </row>
    <row r="72" spans="1:20" x14ac:dyDescent="0.3">
      <c r="B72" t="s">
        <v>88</v>
      </c>
    </row>
    <row r="73" spans="1:20" x14ac:dyDescent="0.3">
      <c r="B73" t="s">
        <v>89</v>
      </c>
    </row>
    <row r="74" spans="1:20" x14ac:dyDescent="0.3">
      <c r="B74" t="s">
        <v>62</v>
      </c>
    </row>
    <row r="76" spans="1:20" x14ac:dyDescent="0.3">
      <c r="F76" t="s">
        <v>28</v>
      </c>
      <c r="H76" s="5">
        <v>0.45</v>
      </c>
      <c r="I76" s="1"/>
    </row>
    <row r="77" spans="1:20" x14ac:dyDescent="0.3">
      <c r="F77" t="s">
        <v>29</v>
      </c>
      <c r="H77" s="5">
        <v>0.35</v>
      </c>
      <c r="I77" s="1"/>
    </row>
    <row r="78" spans="1:20" x14ac:dyDescent="0.3">
      <c r="F78" t="s">
        <v>30</v>
      </c>
      <c r="H78" s="5">
        <v>0.2</v>
      </c>
      <c r="I78" s="1"/>
    </row>
    <row r="79" spans="1:20" x14ac:dyDescent="0.3">
      <c r="I79" s="4"/>
    </row>
    <row r="80" spans="1:20" x14ac:dyDescent="0.3">
      <c r="A80" t="s">
        <v>63</v>
      </c>
    </row>
    <row r="81" spans="1:20" x14ac:dyDescent="0.3">
      <c r="B81" t="s">
        <v>64</v>
      </c>
    </row>
    <row r="83" spans="1:20" x14ac:dyDescent="0.3">
      <c r="A83" t="s">
        <v>103</v>
      </c>
      <c r="B83" t="s">
        <v>141</v>
      </c>
    </row>
    <row r="84" spans="1:20" x14ac:dyDescent="0.3">
      <c r="B84" t="s">
        <v>65</v>
      </c>
    </row>
    <row r="85" spans="1:20" x14ac:dyDescent="0.3">
      <c r="B85" t="s">
        <v>85</v>
      </c>
    </row>
    <row r="86" spans="1:20" x14ac:dyDescent="0.3">
      <c r="B86" t="s">
        <v>93</v>
      </c>
    </row>
    <row r="88" spans="1:20" x14ac:dyDescent="0.3">
      <c r="B88" s="6" t="s">
        <v>15</v>
      </c>
      <c r="C88" s="6" t="s">
        <v>66</v>
      </c>
      <c r="D88" s="6"/>
      <c r="E88" s="6"/>
      <c r="F88" s="6"/>
      <c r="G88" s="6"/>
      <c r="H88" s="6"/>
      <c r="I88" s="6"/>
      <c r="J88" s="6"/>
      <c r="K88" s="6"/>
      <c r="L88" s="6"/>
      <c r="M88" s="6"/>
      <c r="N88" s="6"/>
      <c r="O88" s="6"/>
      <c r="P88" s="6"/>
      <c r="Q88" s="6"/>
      <c r="R88" s="6"/>
      <c r="S88" s="6"/>
      <c r="T88" s="6"/>
    </row>
    <row r="89" spans="1:20" x14ac:dyDescent="0.3">
      <c r="B89" s="6" t="s">
        <v>74</v>
      </c>
      <c r="C89" s="6"/>
      <c r="D89" s="6"/>
      <c r="E89" s="6"/>
      <c r="F89" s="6"/>
      <c r="G89" s="6"/>
      <c r="H89" s="6"/>
      <c r="I89" s="6"/>
      <c r="J89" s="6"/>
      <c r="K89" s="6"/>
      <c r="L89" s="6"/>
      <c r="M89" s="6"/>
      <c r="N89" s="6"/>
      <c r="O89" s="6"/>
      <c r="P89" s="6"/>
      <c r="Q89" s="6"/>
      <c r="R89" s="6"/>
      <c r="S89" s="6"/>
      <c r="T89" s="6"/>
    </row>
    <row r="90" spans="1:20" x14ac:dyDescent="0.3">
      <c r="B90" s="6" t="s">
        <v>75</v>
      </c>
      <c r="C90" s="6"/>
      <c r="D90" s="6"/>
      <c r="E90" s="12">
        <f>+D23</f>
        <v>4200000000</v>
      </c>
      <c r="F90" s="6"/>
      <c r="G90" s="6"/>
      <c r="H90" s="6"/>
      <c r="I90" s="6"/>
      <c r="J90" s="6"/>
      <c r="K90" s="6"/>
      <c r="L90" s="6"/>
      <c r="M90" s="6"/>
      <c r="N90" s="6"/>
      <c r="O90" s="6"/>
      <c r="P90" s="6"/>
      <c r="Q90" s="6"/>
      <c r="R90" s="6"/>
      <c r="S90" s="6"/>
      <c r="T90" s="6"/>
    </row>
    <row r="91" spans="1:20" x14ac:dyDescent="0.3">
      <c r="B91" s="6" t="s">
        <v>76</v>
      </c>
      <c r="C91" s="6"/>
      <c r="D91" s="6"/>
      <c r="E91" s="12">
        <f>+SUM(H21:H23)*1.02</f>
        <v>4284000000</v>
      </c>
      <c r="F91" s="6"/>
      <c r="G91" s="7" t="s">
        <v>78</v>
      </c>
      <c r="H91" s="6"/>
      <c r="I91" s="6"/>
      <c r="J91" s="6"/>
      <c r="K91" s="6"/>
      <c r="L91" s="6"/>
      <c r="M91" s="6"/>
      <c r="N91" s="6"/>
      <c r="O91" s="6"/>
      <c r="P91" s="6"/>
      <c r="Q91" s="6"/>
      <c r="R91" s="6"/>
      <c r="S91" s="6"/>
      <c r="T91" s="6"/>
    </row>
    <row r="92" spans="1:20" x14ac:dyDescent="0.3">
      <c r="B92" s="6" t="s">
        <v>77</v>
      </c>
      <c r="C92" s="6"/>
      <c r="D92" s="6"/>
      <c r="E92" s="12">
        <f>MAX(E90-E91,0)</f>
        <v>0</v>
      </c>
      <c r="F92" s="6"/>
      <c r="G92" s="7" t="s">
        <v>79</v>
      </c>
      <c r="H92" s="6"/>
      <c r="I92" s="6"/>
      <c r="J92" s="6"/>
      <c r="K92" s="6"/>
      <c r="L92" s="6"/>
      <c r="M92" s="6"/>
      <c r="N92" s="6"/>
      <c r="O92" s="6"/>
      <c r="P92" s="6"/>
      <c r="Q92" s="6"/>
      <c r="R92" s="6"/>
      <c r="S92" s="6"/>
      <c r="T92" s="6"/>
    </row>
    <row r="93" spans="1:20" x14ac:dyDescent="0.3">
      <c r="B93" s="6" t="s">
        <v>562</v>
      </c>
      <c r="C93" s="6"/>
      <c r="D93" s="6"/>
      <c r="E93" s="6"/>
      <c r="F93" s="6"/>
      <c r="G93" s="6"/>
      <c r="H93" s="6"/>
      <c r="I93" s="6"/>
      <c r="J93" s="6"/>
      <c r="K93" s="6"/>
      <c r="L93" s="6"/>
      <c r="M93" s="6"/>
      <c r="N93" s="6"/>
      <c r="O93" s="6"/>
      <c r="P93" s="6"/>
      <c r="Q93" s="6"/>
      <c r="R93" s="6"/>
      <c r="S93" s="6"/>
      <c r="T93" s="6"/>
    </row>
    <row r="94" spans="1:20" x14ac:dyDescent="0.3">
      <c r="B94" s="6" t="s">
        <v>85</v>
      </c>
      <c r="C94" s="6"/>
      <c r="D94" s="6"/>
      <c r="E94" s="6"/>
      <c r="F94" s="6"/>
      <c r="G94" s="6"/>
      <c r="H94" s="6"/>
      <c r="I94" s="6"/>
      <c r="J94" s="6"/>
      <c r="K94" s="6"/>
      <c r="L94" s="6"/>
      <c r="M94" s="6"/>
      <c r="N94" s="6"/>
      <c r="O94" s="6"/>
      <c r="P94" s="6"/>
      <c r="Q94" s="6"/>
      <c r="R94" s="6"/>
      <c r="S94" s="6"/>
      <c r="T94" s="6"/>
    </row>
    <row r="95" spans="1:20" x14ac:dyDescent="0.3">
      <c r="B95" s="6" t="s">
        <v>80</v>
      </c>
      <c r="C95" s="6"/>
      <c r="D95" s="6"/>
      <c r="E95" s="12">
        <f>-E90*0.02*D24</f>
        <v>-840000000</v>
      </c>
      <c r="F95" s="6"/>
      <c r="G95" s="7" t="s">
        <v>87</v>
      </c>
      <c r="H95" s="6"/>
      <c r="I95" s="6"/>
      <c r="J95" s="6"/>
      <c r="K95" s="6"/>
      <c r="L95" s="6"/>
      <c r="M95" s="6"/>
      <c r="N95" s="6"/>
      <c r="O95" s="6"/>
      <c r="P95" s="6"/>
      <c r="Q95" s="6"/>
      <c r="R95" s="6"/>
      <c r="S95" s="6"/>
      <c r="T95" s="6"/>
    </row>
    <row r="96" spans="1:20" x14ac:dyDescent="0.3">
      <c r="B96" s="6" t="s">
        <v>75</v>
      </c>
      <c r="C96" s="6"/>
      <c r="D96" s="6"/>
      <c r="E96" s="12">
        <f>+E90+E95</f>
        <v>3360000000</v>
      </c>
      <c r="F96" s="6"/>
      <c r="G96" s="7" t="s">
        <v>81</v>
      </c>
      <c r="H96" s="6"/>
      <c r="I96" s="6"/>
      <c r="J96" s="6"/>
      <c r="K96" s="6"/>
      <c r="L96" s="6"/>
      <c r="M96" s="6"/>
      <c r="N96" s="6"/>
      <c r="O96" s="6"/>
      <c r="P96" s="6"/>
      <c r="Q96" s="6"/>
      <c r="R96" s="6"/>
      <c r="S96" s="6"/>
      <c r="T96" s="6"/>
    </row>
    <row r="97" spans="2:20" x14ac:dyDescent="0.3">
      <c r="B97" s="6" t="s">
        <v>82</v>
      </c>
      <c r="C97" s="6"/>
      <c r="D97" s="6"/>
      <c r="E97" s="12">
        <f>+E91*(H76+H77)</f>
        <v>3427200000</v>
      </c>
      <c r="F97" s="6"/>
      <c r="G97" s="7" t="s">
        <v>86</v>
      </c>
      <c r="H97" s="6"/>
      <c r="I97" s="6"/>
      <c r="J97" s="6"/>
      <c r="K97" s="6"/>
      <c r="L97" s="6"/>
      <c r="M97" s="6"/>
      <c r="N97" s="6"/>
      <c r="O97" s="6"/>
      <c r="P97" s="6"/>
      <c r="Q97" s="6"/>
      <c r="R97" s="6"/>
      <c r="S97" s="6"/>
      <c r="T97" s="6"/>
    </row>
    <row r="98" spans="2:20" x14ac:dyDescent="0.3">
      <c r="B98" s="6" t="s">
        <v>83</v>
      </c>
      <c r="C98" s="6"/>
      <c r="D98" s="6"/>
      <c r="E98" s="12">
        <f>-E97*0.02*13</f>
        <v>-891072000</v>
      </c>
      <c r="F98" s="6"/>
      <c r="G98" s="7" t="s">
        <v>90</v>
      </c>
      <c r="H98" s="6"/>
      <c r="I98" s="6"/>
      <c r="J98" s="6"/>
      <c r="K98" s="6"/>
      <c r="L98" s="6"/>
      <c r="M98" s="6"/>
      <c r="N98" s="6"/>
      <c r="O98" s="6"/>
      <c r="P98" s="6"/>
      <c r="Q98" s="6"/>
      <c r="R98" s="6"/>
      <c r="S98" s="6"/>
      <c r="T98" s="6"/>
    </row>
    <row r="99" spans="2:20" x14ac:dyDescent="0.3">
      <c r="B99" s="6" t="s">
        <v>84</v>
      </c>
      <c r="C99" s="6"/>
      <c r="D99" s="6"/>
      <c r="E99" s="12">
        <f>+E91+E98</f>
        <v>3392928000</v>
      </c>
      <c r="F99" s="6"/>
      <c r="G99" s="7" t="s">
        <v>91</v>
      </c>
      <c r="H99" s="6"/>
      <c r="I99" s="6"/>
      <c r="J99" s="6"/>
      <c r="K99" s="6"/>
      <c r="L99" s="6"/>
      <c r="M99" s="6"/>
      <c r="N99" s="6"/>
      <c r="O99" s="6"/>
      <c r="P99" s="6"/>
      <c r="Q99" s="6"/>
      <c r="R99" s="6"/>
      <c r="S99" s="6"/>
      <c r="T99" s="6"/>
    </row>
    <row r="100" spans="2:20" x14ac:dyDescent="0.3">
      <c r="B100" s="6" t="s">
        <v>92</v>
      </c>
      <c r="C100" s="6"/>
      <c r="D100" s="6"/>
      <c r="E100" s="12">
        <f>+MAX(E96-E99,0)</f>
        <v>0</v>
      </c>
      <c r="F100" s="6"/>
      <c r="G100" s="7" t="s">
        <v>96</v>
      </c>
      <c r="H100" s="6"/>
      <c r="I100" s="6"/>
      <c r="J100" s="6"/>
      <c r="K100" s="6"/>
      <c r="L100" s="6"/>
      <c r="M100" s="6"/>
      <c r="N100" s="6"/>
      <c r="O100" s="6"/>
      <c r="P100" s="6"/>
      <c r="Q100" s="6"/>
      <c r="R100" s="6"/>
      <c r="S100" s="6"/>
      <c r="T100" s="6"/>
    </row>
    <row r="101" spans="2:20" x14ac:dyDescent="0.3">
      <c r="B101" s="6"/>
      <c r="C101" s="6"/>
      <c r="D101" s="6"/>
      <c r="E101" s="12"/>
      <c r="F101" s="6"/>
      <c r="G101" s="6"/>
      <c r="H101" s="6"/>
      <c r="I101" s="6"/>
      <c r="J101" s="6"/>
      <c r="K101" s="6"/>
      <c r="L101" s="6"/>
      <c r="M101" s="6"/>
      <c r="N101" s="6"/>
      <c r="O101" s="6"/>
      <c r="P101" s="6"/>
      <c r="Q101" s="6"/>
      <c r="R101" s="6"/>
      <c r="S101" s="6"/>
      <c r="T101" s="6"/>
    </row>
    <row r="102" spans="2:20" x14ac:dyDescent="0.3">
      <c r="B102" s="6" t="s">
        <v>93</v>
      </c>
      <c r="C102" s="6"/>
      <c r="D102" s="6"/>
      <c r="E102" s="12"/>
      <c r="F102" s="6"/>
      <c r="G102" s="6"/>
      <c r="H102" s="6"/>
      <c r="I102" s="6"/>
      <c r="J102" s="6"/>
      <c r="K102" s="6"/>
      <c r="L102" s="6"/>
      <c r="M102" s="6"/>
      <c r="N102" s="6"/>
      <c r="O102" s="6"/>
      <c r="P102" s="6"/>
      <c r="Q102" s="6"/>
      <c r="R102" s="6"/>
      <c r="S102" s="6"/>
      <c r="T102" s="6"/>
    </row>
    <row r="103" spans="2:20" x14ac:dyDescent="0.3">
      <c r="B103" s="6" t="s">
        <v>80</v>
      </c>
      <c r="C103" s="6"/>
      <c r="D103" s="6"/>
      <c r="E103" s="12">
        <f>-E90*0.03*D24</f>
        <v>-1260000000</v>
      </c>
      <c r="F103" s="6"/>
      <c r="G103" s="7" t="s">
        <v>97</v>
      </c>
      <c r="H103" s="6"/>
      <c r="I103" s="6"/>
      <c r="J103" s="6"/>
      <c r="K103" s="6"/>
      <c r="L103" s="6"/>
      <c r="M103" s="6"/>
      <c r="N103" s="6"/>
      <c r="O103" s="6"/>
      <c r="P103" s="6"/>
      <c r="Q103" s="6"/>
      <c r="R103" s="6"/>
      <c r="S103" s="6"/>
      <c r="T103" s="6"/>
    </row>
    <row r="104" spans="2:20" x14ac:dyDescent="0.3">
      <c r="B104" s="6" t="s">
        <v>75</v>
      </c>
      <c r="C104" s="6"/>
      <c r="D104" s="6"/>
      <c r="E104" s="12">
        <f>+E90+E103</f>
        <v>2940000000</v>
      </c>
      <c r="F104" s="6"/>
      <c r="G104" s="7" t="s">
        <v>81</v>
      </c>
      <c r="H104" s="6"/>
      <c r="I104" s="6"/>
      <c r="J104" s="6"/>
      <c r="K104" s="6"/>
      <c r="L104" s="6"/>
      <c r="M104" s="6"/>
      <c r="N104" s="6"/>
      <c r="O104" s="6"/>
      <c r="P104" s="6"/>
      <c r="Q104" s="6"/>
      <c r="R104" s="6"/>
      <c r="S104" s="6"/>
      <c r="T104" s="6"/>
    </row>
    <row r="105" spans="2:20" x14ac:dyDescent="0.3">
      <c r="B105" s="6" t="s">
        <v>82</v>
      </c>
      <c r="C105" s="6"/>
      <c r="D105" s="6"/>
      <c r="E105" s="12">
        <f>+E97</f>
        <v>3427200000</v>
      </c>
      <c r="F105" s="6"/>
      <c r="G105" s="7" t="s">
        <v>86</v>
      </c>
      <c r="H105" s="6"/>
      <c r="I105" s="6"/>
      <c r="J105" s="6"/>
      <c r="K105" s="6"/>
      <c r="L105" s="6"/>
      <c r="M105" s="6"/>
      <c r="N105" s="6"/>
      <c r="O105" s="6"/>
      <c r="P105" s="6"/>
      <c r="Q105" s="6"/>
      <c r="R105" s="6"/>
      <c r="S105" s="6"/>
      <c r="T105" s="6"/>
    </row>
    <row r="106" spans="2:20" x14ac:dyDescent="0.3">
      <c r="B106" s="6" t="s">
        <v>83</v>
      </c>
      <c r="C106" s="6"/>
      <c r="D106" s="6"/>
      <c r="E106" s="12">
        <f>-E105*0.03*13</f>
        <v>-1336608000</v>
      </c>
      <c r="F106" s="6"/>
      <c r="G106" s="7" t="s">
        <v>98</v>
      </c>
      <c r="H106" s="6"/>
      <c r="I106" s="6"/>
      <c r="J106" s="6"/>
      <c r="K106" s="6"/>
      <c r="L106" s="6"/>
      <c r="M106" s="6"/>
      <c r="N106" s="6"/>
      <c r="O106" s="6"/>
      <c r="P106" s="6"/>
      <c r="Q106" s="6"/>
      <c r="R106" s="6"/>
      <c r="S106" s="6"/>
      <c r="T106" s="6"/>
    </row>
    <row r="107" spans="2:20" x14ac:dyDescent="0.3">
      <c r="B107" s="6" t="s">
        <v>94</v>
      </c>
      <c r="C107" s="6"/>
      <c r="D107" s="6"/>
      <c r="E107" s="12">
        <f>+E91*H78</f>
        <v>856800000</v>
      </c>
      <c r="F107" s="6"/>
      <c r="G107" s="7" t="s">
        <v>99</v>
      </c>
      <c r="H107" s="6"/>
      <c r="I107" s="6"/>
      <c r="J107" s="6"/>
      <c r="K107" s="6"/>
      <c r="L107" s="6"/>
      <c r="M107" s="6"/>
      <c r="N107" s="6"/>
      <c r="O107" s="6"/>
      <c r="P107" s="6"/>
      <c r="Q107" s="6"/>
      <c r="R107" s="6"/>
      <c r="S107" s="6"/>
      <c r="T107" s="6"/>
    </row>
    <row r="108" spans="2:20" x14ac:dyDescent="0.3">
      <c r="B108" s="6" t="s">
        <v>95</v>
      </c>
      <c r="C108" s="6"/>
      <c r="D108" s="6"/>
      <c r="E108" s="12">
        <f>-E107*0.3</f>
        <v>-257040000</v>
      </c>
      <c r="F108" s="6"/>
      <c r="G108" s="7" t="s">
        <v>100</v>
      </c>
      <c r="H108" s="6"/>
      <c r="I108" s="6"/>
      <c r="J108" s="6"/>
      <c r="K108" s="6"/>
      <c r="L108" s="6"/>
      <c r="M108" s="6"/>
      <c r="N108" s="6"/>
      <c r="O108" s="6"/>
      <c r="P108" s="6"/>
      <c r="Q108" s="6"/>
      <c r="R108" s="6"/>
      <c r="S108" s="6"/>
      <c r="T108" s="6"/>
    </row>
    <row r="109" spans="2:20" x14ac:dyDescent="0.3">
      <c r="B109" s="6" t="s">
        <v>84</v>
      </c>
      <c r="C109" s="6"/>
      <c r="D109" s="6"/>
      <c r="E109" s="12">
        <f>+E91+E106+E108</f>
        <v>2690352000</v>
      </c>
      <c r="F109" s="6"/>
      <c r="G109" s="7" t="s">
        <v>101</v>
      </c>
      <c r="H109" s="6"/>
      <c r="I109" s="6"/>
      <c r="J109" s="6"/>
      <c r="K109" s="6"/>
      <c r="L109" s="6"/>
      <c r="M109" s="6"/>
      <c r="N109" s="6"/>
      <c r="O109" s="6"/>
      <c r="P109" s="6"/>
      <c r="Q109" s="6"/>
      <c r="R109" s="6"/>
      <c r="S109" s="6"/>
      <c r="T109" s="6"/>
    </row>
    <row r="110" spans="2:20" x14ac:dyDescent="0.3">
      <c r="B110" s="6" t="s">
        <v>92</v>
      </c>
      <c r="C110" s="6"/>
      <c r="D110" s="6"/>
      <c r="E110" s="12">
        <f>+MAX(E104-E109,0)</f>
        <v>249648000</v>
      </c>
      <c r="F110" s="6"/>
      <c r="G110" s="7" t="s">
        <v>96</v>
      </c>
      <c r="H110" s="6"/>
      <c r="I110" s="6"/>
      <c r="J110" s="6"/>
      <c r="K110" s="6"/>
      <c r="L110" s="6"/>
      <c r="M110" s="6"/>
      <c r="N110" s="6"/>
      <c r="O110" s="6"/>
      <c r="P110" s="6"/>
      <c r="Q110" s="6"/>
      <c r="R110" s="6"/>
      <c r="S110" s="6"/>
      <c r="T110" s="6"/>
    </row>
    <row r="111" spans="2:20" x14ac:dyDescent="0.3">
      <c r="B111" s="7" t="s">
        <v>109</v>
      </c>
      <c r="C111" s="6"/>
      <c r="D111" s="6"/>
      <c r="E111" s="12"/>
      <c r="F111" s="6"/>
      <c r="G111" s="6"/>
      <c r="H111" s="6"/>
      <c r="I111" s="6"/>
      <c r="J111" s="6"/>
      <c r="K111" s="6"/>
      <c r="L111" s="6"/>
      <c r="M111" s="6"/>
      <c r="N111" s="6"/>
      <c r="O111" s="6"/>
      <c r="P111" s="6"/>
      <c r="Q111" s="6"/>
      <c r="R111" s="6"/>
      <c r="S111" s="6"/>
      <c r="T111" s="6"/>
    </row>
    <row r="112" spans="2:20" x14ac:dyDescent="0.3">
      <c r="B112" s="7" t="s">
        <v>108</v>
      </c>
      <c r="C112" s="6"/>
      <c r="D112" s="6"/>
      <c r="E112" s="12"/>
      <c r="F112" s="6"/>
      <c r="G112" s="6"/>
      <c r="H112" s="6"/>
      <c r="I112" s="6"/>
      <c r="J112" s="6"/>
      <c r="K112" s="6"/>
      <c r="L112" s="6"/>
      <c r="M112" s="6"/>
      <c r="N112" s="6"/>
      <c r="O112" s="6"/>
      <c r="P112" s="6"/>
      <c r="Q112" s="6"/>
      <c r="R112" s="6"/>
      <c r="S112" s="6"/>
      <c r="T112" s="6"/>
    </row>
    <row r="114" spans="1:20" x14ac:dyDescent="0.3">
      <c r="A114" t="s">
        <v>68</v>
      </c>
      <c r="B114" t="s">
        <v>563</v>
      </c>
    </row>
    <row r="116" spans="1:20" x14ac:dyDescent="0.3">
      <c r="B116" s="6" t="s">
        <v>46</v>
      </c>
      <c r="C116" s="6" t="s">
        <v>69</v>
      </c>
      <c r="D116" s="6"/>
      <c r="E116" s="6"/>
      <c r="F116" s="6"/>
      <c r="G116" s="6"/>
      <c r="H116" s="6"/>
      <c r="I116" s="6"/>
      <c r="J116" s="6"/>
      <c r="K116" s="6"/>
      <c r="L116" s="6"/>
      <c r="M116" s="6"/>
      <c r="N116" s="6"/>
      <c r="O116" s="6"/>
      <c r="P116" s="6"/>
      <c r="Q116" s="6"/>
      <c r="R116" s="6"/>
      <c r="S116" s="6"/>
      <c r="T116" s="6"/>
    </row>
    <row r="117" spans="1:20" x14ac:dyDescent="0.3">
      <c r="B117" s="6" t="s">
        <v>104</v>
      </c>
      <c r="C117" s="6"/>
      <c r="D117" s="6"/>
      <c r="E117" s="6"/>
      <c r="F117" s="6"/>
      <c r="G117" s="6"/>
      <c r="H117" s="6"/>
      <c r="I117" s="6"/>
      <c r="J117" s="6"/>
      <c r="K117" s="6"/>
      <c r="L117" s="6"/>
      <c r="M117" s="6"/>
      <c r="N117" s="6"/>
      <c r="O117" s="6"/>
      <c r="P117" s="6"/>
      <c r="Q117" s="6"/>
      <c r="R117" s="6"/>
      <c r="S117" s="6"/>
      <c r="T117" s="6"/>
    </row>
    <row r="118" spans="1:20" x14ac:dyDescent="0.3">
      <c r="B118" s="6" t="s">
        <v>102</v>
      </c>
      <c r="C118" s="6"/>
      <c r="D118" s="6"/>
      <c r="E118" s="6"/>
      <c r="F118" s="6"/>
      <c r="G118" s="6"/>
      <c r="H118" s="6"/>
      <c r="I118" s="6"/>
      <c r="J118" s="6"/>
      <c r="K118" s="6"/>
      <c r="L118" s="6"/>
      <c r="M118" s="6"/>
      <c r="N118" s="6"/>
      <c r="O118" s="6"/>
      <c r="P118" s="6"/>
      <c r="Q118" s="6"/>
      <c r="R118" s="6"/>
      <c r="S118" s="6"/>
      <c r="T118" s="6"/>
    </row>
    <row r="119" spans="1:20" x14ac:dyDescent="0.3">
      <c r="B119" s="6" t="s">
        <v>105</v>
      </c>
      <c r="C119" s="6"/>
      <c r="D119" s="6"/>
      <c r="E119" s="6"/>
      <c r="F119" s="6"/>
      <c r="G119" s="6"/>
      <c r="H119" s="6"/>
      <c r="I119" s="6"/>
      <c r="J119" s="6"/>
      <c r="K119" s="6"/>
      <c r="L119" s="6"/>
      <c r="M119" s="6"/>
      <c r="N119" s="6"/>
      <c r="O119" s="6"/>
      <c r="P119" s="6"/>
      <c r="Q119" s="6"/>
      <c r="R119" s="6"/>
      <c r="S119" s="6"/>
      <c r="T119" s="6"/>
    </row>
    <row r="120" spans="1:20" x14ac:dyDescent="0.3">
      <c r="B120" s="6" t="s">
        <v>73</v>
      </c>
      <c r="C120" s="6"/>
      <c r="D120" s="6"/>
      <c r="E120" s="6"/>
      <c r="F120" s="6"/>
      <c r="G120" s="6"/>
      <c r="H120" s="6"/>
      <c r="I120" s="6"/>
      <c r="J120" s="6"/>
      <c r="K120" s="6"/>
      <c r="L120" s="6"/>
      <c r="M120" s="6"/>
      <c r="N120" s="6"/>
      <c r="O120" s="6"/>
      <c r="P120" s="6"/>
      <c r="Q120" s="6"/>
      <c r="R120" s="6"/>
      <c r="S120" s="6"/>
      <c r="T120" s="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2F91F-33D0-4E22-9141-45F14E35F2A0}">
  <sheetPr codeName="Sheet3">
    <tabColor theme="9" tint="0.59999389629810485"/>
  </sheetPr>
  <dimension ref="A1:F49"/>
  <sheetViews>
    <sheetView showGridLines="0" zoomScale="115" zoomScaleNormal="115" workbookViewId="0"/>
  </sheetViews>
  <sheetFormatPr defaultRowHeight="14.4" x14ac:dyDescent="0.3"/>
  <cols>
    <col min="1" max="1" width="12" customWidth="1"/>
    <col min="2" max="2" width="9.44140625" customWidth="1"/>
    <col min="3" max="3" width="14" customWidth="1"/>
    <col min="4" max="4" width="15" customWidth="1"/>
    <col min="5" max="5" width="19.44140625" customWidth="1"/>
    <col min="6" max="6" width="18.6640625" customWidth="1"/>
    <col min="7" max="7" width="11.44140625" customWidth="1"/>
    <col min="8" max="8" width="15" customWidth="1"/>
    <col min="9" max="9" width="14.33203125" bestFit="1" customWidth="1"/>
  </cols>
  <sheetData>
    <row r="1" spans="1:2" x14ac:dyDescent="0.3">
      <c r="A1" s="10" t="s">
        <v>110</v>
      </c>
    </row>
    <row r="3" spans="1:2" x14ac:dyDescent="0.3">
      <c r="A3" s="11" t="s">
        <v>1</v>
      </c>
    </row>
    <row r="4" spans="1:2" x14ac:dyDescent="0.3">
      <c r="A4" t="s">
        <v>120</v>
      </c>
    </row>
    <row r="6" spans="1:2" x14ac:dyDescent="0.3">
      <c r="A6" s="11" t="s">
        <v>2</v>
      </c>
    </row>
    <row r="7" spans="1:2" x14ac:dyDescent="0.3">
      <c r="A7" t="s">
        <v>112</v>
      </c>
      <c r="B7" t="s">
        <v>113</v>
      </c>
    </row>
    <row r="8" spans="1:2" x14ac:dyDescent="0.3">
      <c r="A8" t="s">
        <v>111</v>
      </c>
      <c r="B8" t="s">
        <v>114</v>
      </c>
    </row>
    <row r="9" spans="1:2" x14ac:dyDescent="0.3">
      <c r="A9" t="s">
        <v>212</v>
      </c>
      <c r="B9" t="s">
        <v>216</v>
      </c>
    </row>
    <row r="11" spans="1:2" x14ac:dyDescent="0.3">
      <c r="A11" s="11" t="s">
        <v>3</v>
      </c>
    </row>
    <row r="12" spans="1:2" x14ac:dyDescent="0.3">
      <c r="A12">
        <v>1</v>
      </c>
      <c r="B12" t="s">
        <v>115</v>
      </c>
    </row>
    <row r="13" spans="1:2" x14ac:dyDescent="0.3">
      <c r="A13">
        <v>2</v>
      </c>
      <c r="B13" t="s">
        <v>219</v>
      </c>
    </row>
    <row r="15" spans="1:2" x14ac:dyDescent="0.3">
      <c r="A15" t="s">
        <v>159</v>
      </c>
    </row>
    <row r="16" spans="1:2" x14ac:dyDescent="0.3">
      <c r="A16" t="s">
        <v>118</v>
      </c>
    </row>
    <row r="17" spans="1:6" x14ac:dyDescent="0.3">
      <c r="A17" t="s">
        <v>116</v>
      </c>
    </row>
    <row r="18" spans="1:6" x14ac:dyDescent="0.3">
      <c r="B18" t="s">
        <v>119</v>
      </c>
    </row>
    <row r="19" spans="1:6" x14ac:dyDescent="0.3">
      <c r="B19" t="s">
        <v>117</v>
      </c>
    </row>
    <row r="20" spans="1:6" x14ac:dyDescent="0.3">
      <c r="B20" t="s">
        <v>126</v>
      </c>
    </row>
    <row r="21" spans="1:6" x14ac:dyDescent="0.3">
      <c r="B21" t="s">
        <v>123</v>
      </c>
    </row>
    <row r="23" spans="1:6" x14ac:dyDescent="0.3">
      <c r="B23" t="s">
        <v>127</v>
      </c>
      <c r="D23" s="13">
        <v>0.75</v>
      </c>
    </row>
    <row r="24" spans="1:6" x14ac:dyDescent="0.3">
      <c r="B24" t="s">
        <v>128</v>
      </c>
      <c r="D24" s="13">
        <v>0.9</v>
      </c>
    </row>
    <row r="25" spans="1:6" x14ac:dyDescent="0.3">
      <c r="B25" t="s">
        <v>129</v>
      </c>
      <c r="D25" s="13">
        <v>0.65</v>
      </c>
    </row>
    <row r="26" spans="1:6" x14ac:dyDescent="0.3">
      <c r="B26" t="s">
        <v>130</v>
      </c>
      <c r="D26" s="13">
        <v>0.8</v>
      </c>
    </row>
    <row r="28" spans="1:6" x14ac:dyDescent="0.3">
      <c r="A28" t="s">
        <v>121</v>
      </c>
    </row>
    <row r="30" spans="1:6" ht="35.1" customHeight="1" x14ac:dyDescent="0.3">
      <c r="B30" s="16" t="s">
        <v>122</v>
      </c>
      <c r="C30" s="16" t="s">
        <v>124</v>
      </c>
      <c r="D30" s="17" t="s">
        <v>135</v>
      </c>
      <c r="E30" s="17" t="s">
        <v>136</v>
      </c>
      <c r="F30" s="17" t="s">
        <v>137</v>
      </c>
    </row>
    <row r="31" spans="1:6" x14ac:dyDescent="0.3">
      <c r="B31" s="3">
        <v>1001</v>
      </c>
      <c r="C31" t="s">
        <v>131</v>
      </c>
      <c r="D31" s="19">
        <v>600000</v>
      </c>
      <c r="E31" s="19">
        <v>0</v>
      </c>
      <c r="F31" s="19">
        <f>0.01*D31</f>
        <v>6000</v>
      </c>
    </row>
    <row r="32" spans="1:6" x14ac:dyDescent="0.3">
      <c r="B32" s="3">
        <v>1002</v>
      </c>
      <c r="C32" t="s">
        <v>131</v>
      </c>
      <c r="D32" s="19">
        <v>90000</v>
      </c>
      <c r="E32" s="19">
        <v>0</v>
      </c>
      <c r="F32" s="19">
        <f t="shared" ref="F32:F42" si="0">0.01*D32</f>
        <v>900</v>
      </c>
    </row>
    <row r="33" spans="1:6" x14ac:dyDescent="0.3">
      <c r="B33" s="3">
        <v>1003</v>
      </c>
      <c r="C33" t="s">
        <v>131</v>
      </c>
      <c r="D33" s="19">
        <v>180000</v>
      </c>
      <c r="E33" s="19">
        <v>0</v>
      </c>
      <c r="F33" s="19">
        <f t="shared" si="0"/>
        <v>1800</v>
      </c>
    </row>
    <row r="34" spans="1:6" x14ac:dyDescent="0.3">
      <c r="B34" s="3">
        <v>1004</v>
      </c>
      <c r="C34" t="s">
        <v>132</v>
      </c>
      <c r="D34" s="19">
        <v>100000</v>
      </c>
      <c r="E34" s="19">
        <v>0</v>
      </c>
      <c r="F34" s="19">
        <f t="shared" si="0"/>
        <v>1000</v>
      </c>
    </row>
    <row r="35" spans="1:6" x14ac:dyDescent="0.3">
      <c r="B35" s="3">
        <v>1005</v>
      </c>
      <c r="C35" t="s">
        <v>132</v>
      </c>
      <c r="D35" s="19">
        <v>175000</v>
      </c>
      <c r="E35" s="19">
        <v>0</v>
      </c>
      <c r="F35" s="19">
        <f t="shared" si="0"/>
        <v>1750</v>
      </c>
    </row>
    <row r="36" spans="1:6" x14ac:dyDescent="0.3">
      <c r="B36" s="3">
        <v>1006</v>
      </c>
      <c r="C36" t="s">
        <v>132</v>
      </c>
      <c r="D36" s="19">
        <v>250000</v>
      </c>
      <c r="E36" s="19">
        <v>0</v>
      </c>
      <c r="F36" s="19">
        <f t="shared" si="0"/>
        <v>2500</v>
      </c>
    </row>
    <row r="37" spans="1:6" x14ac:dyDescent="0.3">
      <c r="B37" s="3">
        <v>1007</v>
      </c>
      <c r="C37" t="s">
        <v>133</v>
      </c>
      <c r="D37" s="19">
        <v>1000000</v>
      </c>
      <c r="E37" s="19">
        <v>0</v>
      </c>
      <c r="F37" s="19">
        <f t="shared" si="0"/>
        <v>10000</v>
      </c>
    </row>
    <row r="38" spans="1:6" x14ac:dyDescent="0.3">
      <c r="B38" s="3">
        <v>1008</v>
      </c>
      <c r="C38" t="s">
        <v>133</v>
      </c>
      <c r="D38" s="19">
        <v>200000</v>
      </c>
      <c r="E38" s="19">
        <v>0</v>
      </c>
      <c r="F38" s="19">
        <f t="shared" si="0"/>
        <v>2000</v>
      </c>
    </row>
    <row r="39" spans="1:6" x14ac:dyDescent="0.3">
      <c r="B39" s="3">
        <v>1009</v>
      </c>
      <c r="C39" t="s">
        <v>133</v>
      </c>
      <c r="D39" s="19">
        <v>75000</v>
      </c>
      <c r="E39" s="19">
        <v>0</v>
      </c>
      <c r="F39" s="19">
        <f t="shared" si="0"/>
        <v>750</v>
      </c>
    </row>
    <row r="40" spans="1:6" x14ac:dyDescent="0.3">
      <c r="B40" s="3">
        <v>1010</v>
      </c>
      <c r="C40" t="s">
        <v>134</v>
      </c>
      <c r="D40" s="19">
        <v>150000</v>
      </c>
      <c r="E40" s="19">
        <v>0</v>
      </c>
      <c r="F40" s="19">
        <f t="shared" si="0"/>
        <v>1500</v>
      </c>
    </row>
    <row r="41" spans="1:6" x14ac:dyDescent="0.3">
      <c r="B41" s="3">
        <v>1011</v>
      </c>
      <c r="C41" t="s">
        <v>134</v>
      </c>
      <c r="D41" s="19">
        <v>125000</v>
      </c>
      <c r="E41" s="19">
        <v>0</v>
      </c>
      <c r="F41" s="19">
        <f t="shared" si="0"/>
        <v>1250</v>
      </c>
    </row>
    <row r="42" spans="1:6" x14ac:dyDescent="0.3">
      <c r="B42" s="3">
        <v>1012</v>
      </c>
      <c r="C42" t="s">
        <v>134</v>
      </c>
      <c r="D42" s="19">
        <v>100000</v>
      </c>
      <c r="E42" s="19">
        <v>0</v>
      </c>
      <c r="F42" s="19">
        <f t="shared" si="0"/>
        <v>1000</v>
      </c>
    </row>
    <row r="45" spans="1:6" x14ac:dyDescent="0.3">
      <c r="A45" t="s">
        <v>152</v>
      </c>
    </row>
    <row r="46" spans="1:6" x14ac:dyDescent="0.3">
      <c r="B46" t="s">
        <v>138</v>
      </c>
    </row>
    <row r="47" spans="1:6" x14ac:dyDescent="0.3">
      <c r="B47" t="s">
        <v>139</v>
      </c>
    </row>
    <row r="49" spans="1:1" x14ac:dyDescent="0.3">
      <c r="A49" t="s">
        <v>153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3C15B-DCF4-4309-90B6-088B760F5132}">
  <sheetPr codeName="Sheet4">
    <tabColor theme="5" tint="0.39997558519241921"/>
  </sheetPr>
  <dimension ref="A1:M90"/>
  <sheetViews>
    <sheetView showGridLines="0" zoomScale="115" zoomScaleNormal="115" workbookViewId="0"/>
  </sheetViews>
  <sheetFormatPr defaultRowHeight="14.4" x14ac:dyDescent="0.3"/>
  <cols>
    <col min="1" max="1" width="12" customWidth="1"/>
    <col min="2" max="2" width="9.44140625" customWidth="1"/>
    <col min="3" max="3" width="14" customWidth="1"/>
    <col min="4" max="4" width="15" customWidth="1"/>
    <col min="5" max="5" width="19.44140625" customWidth="1"/>
    <col min="6" max="6" width="18.6640625" customWidth="1"/>
    <col min="7" max="7" width="13.88671875" customWidth="1"/>
    <col min="8" max="8" width="15" customWidth="1"/>
    <col min="9" max="9" width="14.33203125" bestFit="1" customWidth="1"/>
    <col min="10" max="10" width="14" customWidth="1"/>
    <col min="11" max="11" width="12" customWidth="1"/>
    <col min="12" max="12" width="13.88671875" customWidth="1"/>
    <col min="13" max="13" width="11.88671875" customWidth="1"/>
  </cols>
  <sheetData>
    <row r="1" spans="1:2" x14ac:dyDescent="0.3">
      <c r="A1" s="10" t="s">
        <v>110</v>
      </c>
    </row>
    <row r="3" spans="1:2" x14ac:dyDescent="0.3">
      <c r="A3" s="11" t="s">
        <v>1</v>
      </c>
    </row>
    <row r="4" spans="1:2" x14ac:dyDescent="0.3">
      <c r="A4" t="s">
        <v>120</v>
      </c>
    </row>
    <row r="6" spans="1:2" x14ac:dyDescent="0.3">
      <c r="A6" s="11" t="s">
        <v>2</v>
      </c>
    </row>
    <row r="7" spans="1:2" x14ac:dyDescent="0.3">
      <c r="A7" t="s">
        <v>112</v>
      </c>
      <c r="B7" t="s">
        <v>113</v>
      </c>
    </row>
    <row r="8" spans="1:2" x14ac:dyDescent="0.3">
      <c r="A8" t="s">
        <v>111</v>
      </c>
      <c r="B8" t="s">
        <v>114</v>
      </c>
    </row>
    <row r="9" spans="1:2" x14ac:dyDescent="0.3">
      <c r="A9" t="s">
        <v>212</v>
      </c>
      <c r="B9" t="s">
        <v>216</v>
      </c>
    </row>
    <row r="11" spans="1:2" x14ac:dyDescent="0.3">
      <c r="A11" s="11" t="s">
        <v>3</v>
      </c>
    </row>
    <row r="12" spans="1:2" x14ac:dyDescent="0.3">
      <c r="A12">
        <v>1</v>
      </c>
      <c r="B12" t="s">
        <v>115</v>
      </c>
    </row>
    <row r="13" spans="1:2" x14ac:dyDescent="0.3">
      <c r="A13">
        <v>2</v>
      </c>
      <c r="B13" t="s">
        <v>219</v>
      </c>
    </row>
    <row r="15" spans="1:2" x14ac:dyDescent="0.3">
      <c r="A15" t="s">
        <v>159</v>
      </c>
    </row>
    <row r="16" spans="1:2" x14ac:dyDescent="0.3">
      <c r="A16" t="s">
        <v>118</v>
      </c>
    </row>
    <row r="17" spans="1:6" x14ac:dyDescent="0.3">
      <c r="A17" t="s">
        <v>116</v>
      </c>
    </row>
    <row r="18" spans="1:6" x14ac:dyDescent="0.3">
      <c r="B18" t="s">
        <v>119</v>
      </c>
    </row>
    <row r="19" spans="1:6" x14ac:dyDescent="0.3">
      <c r="B19" t="s">
        <v>117</v>
      </c>
    </row>
    <row r="20" spans="1:6" x14ac:dyDescent="0.3">
      <c r="B20" t="s">
        <v>126</v>
      </c>
    </row>
    <row r="21" spans="1:6" x14ac:dyDescent="0.3">
      <c r="B21" t="s">
        <v>123</v>
      </c>
    </row>
    <row r="23" spans="1:6" x14ac:dyDescent="0.3">
      <c r="B23" t="s">
        <v>127</v>
      </c>
      <c r="D23" s="13">
        <v>0.75</v>
      </c>
    </row>
    <row r="24" spans="1:6" x14ac:dyDescent="0.3">
      <c r="B24" t="s">
        <v>128</v>
      </c>
      <c r="D24" s="13">
        <v>0.9</v>
      </c>
    </row>
    <row r="25" spans="1:6" x14ac:dyDescent="0.3">
      <c r="B25" t="s">
        <v>129</v>
      </c>
      <c r="D25" s="13">
        <v>0.65</v>
      </c>
    </row>
    <row r="26" spans="1:6" x14ac:dyDescent="0.3">
      <c r="B26" t="s">
        <v>130</v>
      </c>
      <c r="D26" s="13">
        <v>0.8</v>
      </c>
    </row>
    <row r="28" spans="1:6" x14ac:dyDescent="0.3">
      <c r="A28" t="s">
        <v>121</v>
      </c>
    </row>
    <row r="30" spans="1:6" ht="35.1" customHeight="1" x14ac:dyDescent="0.3">
      <c r="B30" s="16" t="s">
        <v>122</v>
      </c>
      <c r="C30" s="16" t="s">
        <v>124</v>
      </c>
      <c r="D30" s="17" t="s">
        <v>135</v>
      </c>
      <c r="E30" s="17" t="s">
        <v>136</v>
      </c>
      <c r="F30" s="17" t="s">
        <v>137</v>
      </c>
    </row>
    <row r="31" spans="1:6" x14ac:dyDescent="0.3">
      <c r="B31" s="3">
        <v>1001</v>
      </c>
      <c r="C31" t="s">
        <v>131</v>
      </c>
      <c r="D31" s="19">
        <v>600000</v>
      </c>
      <c r="E31" s="19">
        <v>0</v>
      </c>
      <c r="F31" s="19">
        <f>0.01*D31</f>
        <v>6000</v>
      </c>
    </row>
    <row r="32" spans="1:6" x14ac:dyDescent="0.3">
      <c r="B32" s="3">
        <v>1002</v>
      </c>
      <c r="C32" t="s">
        <v>131</v>
      </c>
      <c r="D32" s="19">
        <v>90000</v>
      </c>
      <c r="E32" s="19">
        <v>0</v>
      </c>
      <c r="F32" s="19">
        <f t="shared" ref="F32:F42" si="0">0.01*D32</f>
        <v>900</v>
      </c>
    </row>
    <row r="33" spans="1:13" x14ac:dyDescent="0.3">
      <c r="B33" s="3">
        <v>1003</v>
      </c>
      <c r="C33" t="s">
        <v>131</v>
      </c>
      <c r="D33" s="19">
        <v>180000</v>
      </c>
      <c r="E33" s="19">
        <v>0</v>
      </c>
      <c r="F33" s="19">
        <f t="shared" si="0"/>
        <v>1800</v>
      </c>
    </row>
    <row r="34" spans="1:13" x14ac:dyDescent="0.3">
      <c r="B34" s="3">
        <v>1004</v>
      </c>
      <c r="C34" t="s">
        <v>132</v>
      </c>
      <c r="D34" s="19">
        <v>100000</v>
      </c>
      <c r="E34" s="19">
        <v>0</v>
      </c>
      <c r="F34" s="19">
        <f t="shared" si="0"/>
        <v>1000</v>
      </c>
    </row>
    <row r="35" spans="1:13" x14ac:dyDescent="0.3">
      <c r="B35" s="3">
        <v>1005</v>
      </c>
      <c r="C35" t="s">
        <v>132</v>
      </c>
      <c r="D35" s="19">
        <v>175000</v>
      </c>
      <c r="E35" s="19">
        <v>0</v>
      </c>
      <c r="F35" s="19">
        <f t="shared" si="0"/>
        <v>1750</v>
      </c>
    </row>
    <row r="36" spans="1:13" x14ac:dyDescent="0.3">
      <c r="B36" s="3">
        <v>1006</v>
      </c>
      <c r="C36" t="s">
        <v>132</v>
      </c>
      <c r="D36" s="19">
        <v>250000</v>
      </c>
      <c r="E36" s="19">
        <v>0</v>
      </c>
      <c r="F36" s="19">
        <f t="shared" si="0"/>
        <v>2500</v>
      </c>
    </row>
    <row r="37" spans="1:13" x14ac:dyDescent="0.3">
      <c r="B37" s="3">
        <v>1007</v>
      </c>
      <c r="C37" t="s">
        <v>133</v>
      </c>
      <c r="D37" s="19">
        <v>1000000</v>
      </c>
      <c r="E37" s="19">
        <v>0</v>
      </c>
      <c r="F37" s="19">
        <f t="shared" si="0"/>
        <v>10000</v>
      </c>
    </row>
    <row r="38" spans="1:13" x14ac:dyDescent="0.3">
      <c r="B38" s="3">
        <v>1008</v>
      </c>
      <c r="C38" t="s">
        <v>133</v>
      </c>
      <c r="D38" s="19">
        <v>200000</v>
      </c>
      <c r="E38" s="19">
        <v>0</v>
      </c>
      <c r="F38" s="19">
        <f t="shared" si="0"/>
        <v>2000</v>
      </c>
    </row>
    <row r="39" spans="1:13" x14ac:dyDescent="0.3">
      <c r="B39" s="3">
        <v>1009</v>
      </c>
      <c r="C39" t="s">
        <v>133</v>
      </c>
      <c r="D39" s="19">
        <v>75000</v>
      </c>
      <c r="E39" s="19">
        <v>0</v>
      </c>
      <c r="F39" s="19">
        <f t="shared" si="0"/>
        <v>750</v>
      </c>
    </row>
    <row r="40" spans="1:13" x14ac:dyDescent="0.3">
      <c r="B40" s="3">
        <v>1010</v>
      </c>
      <c r="C40" t="s">
        <v>134</v>
      </c>
      <c r="D40" s="19">
        <v>150000</v>
      </c>
      <c r="E40" s="19">
        <v>0</v>
      </c>
      <c r="F40" s="19">
        <f t="shared" si="0"/>
        <v>1500</v>
      </c>
    </row>
    <row r="41" spans="1:13" x14ac:dyDescent="0.3">
      <c r="B41" s="3">
        <v>1011</v>
      </c>
      <c r="C41" t="s">
        <v>134</v>
      </c>
      <c r="D41" s="19">
        <v>125000</v>
      </c>
      <c r="E41" s="19">
        <v>0</v>
      </c>
      <c r="F41" s="19">
        <f t="shared" si="0"/>
        <v>1250</v>
      </c>
    </row>
    <row r="42" spans="1:13" x14ac:dyDescent="0.3">
      <c r="B42" s="3">
        <v>1012</v>
      </c>
      <c r="C42" t="s">
        <v>134</v>
      </c>
      <c r="D42" s="19">
        <v>100000</v>
      </c>
      <c r="E42" s="19">
        <v>0</v>
      </c>
      <c r="F42" s="19">
        <f t="shared" si="0"/>
        <v>1000</v>
      </c>
    </row>
    <row r="45" spans="1:13" x14ac:dyDescent="0.3">
      <c r="A45" t="s">
        <v>140</v>
      </c>
    </row>
    <row r="46" spans="1:13" x14ac:dyDescent="0.3">
      <c r="B46" t="s">
        <v>138</v>
      </c>
    </row>
    <row r="48" spans="1:13" ht="28.8" x14ac:dyDescent="0.3">
      <c r="B48" s="22" t="s">
        <v>122</v>
      </c>
      <c r="C48" s="22" t="s">
        <v>124</v>
      </c>
      <c r="D48" s="23" t="s">
        <v>135</v>
      </c>
      <c r="E48" s="23" t="s">
        <v>136</v>
      </c>
      <c r="F48" s="23" t="s">
        <v>137</v>
      </c>
      <c r="G48" s="23" t="s">
        <v>142</v>
      </c>
      <c r="H48" s="23" t="s">
        <v>143</v>
      </c>
      <c r="I48" s="23" t="s">
        <v>144</v>
      </c>
      <c r="J48" s="23" t="s">
        <v>145</v>
      </c>
      <c r="K48" s="23" t="s">
        <v>146</v>
      </c>
      <c r="L48" s="23" t="s">
        <v>147</v>
      </c>
      <c r="M48" s="23" t="s">
        <v>148</v>
      </c>
    </row>
    <row r="49" spans="2:13" x14ac:dyDescent="0.3">
      <c r="B49" s="9">
        <v>1001</v>
      </c>
      <c r="C49" s="6" t="s">
        <v>131</v>
      </c>
      <c r="D49" s="24">
        <v>600000</v>
      </c>
      <c r="E49" s="24">
        <v>0</v>
      </c>
      <c r="F49" s="24">
        <f>0.01*D49</f>
        <v>6000</v>
      </c>
      <c r="G49" s="25">
        <v>100000</v>
      </c>
      <c r="H49" s="26">
        <f>+MAX(D49-G49,0)</f>
        <v>500000</v>
      </c>
      <c r="I49" s="27">
        <f>+H49/D49</f>
        <v>0.83333333333333337</v>
      </c>
      <c r="J49" s="26">
        <f>+I49*(D49-E49)</f>
        <v>500000</v>
      </c>
      <c r="K49" s="28">
        <f>+J49*$D$23/1000</f>
        <v>375</v>
      </c>
      <c r="L49" s="26">
        <f>+I49*(D49-F49)</f>
        <v>495000</v>
      </c>
      <c r="M49" s="28">
        <f>+L49*$D$23/1000</f>
        <v>371.25</v>
      </c>
    </row>
    <row r="50" spans="2:13" x14ac:dyDescent="0.3">
      <c r="B50" s="9">
        <v>1002</v>
      </c>
      <c r="C50" s="6" t="s">
        <v>131</v>
      </c>
      <c r="D50" s="24">
        <v>90000</v>
      </c>
      <c r="E50" s="24">
        <v>0</v>
      </c>
      <c r="F50" s="24">
        <f t="shared" ref="F50:F60" si="1">0.01*D50</f>
        <v>900</v>
      </c>
      <c r="G50" s="25">
        <v>100000</v>
      </c>
      <c r="H50" s="26">
        <f t="shared" ref="H50:H60" si="2">+MAX(D50-G50,0)</f>
        <v>0</v>
      </c>
      <c r="I50" s="27">
        <f t="shared" ref="I50:I60" si="3">+H50/D50</f>
        <v>0</v>
      </c>
      <c r="J50" s="26">
        <f t="shared" ref="J50:J60" si="4">+I50*(D50-E50)</f>
        <v>0</v>
      </c>
      <c r="K50" s="28">
        <f t="shared" ref="K50:M51" si="5">+J50*$D$23/1000</f>
        <v>0</v>
      </c>
      <c r="L50" s="26">
        <f t="shared" ref="L50:L60" si="6">+I50*(D50-F50)</f>
        <v>0</v>
      </c>
      <c r="M50" s="28">
        <f t="shared" si="5"/>
        <v>0</v>
      </c>
    </row>
    <row r="51" spans="2:13" x14ac:dyDescent="0.3">
      <c r="B51" s="9">
        <v>1003</v>
      </c>
      <c r="C51" s="6" t="s">
        <v>131</v>
      </c>
      <c r="D51" s="24">
        <v>180000</v>
      </c>
      <c r="E51" s="24">
        <v>0</v>
      </c>
      <c r="F51" s="24">
        <f t="shared" si="1"/>
        <v>1800</v>
      </c>
      <c r="G51" s="25">
        <v>100000</v>
      </c>
      <c r="H51" s="26">
        <f t="shared" si="2"/>
        <v>80000</v>
      </c>
      <c r="I51" s="27">
        <f t="shared" si="3"/>
        <v>0.44444444444444442</v>
      </c>
      <c r="J51" s="26">
        <f t="shared" si="4"/>
        <v>80000</v>
      </c>
      <c r="K51" s="28">
        <f t="shared" si="5"/>
        <v>60</v>
      </c>
      <c r="L51" s="26">
        <f t="shared" si="6"/>
        <v>79200</v>
      </c>
      <c r="M51" s="28">
        <f t="shared" si="5"/>
        <v>59.4</v>
      </c>
    </row>
    <row r="52" spans="2:13" x14ac:dyDescent="0.3">
      <c r="B52" s="9">
        <v>1004</v>
      </c>
      <c r="C52" s="6" t="s">
        <v>132</v>
      </c>
      <c r="D52" s="24">
        <v>100000</v>
      </c>
      <c r="E52" s="24">
        <v>0</v>
      </c>
      <c r="F52" s="24">
        <f t="shared" si="1"/>
        <v>1000</v>
      </c>
      <c r="G52" s="25">
        <v>100000</v>
      </c>
      <c r="H52" s="26">
        <f t="shared" si="2"/>
        <v>0</v>
      </c>
      <c r="I52" s="27">
        <f t="shared" si="3"/>
        <v>0</v>
      </c>
      <c r="J52" s="26">
        <f t="shared" si="4"/>
        <v>0</v>
      </c>
      <c r="K52" s="28">
        <f>+J52*$D$24/1000</f>
        <v>0</v>
      </c>
      <c r="L52" s="26">
        <f t="shared" si="6"/>
        <v>0</v>
      </c>
      <c r="M52" s="28">
        <f>+L52*$D$24/1000</f>
        <v>0</v>
      </c>
    </row>
    <row r="53" spans="2:13" x14ac:dyDescent="0.3">
      <c r="B53" s="9">
        <v>1005</v>
      </c>
      <c r="C53" s="6" t="s">
        <v>132</v>
      </c>
      <c r="D53" s="24">
        <v>175000</v>
      </c>
      <c r="E53" s="24">
        <v>0</v>
      </c>
      <c r="F53" s="24">
        <f t="shared" si="1"/>
        <v>1750</v>
      </c>
      <c r="G53" s="25">
        <v>100000</v>
      </c>
      <c r="H53" s="26">
        <f t="shared" si="2"/>
        <v>75000</v>
      </c>
      <c r="I53" s="27">
        <f t="shared" si="3"/>
        <v>0.42857142857142855</v>
      </c>
      <c r="J53" s="26">
        <f t="shared" si="4"/>
        <v>75000</v>
      </c>
      <c r="K53" s="28">
        <f t="shared" ref="K53:M54" si="7">+J53*$D$24/1000</f>
        <v>67.5</v>
      </c>
      <c r="L53" s="26">
        <f t="shared" si="6"/>
        <v>74250</v>
      </c>
      <c r="M53" s="28">
        <f t="shared" si="7"/>
        <v>66.825000000000003</v>
      </c>
    </row>
    <row r="54" spans="2:13" x14ac:dyDescent="0.3">
      <c r="B54" s="9">
        <v>1006</v>
      </c>
      <c r="C54" s="6" t="s">
        <v>132</v>
      </c>
      <c r="D54" s="24">
        <v>250000</v>
      </c>
      <c r="E54" s="24">
        <v>0</v>
      </c>
      <c r="F54" s="24">
        <f t="shared" si="1"/>
        <v>2500</v>
      </c>
      <c r="G54" s="25">
        <v>100000</v>
      </c>
      <c r="H54" s="26">
        <f t="shared" si="2"/>
        <v>150000</v>
      </c>
      <c r="I54" s="27">
        <f t="shared" si="3"/>
        <v>0.6</v>
      </c>
      <c r="J54" s="26">
        <f t="shared" si="4"/>
        <v>150000</v>
      </c>
      <c r="K54" s="28">
        <f t="shared" si="7"/>
        <v>135</v>
      </c>
      <c r="L54" s="26">
        <f t="shared" si="6"/>
        <v>148500</v>
      </c>
      <c r="M54" s="28">
        <f t="shared" si="7"/>
        <v>133.65</v>
      </c>
    </row>
    <row r="55" spans="2:13" x14ac:dyDescent="0.3">
      <c r="B55" s="9">
        <v>1007</v>
      </c>
      <c r="C55" s="6" t="s">
        <v>133</v>
      </c>
      <c r="D55" s="24">
        <v>1000000</v>
      </c>
      <c r="E55" s="24">
        <v>0</v>
      </c>
      <c r="F55" s="24">
        <f t="shared" si="1"/>
        <v>10000</v>
      </c>
      <c r="G55" s="25">
        <v>100000</v>
      </c>
      <c r="H55" s="26">
        <f t="shared" si="2"/>
        <v>900000</v>
      </c>
      <c r="I55" s="27">
        <f t="shared" si="3"/>
        <v>0.9</v>
      </c>
      <c r="J55" s="26">
        <f t="shared" si="4"/>
        <v>900000</v>
      </c>
      <c r="K55" s="28">
        <f>+J55*$D$25/1000</f>
        <v>585</v>
      </c>
      <c r="L55" s="26">
        <f t="shared" si="6"/>
        <v>891000</v>
      </c>
      <c r="M55" s="28">
        <f>+L55*$D$25/1000</f>
        <v>579.15</v>
      </c>
    </row>
    <row r="56" spans="2:13" x14ac:dyDescent="0.3">
      <c r="B56" s="9">
        <v>1008</v>
      </c>
      <c r="C56" s="6" t="s">
        <v>133</v>
      </c>
      <c r="D56" s="24">
        <v>200000</v>
      </c>
      <c r="E56" s="24">
        <v>0</v>
      </c>
      <c r="F56" s="24">
        <f t="shared" si="1"/>
        <v>2000</v>
      </c>
      <c r="G56" s="25">
        <v>100000</v>
      </c>
      <c r="H56" s="26">
        <f t="shared" si="2"/>
        <v>100000</v>
      </c>
      <c r="I56" s="27">
        <f t="shared" si="3"/>
        <v>0.5</v>
      </c>
      <c r="J56" s="26">
        <f t="shared" si="4"/>
        <v>100000</v>
      </c>
      <c r="K56" s="28">
        <f t="shared" ref="K56:M57" si="8">+J56*$D$25/1000</f>
        <v>65</v>
      </c>
      <c r="L56" s="26">
        <f t="shared" si="6"/>
        <v>99000</v>
      </c>
      <c r="M56" s="28">
        <f t="shared" si="8"/>
        <v>64.349999999999994</v>
      </c>
    </row>
    <row r="57" spans="2:13" x14ac:dyDescent="0.3">
      <c r="B57" s="9">
        <v>1009</v>
      </c>
      <c r="C57" s="6" t="s">
        <v>133</v>
      </c>
      <c r="D57" s="24">
        <v>75000</v>
      </c>
      <c r="E57" s="24">
        <v>0</v>
      </c>
      <c r="F57" s="24">
        <f t="shared" si="1"/>
        <v>750</v>
      </c>
      <c r="G57" s="25">
        <v>100000</v>
      </c>
      <c r="H57" s="26">
        <f t="shared" si="2"/>
        <v>0</v>
      </c>
      <c r="I57" s="27">
        <f t="shared" si="3"/>
        <v>0</v>
      </c>
      <c r="J57" s="26">
        <f t="shared" si="4"/>
        <v>0</v>
      </c>
      <c r="K57" s="28">
        <f t="shared" si="8"/>
        <v>0</v>
      </c>
      <c r="L57" s="26">
        <f t="shared" si="6"/>
        <v>0</v>
      </c>
      <c r="M57" s="28">
        <f t="shared" si="8"/>
        <v>0</v>
      </c>
    </row>
    <row r="58" spans="2:13" x14ac:dyDescent="0.3">
      <c r="B58" s="9">
        <v>1010</v>
      </c>
      <c r="C58" s="6" t="s">
        <v>134</v>
      </c>
      <c r="D58" s="24">
        <v>150000</v>
      </c>
      <c r="E58" s="24">
        <v>0</v>
      </c>
      <c r="F58" s="24">
        <f t="shared" si="1"/>
        <v>1500</v>
      </c>
      <c r="G58" s="25">
        <v>100000</v>
      </c>
      <c r="H58" s="26">
        <f t="shared" si="2"/>
        <v>50000</v>
      </c>
      <c r="I58" s="27">
        <f t="shared" si="3"/>
        <v>0.33333333333333331</v>
      </c>
      <c r="J58" s="26">
        <f t="shared" si="4"/>
        <v>50000</v>
      </c>
      <c r="K58" s="28">
        <f>+J58*$D$26/1000</f>
        <v>40</v>
      </c>
      <c r="L58" s="26">
        <f t="shared" si="6"/>
        <v>49500</v>
      </c>
      <c r="M58" s="28">
        <f>+L58*$D$26/1000</f>
        <v>39.6</v>
      </c>
    </row>
    <row r="59" spans="2:13" x14ac:dyDescent="0.3">
      <c r="B59" s="9">
        <v>1011</v>
      </c>
      <c r="C59" s="6" t="s">
        <v>134</v>
      </c>
      <c r="D59" s="24">
        <v>125000</v>
      </c>
      <c r="E59" s="24">
        <v>0</v>
      </c>
      <c r="F59" s="24">
        <f t="shared" si="1"/>
        <v>1250</v>
      </c>
      <c r="G59" s="25">
        <v>100000</v>
      </c>
      <c r="H59" s="26">
        <f t="shared" si="2"/>
        <v>25000</v>
      </c>
      <c r="I59" s="27">
        <f t="shared" si="3"/>
        <v>0.2</v>
      </c>
      <c r="J59" s="26">
        <f t="shared" si="4"/>
        <v>25000</v>
      </c>
      <c r="K59" s="28">
        <f t="shared" ref="K59:M60" si="9">+J59*$D$26/1000</f>
        <v>20</v>
      </c>
      <c r="L59" s="26">
        <f t="shared" si="6"/>
        <v>24750</v>
      </c>
      <c r="M59" s="28">
        <f t="shared" si="9"/>
        <v>19.8</v>
      </c>
    </row>
    <row r="60" spans="2:13" x14ac:dyDescent="0.3">
      <c r="B60" s="9">
        <v>1012</v>
      </c>
      <c r="C60" s="6" t="s">
        <v>134</v>
      </c>
      <c r="D60" s="24">
        <v>100000</v>
      </c>
      <c r="E60" s="24">
        <v>0</v>
      </c>
      <c r="F60" s="24">
        <f t="shared" si="1"/>
        <v>1000</v>
      </c>
      <c r="G60" s="25">
        <v>100000</v>
      </c>
      <c r="H60" s="26">
        <f t="shared" si="2"/>
        <v>0</v>
      </c>
      <c r="I60" s="27">
        <f t="shared" si="3"/>
        <v>0</v>
      </c>
      <c r="J60" s="26">
        <f t="shared" si="4"/>
        <v>0</v>
      </c>
      <c r="K60" s="28">
        <f t="shared" si="9"/>
        <v>0</v>
      </c>
      <c r="L60" s="26">
        <f t="shared" si="6"/>
        <v>0</v>
      </c>
      <c r="M60" s="28">
        <f t="shared" si="9"/>
        <v>0</v>
      </c>
    </row>
    <row r="61" spans="2:13" x14ac:dyDescent="0.3">
      <c r="B61" s="6" t="s">
        <v>149</v>
      </c>
      <c r="C61" s="6"/>
      <c r="D61" s="28">
        <f>+SUM(D49:D60)</f>
        <v>3045000</v>
      </c>
      <c r="E61" s="6"/>
      <c r="F61" s="6"/>
      <c r="G61" s="28"/>
      <c r="H61" s="28">
        <f>+SUM(H49:H60)</f>
        <v>1880000</v>
      </c>
      <c r="I61" s="6"/>
      <c r="J61" s="28">
        <f>+SUM(J49:J60)</f>
        <v>1880000</v>
      </c>
      <c r="K61" s="28">
        <f>+SUM(K49:K60)</f>
        <v>1347.5</v>
      </c>
      <c r="L61" s="28">
        <f>+SUM(L49:L60)</f>
        <v>1861200</v>
      </c>
      <c r="M61" s="28">
        <f>+SUM(M49:M60)</f>
        <v>1334.0249999999999</v>
      </c>
    </row>
    <row r="62" spans="2:13" x14ac:dyDescent="0.3">
      <c r="B62" s="7" t="s">
        <v>150</v>
      </c>
      <c r="C62" s="6"/>
      <c r="D62" s="6"/>
      <c r="E62" s="6"/>
      <c r="F62" s="6"/>
      <c r="G62" s="6"/>
      <c r="H62" s="6"/>
      <c r="I62" s="6"/>
      <c r="J62" s="29"/>
      <c r="K62" s="6"/>
      <c r="L62" s="29"/>
      <c r="M62" s="6"/>
    </row>
    <row r="63" spans="2:13" x14ac:dyDescent="0.3">
      <c r="B63" s="6" t="s">
        <v>154</v>
      </c>
      <c r="C63" s="6"/>
      <c r="D63" s="28">
        <f>+K61</f>
        <v>1347.5</v>
      </c>
      <c r="E63" s="6"/>
      <c r="F63" s="6"/>
      <c r="G63" s="6"/>
      <c r="H63" s="6"/>
      <c r="I63" s="6"/>
      <c r="J63" s="29"/>
      <c r="K63" s="6"/>
      <c r="L63" s="29"/>
      <c r="M63" s="6"/>
    </row>
    <row r="64" spans="2:13" x14ac:dyDescent="0.3">
      <c r="B64" s="6" t="s">
        <v>155</v>
      </c>
      <c r="C64" s="6"/>
      <c r="D64" s="28">
        <f>+M61</f>
        <v>1334.0249999999999</v>
      </c>
      <c r="E64" s="6"/>
      <c r="F64" s="6"/>
      <c r="G64" s="6"/>
      <c r="H64" s="6"/>
      <c r="I64" s="6"/>
      <c r="J64" s="6"/>
      <c r="K64" s="6"/>
      <c r="L64" s="6"/>
      <c r="M64" s="6"/>
    </row>
    <row r="66" spans="2:11" x14ac:dyDescent="0.3">
      <c r="B66" t="s">
        <v>139</v>
      </c>
    </row>
    <row r="68" spans="2:11" ht="28.8" x14ac:dyDescent="0.3">
      <c r="B68" s="22" t="s">
        <v>122</v>
      </c>
      <c r="C68" s="22" t="s">
        <v>124</v>
      </c>
      <c r="D68" s="23" t="s">
        <v>135</v>
      </c>
      <c r="E68" s="23" t="s">
        <v>136</v>
      </c>
      <c r="F68" s="23" t="s">
        <v>137</v>
      </c>
      <c r="G68" s="23" t="s">
        <v>142</v>
      </c>
      <c r="H68" s="23" t="s">
        <v>145</v>
      </c>
      <c r="I68" s="23" t="s">
        <v>146</v>
      </c>
      <c r="J68" s="23" t="s">
        <v>147</v>
      </c>
      <c r="K68" s="23" t="s">
        <v>148</v>
      </c>
    </row>
    <row r="69" spans="2:11" x14ac:dyDescent="0.3">
      <c r="B69" s="9">
        <v>1001</v>
      </c>
      <c r="C69" s="6" t="s">
        <v>131</v>
      </c>
      <c r="D69" s="24">
        <v>600000</v>
      </c>
      <c r="E69" s="24">
        <v>0</v>
      </c>
      <c r="F69" s="24">
        <f>0.01*D69</f>
        <v>6000</v>
      </c>
      <c r="G69" s="25">
        <v>100000</v>
      </c>
      <c r="H69" s="26">
        <f t="shared" ref="H69:H80" si="10">+MAX((D69-E69)-G69, 0)</f>
        <v>500000</v>
      </c>
      <c r="I69" s="28">
        <f>+H69*$D$23/1000</f>
        <v>375</v>
      </c>
      <c r="J69" s="26">
        <f t="shared" ref="J69:J80" si="11">+MAX((D69-F69)-G69, 0)</f>
        <v>494000</v>
      </c>
      <c r="K69" s="28">
        <f>+J69*$D$23/1000</f>
        <v>370.5</v>
      </c>
    </row>
    <row r="70" spans="2:11" x14ac:dyDescent="0.3">
      <c r="B70" s="9">
        <v>1002</v>
      </c>
      <c r="C70" s="6" t="s">
        <v>131</v>
      </c>
      <c r="D70" s="24">
        <v>90000</v>
      </c>
      <c r="E70" s="24">
        <v>0</v>
      </c>
      <c r="F70" s="24">
        <f t="shared" ref="F70:F80" si="12">0.01*D70</f>
        <v>900</v>
      </c>
      <c r="G70" s="25">
        <v>100000</v>
      </c>
      <c r="H70" s="26">
        <f t="shared" si="10"/>
        <v>0</v>
      </c>
      <c r="I70" s="28">
        <f t="shared" ref="I70" si="13">+H70*$D$23/1000</f>
        <v>0</v>
      </c>
      <c r="J70" s="26">
        <f t="shared" si="11"/>
        <v>0</v>
      </c>
      <c r="K70" s="28">
        <f t="shared" ref="K70" si="14">+J70*$D$23/1000</f>
        <v>0</v>
      </c>
    </row>
    <row r="71" spans="2:11" x14ac:dyDescent="0.3">
      <c r="B71" s="9">
        <v>1003</v>
      </c>
      <c r="C71" s="6" t="s">
        <v>131</v>
      </c>
      <c r="D71" s="24">
        <v>180000</v>
      </c>
      <c r="E71" s="24">
        <v>0</v>
      </c>
      <c r="F71" s="24">
        <f t="shared" si="12"/>
        <v>1800</v>
      </c>
      <c r="G71" s="25">
        <v>100000</v>
      </c>
      <c r="H71" s="26">
        <f t="shared" si="10"/>
        <v>80000</v>
      </c>
      <c r="I71" s="28">
        <f t="shared" ref="I71" si="15">+H71*$D$23/1000</f>
        <v>60</v>
      </c>
      <c r="J71" s="26">
        <f t="shared" si="11"/>
        <v>78200</v>
      </c>
      <c r="K71" s="28">
        <f t="shared" ref="K71" si="16">+J71*$D$23/1000</f>
        <v>58.65</v>
      </c>
    </row>
    <row r="72" spans="2:11" x14ac:dyDescent="0.3">
      <c r="B72" s="9">
        <v>1004</v>
      </c>
      <c r="C72" s="6" t="s">
        <v>132</v>
      </c>
      <c r="D72" s="24">
        <v>100000</v>
      </c>
      <c r="E72" s="24">
        <v>0</v>
      </c>
      <c r="F72" s="24">
        <f t="shared" si="12"/>
        <v>1000</v>
      </c>
      <c r="G72" s="25">
        <v>100000</v>
      </c>
      <c r="H72" s="26">
        <f t="shared" si="10"/>
        <v>0</v>
      </c>
      <c r="I72" s="28">
        <f>+H72*$D$24/1000</f>
        <v>0</v>
      </c>
      <c r="J72" s="26">
        <f t="shared" si="11"/>
        <v>0</v>
      </c>
      <c r="K72" s="28">
        <f>+J72*$D$24/1000</f>
        <v>0</v>
      </c>
    </row>
    <row r="73" spans="2:11" x14ac:dyDescent="0.3">
      <c r="B73" s="9">
        <v>1005</v>
      </c>
      <c r="C73" s="6" t="s">
        <v>132</v>
      </c>
      <c r="D73" s="24">
        <v>175000</v>
      </c>
      <c r="E73" s="24">
        <v>0</v>
      </c>
      <c r="F73" s="24">
        <f t="shared" si="12"/>
        <v>1750</v>
      </c>
      <c r="G73" s="25">
        <v>100000</v>
      </c>
      <c r="H73" s="26">
        <f t="shared" si="10"/>
        <v>75000</v>
      </c>
      <c r="I73" s="28">
        <f t="shared" ref="I73" si="17">+H73*$D$24/1000</f>
        <v>67.5</v>
      </c>
      <c r="J73" s="26">
        <f t="shared" si="11"/>
        <v>73250</v>
      </c>
      <c r="K73" s="28">
        <f t="shared" ref="K73" si="18">+J73*$D$24/1000</f>
        <v>65.924999999999997</v>
      </c>
    </row>
    <row r="74" spans="2:11" x14ac:dyDescent="0.3">
      <c r="B74" s="9">
        <v>1006</v>
      </c>
      <c r="C74" s="6" t="s">
        <v>132</v>
      </c>
      <c r="D74" s="24">
        <v>250000</v>
      </c>
      <c r="E74" s="24">
        <v>0</v>
      </c>
      <c r="F74" s="24">
        <f t="shared" si="12"/>
        <v>2500</v>
      </c>
      <c r="G74" s="25">
        <v>100000</v>
      </c>
      <c r="H74" s="26">
        <f t="shared" si="10"/>
        <v>150000</v>
      </c>
      <c r="I74" s="28">
        <f t="shared" ref="I74" si="19">+H74*$D$24/1000</f>
        <v>135</v>
      </c>
      <c r="J74" s="26">
        <f t="shared" si="11"/>
        <v>147500</v>
      </c>
      <c r="K74" s="28">
        <f t="shared" ref="K74" si="20">+J74*$D$24/1000</f>
        <v>132.75</v>
      </c>
    </row>
    <row r="75" spans="2:11" x14ac:dyDescent="0.3">
      <c r="B75" s="9">
        <v>1007</v>
      </c>
      <c r="C75" s="6" t="s">
        <v>133</v>
      </c>
      <c r="D75" s="24">
        <v>1000000</v>
      </c>
      <c r="E75" s="24">
        <v>0</v>
      </c>
      <c r="F75" s="24">
        <f t="shared" si="12"/>
        <v>10000</v>
      </c>
      <c r="G75" s="25">
        <v>100000</v>
      </c>
      <c r="H75" s="26">
        <f t="shared" si="10"/>
        <v>900000</v>
      </c>
      <c r="I75" s="28">
        <f>+H75*$D$25/1000</f>
        <v>585</v>
      </c>
      <c r="J75" s="26">
        <f t="shared" si="11"/>
        <v>890000</v>
      </c>
      <c r="K75" s="28">
        <f>+J75*$D$25/1000</f>
        <v>578.5</v>
      </c>
    </row>
    <row r="76" spans="2:11" x14ac:dyDescent="0.3">
      <c r="B76" s="9">
        <v>1008</v>
      </c>
      <c r="C76" s="6" t="s">
        <v>133</v>
      </c>
      <c r="D76" s="24">
        <v>200000</v>
      </c>
      <c r="E76" s="24">
        <v>0</v>
      </c>
      <c r="F76" s="24">
        <f t="shared" si="12"/>
        <v>2000</v>
      </c>
      <c r="G76" s="25">
        <v>100000</v>
      </c>
      <c r="H76" s="26">
        <f t="shared" si="10"/>
        <v>100000</v>
      </c>
      <c r="I76" s="28">
        <f t="shared" ref="I76" si="21">+H76*$D$25/1000</f>
        <v>65</v>
      </c>
      <c r="J76" s="26">
        <f t="shared" si="11"/>
        <v>98000</v>
      </c>
      <c r="K76" s="28">
        <f t="shared" ref="K76" si="22">+J76*$D$25/1000</f>
        <v>63.7</v>
      </c>
    </row>
    <row r="77" spans="2:11" x14ac:dyDescent="0.3">
      <c r="B77" s="9">
        <v>1009</v>
      </c>
      <c r="C77" s="6" t="s">
        <v>133</v>
      </c>
      <c r="D77" s="24">
        <v>75000</v>
      </c>
      <c r="E77" s="24">
        <v>0</v>
      </c>
      <c r="F77" s="24">
        <f t="shared" si="12"/>
        <v>750</v>
      </c>
      <c r="G77" s="25">
        <v>100000</v>
      </c>
      <c r="H77" s="26">
        <f t="shared" si="10"/>
        <v>0</v>
      </c>
      <c r="I77" s="28">
        <f t="shared" ref="I77" si="23">+H77*$D$25/1000</f>
        <v>0</v>
      </c>
      <c r="J77" s="26">
        <f t="shared" si="11"/>
        <v>0</v>
      </c>
      <c r="K77" s="28">
        <f t="shared" ref="K77" si="24">+J77*$D$25/1000</f>
        <v>0</v>
      </c>
    </row>
    <row r="78" spans="2:11" x14ac:dyDescent="0.3">
      <c r="B78" s="9">
        <v>1010</v>
      </c>
      <c r="C78" s="6" t="s">
        <v>134</v>
      </c>
      <c r="D78" s="24">
        <v>150000</v>
      </c>
      <c r="E78" s="24">
        <v>0</v>
      </c>
      <c r="F78" s="24">
        <f t="shared" si="12"/>
        <v>1500</v>
      </c>
      <c r="G78" s="25">
        <v>100000</v>
      </c>
      <c r="H78" s="26">
        <f t="shared" si="10"/>
        <v>50000</v>
      </c>
      <c r="I78" s="28">
        <f>+H78*$D$26/1000</f>
        <v>40</v>
      </c>
      <c r="J78" s="26">
        <f t="shared" si="11"/>
        <v>48500</v>
      </c>
      <c r="K78" s="28">
        <f>+J78*$D$26/1000</f>
        <v>38.799999999999997</v>
      </c>
    </row>
    <row r="79" spans="2:11" x14ac:dyDescent="0.3">
      <c r="B79" s="9">
        <v>1011</v>
      </c>
      <c r="C79" s="6" t="s">
        <v>134</v>
      </c>
      <c r="D79" s="24">
        <v>125000</v>
      </c>
      <c r="E79" s="24">
        <v>0</v>
      </c>
      <c r="F79" s="24">
        <f t="shared" si="12"/>
        <v>1250</v>
      </c>
      <c r="G79" s="25">
        <v>100000</v>
      </c>
      <c r="H79" s="26">
        <f t="shared" si="10"/>
        <v>25000</v>
      </c>
      <c r="I79" s="28">
        <f t="shared" ref="I79" si="25">+H79*$D$26/1000</f>
        <v>20</v>
      </c>
      <c r="J79" s="26">
        <f t="shared" si="11"/>
        <v>23750</v>
      </c>
      <c r="K79" s="28">
        <f t="shared" ref="K79" si="26">+J79*$D$26/1000</f>
        <v>19</v>
      </c>
    </row>
    <row r="80" spans="2:11" x14ac:dyDescent="0.3">
      <c r="B80" s="9">
        <v>1012</v>
      </c>
      <c r="C80" s="6" t="s">
        <v>134</v>
      </c>
      <c r="D80" s="24">
        <v>100000</v>
      </c>
      <c r="E80" s="24">
        <v>0</v>
      </c>
      <c r="F80" s="24">
        <f t="shared" si="12"/>
        <v>1000</v>
      </c>
      <c r="G80" s="25">
        <v>100000</v>
      </c>
      <c r="H80" s="26">
        <f t="shared" si="10"/>
        <v>0</v>
      </c>
      <c r="I80" s="28">
        <f t="shared" ref="I80" si="27">+H80*$D$26/1000</f>
        <v>0</v>
      </c>
      <c r="J80" s="26">
        <f t="shared" si="11"/>
        <v>0</v>
      </c>
      <c r="K80" s="28">
        <f t="shared" ref="K80" si="28">+J80*$D$26/1000</f>
        <v>0</v>
      </c>
    </row>
    <row r="81" spans="1:11" x14ac:dyDescent="0.3">
      <c r="B81" s="6" t="s">
        <v>149</v>
      </c>
      <c r="C81" s="6"/>
      <c r="D81" s="28">
        <f>+SUM(D69:D80)</f>
        <v>3045000</v>
      </c>
      <c r="E81" s="6"/>
      <c r="F81" s="6"/>
      <c r="G81" s="28"/>
      <c r="H81" s="28">
        <f>+SUM(H69:H80)</f>
        <v>1880000</v>
      </c>
      <c r="I81" s="28">
        <f>+SUM(I69:I80)</f>
        <v>1347.5</v>
      </c>
      <c r="J81" s="28">
        <f>+SUM(J69:J80)</f>
        <v>1853200</v>
      </c>
      <c r="K81" s="28">
        <f>+SUM(K69:K80)</f>
        <v>1327.825</v>
      </c>
    </row>
    <row r="82" spans="1:11" x14ac:dyDescent="0.3">
      <c r="B82" s="7" t="s">
        <v>151</v>
      </c>
      <c r="C82" s="6"/>
      <c r="D82" s="6"/>
      <c r="E82" s="6"/>
      <c r="F82" s="6"/>
      <c r="G82" s="6"/>
      <c r="H82" s="29"/>
      <c r="I82" s="6"/>
      <c r="J82" s="29"/>
      <c r="K82" s="6"/>
    </row>
    <row r="83" spans="1:11" x14ac:dyDescent="0.3">
      <c r="B83" s="6" t="s">
        <v>154</v>
      </c>
      <c r="C83" s="6"/>
      <c r="D83" s="28">
        <f>+I81</f>
        <v>1347.5</v>
      </c>
      <c r="E83" s="6"/>
      <c r="F83" s="6"/>
      <c r="G83" s="6"/>
      <c r="H83" s="29"/>
      <c r="I83" s="6"/>
      <c r="J83" s="29"/>
      <c r="K83" s="6"/>
    </row>
    <row r="84" spans="1:11" x14ac:dyDescent="0.3">
      <c r="B84" s="6" t="s">
        <v>155</v>
      </c>
      <c r="C84" s="6"/>
      <c r="D84" s="28">
        <f>+K81</f>
        <v>1327.825</v>
      </c>
      <c r="E84" s="6"/>
      <c r="F84" s="6"/>
      <c r="G84" s="6"/>
      <c r="H84" s="6"/>
      <c r="I84" s="6"/>
      <c r="J84" s="6"/>
      <c r="K84" s="6"/>
    </row>
    <row r="86" spans="1:11" x14ac:dyDescent="0.3">
      <c r="A86" t="s">
        <v>153</v>
      </c>
    </row>
    <row r="87" spans="1:11" x14ac:dyDescent="0.3">
      <c r="B87" s="6" t="s">
        <v>156</v>
      </c>
      <c r="C87" s="6"/>
      <c r="D87" s="6"/>
      <c r="E87" s="6"/>
      <c r="F87" s="6"/>
      <c r="G87" s="6"/>
      <c r="H87" s="6"/>
      <c r="I87" s="6"/>
      <c r="J87" s="6"/>
      <c r="K87" s="6"/>
    </row>
    <row r="88" spans="1:11" x14ac:dyDescent="0.3">
      <c r="B88" s="6" t="s">
        <v>158</v>
      </c>
      <c r="C88" s="6"/>
      <c r="D88" s="6"/>
      <c r="E88" s="6"/>
      <c r="F88" s="6"/>
      <c r="G88" s="6"/>
      <c r="H88" s="6"/>
      <c r="I88" s="6"/>
      <c r="J88" s="6"/>
      <c r="K88" s="6"/>
    </row>
    <row r="89" spans="1:11" x14ac:dyDescent="0.3">
      <c r="B89" s="6" t="s">
        <v>157</v>
      </c>
      <c r="C89" s="6"/>
      <c r="D89" s="6"/>
      <c r="E89" s="6"/>
      <c r="F89" s="6"/>
      <c r="G89" s="6"/>
      <c r="H89" s="6"/>
      <c r="I89" s="6"/>
      <c r="J89" s="6"/>
      <c r="K89" s="6"/>
    </row>
    <row r="90" spans="1:11" x14ac:dyDescent="0.3">
      <c r="B90" s="7" t="s">
        <v>208</v>
      </c>
      <c r="C90" s="6"/>
      <c r="D90" s="6"/>
      <c r="E90" s="6"/>
      <c r="F90" s="6"/>
      <c r="G90" s="6"/>
      <c r="H90" s="6"/>
      <c r="I90" s="6"/>
      <c r="J90" s="6"/>
      <c r="K90" s="6"/>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08D-3D55-4804-BDF6-43DFD68E7084}">
  <sheetPr codeName="Sheet5">
    <tabColor theme="9" tint="0.59999389629810485"/>
  </sheetPr>
  <dimension ref="A1:D48"/>
  <sheetViews>
    <sheetView showGridLines="0" zoomScale="115" zoomScaleNormal="115" workbookViewId="0"/>
  </sheetViews>
  <sheetFormatPr defaultRowHeight="14.4" x14ac:dyDescent="0.3"/>
  <cols>
    <col min="1" max="1" width="12" customWidth="1"/>
    <col min="2" max="2" width="13.44140625" customWidth="1"/>
    <col min="3" max="4" width="12.33203125" customWidth="1"/>
    <col min="5" max="9" width="12.109375" customWidth="1"/>
  </cols>
  <sheetData>
    <row r="1" spans="1:2" x14ac:dyDescent="0.3">
      <c r="A1" s="10" t="s">
        <v>162</v>
      </c>
    </row>
    <row r="3" spans="1:2" x14ac:dyDescent="0.3">
      <c r="A3" s="11" t="s">
        <v>1</v>
      </c>
    </row>
    <row r="4" spans="1:2" x14ac:dyDescent="0.3">
      <c r="A4" t="s">
        <v>160</v>
      </c>
    </row>
    <row r="6" spans="1:2" x14ac:dyDescent="0.3">
      <c r="A6" s="11" t="s">
        <v>2</v>
      </c>
    </row>
    <row r="7" spans="1:2" x14ac:dyDescent="0.3">
      <c r="A7" t="s">
        <v>111</v>
      </c>
      <c r="B7" t="s">
        <v>114</v>
      </c>
    </row>
    <row r="9" spans="1:2" x14ac:dyDescent="0.3">
      <c r="A9" s="11" t="s">
        <v>3</v>
      </c>
    </row>
    <row r="10" spans="1:2" x14ac:dyDescent="0.3">
      <c r="A10">
        <v>1</v>
      </c>
      <c r="B10" t="s">
        <v>161</v>
      </c>
    </row>
    <row r="13" spans="1:2" x14ac:dyDescent="0.3">
      <c r="A13" t="s">
        <v>290</v>
      </c>
    </row>
    <row r="14" spans="1:2" x14ac:dyDescent="0.3">
      <c r="A14" t="s">
        <v>294</v>
      </c>
    </row>
    <row r="15" spans="1:2" x14ac:dyDescent="0.3">
      <c r="A15" t="s">
        <v>265</v>
      </c>
    </row>
    <row r="16" spans="1:2" x14ac:dyDescent="0.3">
      <c r="A16" t="s">
        <v>266</v>
      </c>
    </row>
    <row r="17" spans="1:4" x14ac:dyDescent="0.3">
      <c r="A17" t="s">
        <v>267</v>
      </c>
    </row>
    <row r="18" spans="1:4" x14ac:dyDescent="0.3">
      <c r="A18" t="s">
        <v>268</v>
      </c>
    </row>
    <row r="20" spans="1:4" x14ac:dyDescent="0.3">
      <c r="A20" t="s">
        <v>269</v>
      </c>
    </row>
    <row r="21" spans="1:4" hidden="1" x14ac:dyDescent="0.3">
      <c r="C21" s="31">
        <v>0.04</v>
      </c>
      <c r="D21" s="31">
        <v>0.04</v>
      </c>
    </row>
    <row r="22" spans="1:4" x14ac:dyDescent="0.3">
      <c r="C22" s="31"/>
      <c r="D22" s="31"/>
    </row>
    <row r="23" spans="1:4" x14ac:dyDescent="0.3">
      <c r="A23" s="37" t="s">
        <v>270</v>
      </c>
      <c r="C23" s="14" t="s">
        <v>271</v>
      </c>
      <c r="D23" s="14" t="s">
        <v>272</v>
      </c>
    </row>
    <row r="24" spans="1:4" x14ac:dyDescent="0.3">
      <c r="A24" t="s">
        <v>273</v>
      </c>
      <c r="C24" s="18">
        <v>5000</v>
      </c>
      <c r="D24" s="18">
        <v>5000</v>
      </c>
    </row>
    <row r="25" spans="1:4" x14ac:dyDescent="0.3">
      <c r="A25" t="s">
        <v>274</v>
      </c>
      <c r="C25" s="18">
        <f>+C21*(C24+C26)/2</f>
        <v>50</v>
      </c>
      <c r="D25" s="18">
        <f>+D21*-C27+D21*(D24+D26)/2</f>
        <v>90</v>
      </c>
    </row>
    <row r="26" spans="1:4" x14ac:dyDescent="0.3">
      <c r="A26" t="s">
        <v>275</v>
      </c>
      <c r="C26" s="18">
        <f>-0.5*C24</f>
        <v>-2500</v>
      </c>
      <c r="D26" s="18">
        <f t="shared" ref="D26" si="0">-0.5*D24</f>
        <v>-2500</v>
      </c>
    </row>
    <row r="27" spans="1:4" x14ac:dyDescent="0.3">
      <c r="A27" t="s">
        <v>276</v>
      </c>
      <c r="C27" s="18">
        <f>-0.2*C24</f>
        <v>-1000</v>
      </c>
      <c r="D27" s="18">
        <f>-0.2*D24</f>
        <v>-1000</v>
      </c>
    </row>
    <row r="28" spans="1:4" x14ac:dyDescent="0.3">
      <c r="A28" t="s">
        <v>277</v>
      </c>
      <c r="C28" s="18">
        <v>0</v>
      </c>
      <c r="D28" s="18">
        <f>+C28</f>
        <v>0</v>
      </c>
    </row>
    <row r="29" spans="1:4" x14ac:dyDescent="0.3">
      <c r="A29" t="s">
        <v>278</v>
      </c>
      <c r="C29" s="18">
        <v>0</v>
      </c>
      <c r="D29" s="18">
        <f>+C29</f>
        <v>0</v>
      </c>
    </row>
    <row r="30" spans="1:4" x14ac:dyDescent="0.3">
      <c r="A30" t="s">
        <v>279</v>
      </c>
      <c r="C30" s="18">
        <f>+SUM(C24:C29)</f>
        <v>1550</v>
      </c>
      <c r="D30" s="18">
        <f>+SUM(D24:D29)</f>
        <v>1590</v>
      </c>
    </row>
    <row r="32" spans="1:4" x14ac:dyDescent="0.3">
      <c r="A32" s="37" t="s">
        <v>280</v>
      </c>
      <c r="C32" s="14" t="s">
        <v>271</v>
      </c>
      <c r="D32" s="14" t="s">
        <v>272</v>
      </c>
    </row>
    <row r="33" spans="1:4" x14ac:dyDescent="0.3">
      <c r="A33" s="2" t="s">
        <v>281</v>
      </c>
      <c r="C33" s="18">
        <f>+C30-C27</f>
        <v>2550</v>
      </c>
      <c r="D33" s="18">
        <f>+C33+D30-D27</f>
        <v>5140</v>
      </c>
    </row>
    <row r="34" spans="1:4" x14ac:dyDescent="0.3">
      <c r="A34" s="2" t="s">
        <v>285</v>
      </c>
      <c r="C34" s="18">
        <v>0</v>
      </c>
      <c r="D34" s="18">
        <v>0</v>
      </c>
    </row>
    <row r="35" spans="1:4" x14ac:dyDescent="0.3">
      <c r="A35" t="s">
        <v>286</v>
      </c>
      <c r="C35" s="18">
        <f>+SUM(C33:C34)</f>
        <v>2550</v>
      </c>
      <c r="D35" s="18">
        <f>+SUM(D33:D34)</f>
        <v>5140</v>
      </c>
    </row>
    <row r="36" spans="1:4" x14ac:dyDescent="0.3">
      <c r="A36" s="2" t="s">
        <v>282</v>
      </c>
      <c r="C36" s="18">
        <f>-C27</f>
        <v>1000</v>
      </c>
      <c r="D36" s="18">
        <f>+C36-D27</f>
        <v>2000</v>
      </c>
    </row>
    <row r="37" spans="1:4" x14ac:dyDescent="0.3">
      <c r="A37" s="2" t="s">
        <v>283</v>
      </c>
      <c r="C37" s="18">
        <v>0</v>
      </c>
      <c r="D37" s="18">
        <v>0</v>
      </c>
    </row>
    <row r="38" spans="1:4" x14ac:dyDescent="0.3">
      <c r="A38" s="2" t="s">
        <v>287</v>
      </c>
      <c r="C38" s="18">
        <v>0</v>
      </c>
      <c r="D38" s="18">
        <v>0</v>
      </c>
    </row>
    <row r="39" spans="1:4" x14ac:dyDescent="0.3">
      <c r="A39" t="s">
        <v>288</v>
      </c>
      <c r="C39" s="18">
        <f>+SUM(C36:C38)</f>
        <v>1000</v>
      </c>
      <c r="D39" s="18">
        <f>+SUM(D36:D38)</f>
        <v>2000</v>
      </c>
    </row>
    <row r="40" spans="1:4" x14ac:dyDescent="0.3">
      <c r="A40" t="s">
        <v>284</v>
      </c>
      <c r="C40" s="18">
        <f>+C35-C39</f>
        <v>1550</v>
      </c>
      <c r="D40" s="18">
        <f>+D35-D39</f>
        <v>3140</v>
      </c>
    </row>
    <row r="42" spans="1:4" x14ac:dyDescent="0.3">
      <c r="A42" t="s">
        <v>289</v>
      </c>
    </row>
    <row r="45" spans="1:4" x14ac:dyDescent="0.3">
      <c r="A45" t="s">
        <v>291</v>
      </c>
    </row>
    <row r="46" spans="1:4" x14ac:dyDescent="0.3">
      <c r="B46" t="s">
        <v>328</v>
      </c>
    </row>
    <row r="47" spans="1:4" x14ac:dyDescent="0.3">
      <c r="B47" t="s">
        <v>329</v>
      </c>
    </row>
    <row r="48" spans="1:4" x14ac:dyDescent="0.3">
      <c r="B48" t="s">
        <v>330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9A47D-06E3-4A41-8A4B-5AE10C14DBAD}">
  <sheetPr codeName="Sheet6">
    <tabColor theme="5" tint="0.39997558519241921"/>
  </sheetPr>
  <dimension ref="A1:J129"/>
  <sheetViews>
    <sheetView showGridLines="0" zoomScale="115" zoomScaleNormal="115" workbookViewId="0"/>
  </sheetViews>
  <sheetFormatPr defaultRowHeight="14.4" x14ac:dyDescent="0.3"/>
  <cols>
    <col min="1" max="1" width="12" customWidth="1"/>
    <col min="2" max="2" width="16.5546875" customWidth="1"/>
    <col min="3" max="4" width="12.33203125" customWidth="1"/>
    <col min="5" max="9" width="12.109375" customWidth="1"/>
  </cols>
  <sheetData>
    <row r="1" spans="1:2" x14ac:dyDescent="0.3">
      <c r="A1" s="10" t="s">
        <v>162</v>
      </c>
    </row>
    <row r="3" spans="1:2" x14ac:dyDescent="0.3">
      <c r="A3" s="11" t="s">
        <v>1</v>
      </c>
    </row>
    <row r="4" spans="1:2" x14ac:dyDescent="0.3">
      <c r="A4" t="s">
        <v>160</v>
      </c>
    </row>
    <row r="6" spans="1:2" x14ac:dyDescent="0.3">
      <c r="A6" s="11" t="s">
        <v>2</v>
      </c>
    </row>
    <row r="7" spans="1:2" x14ac:dyDescent="0.3">
      <c r="A7" t="s">
        <v>111</v>
      </c>
      <c r="B7" t="s">
        <v>114</v>
      </c>
    </row>
    <row r="9" spans="1:2" x14ac:dyDescent="0.3">
      <c r="A9" s="11" t="s">
        <v>3</v>
      </c>
    </row>
    <row r="10" spans="1:2" x14ac:dyDescent="0.3">
      <c r="A10">
        <v>1</v>
      </c>
      <c r="B10" t="s">
        <v>161</v>
      </c>
    </row>
    <row r="13" spans="1:2" x14ac:dyDescent="0.3">
      <c r="A13" t="s">
        <v>290</v>
      </c>
    </row>
    <row r="14" spans="1:2" x14ac:dyDescent="0.3">
      <c r="A14" t="s">
        <v>294</v>
      </c>
    </row>
    <row r="15" spans="1:2" x14ac:dyDescent="0.3">
      <c r="A15" t="s">
        <v>265</v>
      </c>
    </row>
    <row r="16" spans="1:2" x14ac:dyDescent="0.3">
      <c r="A16" t="s">
        <v>266</v>
      </c>
    </row>
    <row r="17" spans="1:5" x14ac:dyDescent="0.3">
      <c r="A17" t="s">
        <v>267</v>
      </c>
      <c r="E17" s="39">
        <v>0.06</v>
      </c>
    </row>
    <row r="18" spans="1:5" x14ac:dyDescent="0.3">
      <c r="A18" t="s">
        <v>268</v>
      </c>
    </row>
    <row r="20" spans="1:5" x14ac:dyDescent="0.3">
      <c r="A20" t="s">
        <v>269</v>
      </c>
    </row>
    <row r="21" spans="1:5" x14ac:dyDescent="0.3">
      <c r="C21" s="31"/>
      <c r="D21" s="31"/>
    </row>
    <row r="22" spans="1:5" x14ac:dyDescent="0.3">
      <c r="A22" s="38" t="s">
        <v>270</v>
      </c>
      <c r="C22" s="14" t="s">
        <v>271</v>
      </c>
      <c r="D22" s="14" t="s">
        <v>272</v>
      </c>
    </row>
    <row r="23" spans="1:5" x14ac:dyDescent="0.3">
      <c r="A23" t="s">
        <v>273</v>
      </c>
      <c r="C23" s="18">
        <f>+'Q3'!C24</f>
        <v>5000</v>
      </c>
      <c r="D23" s="18">
        <f>+'Q3'!D24</f>
        <v>5000</v>
      </c>
    </row>
    <row r="24" spans="1:5" x14ac:dyDescent="0.3">
      <c r="A24" t="s">
        <v>274</v>
      </c>
      <c r="C24" s="18">
        <f>+'Q3'!C25</f>
        <v>50</v>
      </c>
      <c r="D24" s="18">
        <f>+'Q3'!D25</f>
        <v>90</v>
      </c>
    </row>
    <row r="25" spans="1:5" x14ac:dyDescent="0.3">
      <c r="A25" t="s">
        <v>275</v>
      </c>
      <c r="C25" s="18">
        <f>+'Q3'!C26</f>
        <v>-2500</v>
      </c>
      <c r="D25" s="18">
        <f>+'Q3'!D26</f>
        <v>-2500</v>
      </c>
    </row>
    <row r="26" spans="1:5" x14ac:dyDescent="0.3">
      <c r="A26" t="s">
        <v>276</v>
      </c>
      <c r="C26" s="18">
        <f>+'Q3'!C27</f>
        <v>-1000</v>
      </c>
      <c r="D26" s="18">
        <f>+'Q3'!D27</f>
        <v>-1000</v>
      </c>
    </row>
    <row r="27" spans="1:5" x14ac:dyDescent="0.3">
      <c r="A27" t="s">
        <v>277</v>
      </c>
      <c r="C27" s="18">
        <f>+'Q3'!C28</f>
        <v>0</v>
      </c>
      <c r="D27" s="18">
        <f>+'Q3'!D28</f>
        <v>0</v>
      </c>
    </row>
    <row r="28" spans="1:5" x14ac:dyDescent="0.3">
      <c r="A28" t="s">
        <v>278</v>
      </c>
      <c r="C28" s="18">
        <f>+'Q3'!C29</f>
        <v>0</v>
      </c>
      <c r="D28" s="18">
        <f>+'Q3'!D29</f>
        <v>0</v>
      </c>
    </row>
    <row r="29" spans="1:5" x14ac:dyDescent="0.3">
      <c r="A29" t="s">
        <v>279</v>
      </c>
      <c r="C29" s="18">
        <f>+'Q3'!C30</f>
        <v>1550</v>
      </c>
      <c r="D29" s="18">
        <f>+'Q3'!D30</f>
        <v>1590</v>
      </c>
    </row>
    <row r="31" spans="1:5" x14ac:dyDescent="0.3">
      <c r="A31" s="38" t="s">
        <v>280</v>
      </c>
      <c r="C31" s="14" t="s">
        <v>271</v>
      </c>
      <c r="D31" s="14" t="s">
        <v>272</v>
      </c>
    </row>
    <row r="32" spans="1:5" x14ac:dyDescent="0.3">
      <c r="A32" s="2" t="s">
        <v>281</v>
      </c>
      <c r="C32" s="18">
        <f>+'Q3'!C33</f>
        <v>2550</v>
      </c>
      <c r="D32" s="18">
        <f>+'Q3'!D33</f>
        <v>5140</v>
      </c>
    </row>
    <row r="33" spans="1:8" x14ac:dyDescent="0.3">
      <c r="A33" s="2" t="s">
        <v>285</v>
      </c>
      <c r="C33" s="18">
        <f>+'Q3'!C34</f>
        <v>0</v>
      </c>
      <c r="D33" s="18">
        <f>+'Q3'!D34</f>
        <v>0</v>
      </c>
    </row>
    <row r="34" spans="1:8" x14ac:dyDescent="0.3">
      <c r="A34" t="s">
        <v>286</v>
      </c>
      <c r="C34" s="18">
        <f>+'Q3'!C35</f>
        <v>2550</v>
      </c>
      <c r="D34" s="18">
        <f>+'Q3'!D35</f>
        <v>5140</v>
      </c>
    </row>
    <row r="35" spans="1:8" x14ac:dyDescent="0.3">
      <c r="A35" s="2" t="s">
        <v>282</v>
      </c>
      <c r="C35" s="18">
        <f>+'Q3'!C36</f>
        <v>1000</v>
      </c>
      <c r="D35" s="18">
        <f>+'Q3'!D36</f>
        <v>2000</v>
      </c>
    </row>
    <row r="36" spans="1:8" x14ac:dyDescent="0.3">
      <c r="A36" s="2" t="s">
        <v>283</v>
      </c>
      <c r="C36" s="18">
        <f>+'Q3'!C37</f>
        <v>0</v>
      </c>
      <c r="D36" s="18">
        <f>+'Q3'!D37</f>
        <v>0</v>
      </c>
    </row>
    <row r="37" spans="1:8" x14ac:dyDescent="0.3">
      <c r="A37" s="2" t="s">
        <v>287</v>
      </c>
      <c r="C37" s="18">
        <f>+'Q3'!C38</f>
        <v>0</v>
      </c>
      <c r="D37" s="18">
        <f>+'Q3'!D38</f>
        <v>0</v>
      </c>
    </row>
    <row r="38" spans="1:8" x14ac:dyDescent="0.3">
      <c r="A38" t="s">
        <v>288</v>
      </c>
      <c r="C38" s="18">
        <f>+'Q3'!C39</f>
        <v>1000</v>
      </c>
      <c r="D38" s="18">
        <f>+'Q3'!D39</f>
        <v>2000</v>
      </c>
    </row>
    <row r="39" spans="1:8" x14ac:dyDescent="0.3">
      <c r="A39" t="s">
        <v>284</v>
      </c>
      <c r="C39" s="18">
        <f>+'Q3'!C40</f>
        <v>1550</v>
      </c>
      <c r="D39" s="18">
        <f>+'Q3'!D40</f>
        <v>3140</v>
      </c>
    </row>
    <row r="41" spans="1:8" x14ac:dyDescent="0.3">
      <c r="A41" t="s">
        <v>289</v>
      </c>
    </row>
    <row r="44" spans="1:8" x14ac:dyDescent="0.3">
      <c r="A44" t="s">
        <v>291</v>
      </c>
    </row>
    <row r="45" spans="1:8" x14ac:dyDescent="0.3">
      <c r="A45" s="39">
        <v>0.8</v>
      </c>
      <c r="B45" t="s">
        <v>328</v>
      </c>
    </row>
    <row r="47" spans="1:8" x14ac:dyDescent="0.3">
      <c r="A47" s="6"/>
      <c r="B47" s="6"/>
      <c r="C47" s="73" t="s">
        <v>292</v>
      </c>
      <c r="D47" s="73"/>
      <c r="E47" s="73" t="s">
        <v>293</v>
      </c>
      <c r="F47" s="73"/>
      <c r="G47" s="6"/>
      <c r="H47" s="6"/>
    </row>
    <row r="48" spans="1:8" x14ac:dyDescent="0.3">
      <c r="A48" s="40" t="s">
        <v>270</v>
      </c>
      <c r="B48" s="6"/>
      <c r="C48" s="33" t="s">
        <v>271</v>
      </c>
      <c r="D48" s="33" t="s">
        <v>272</v>
      </c>
      <c r="E48" s="33" t="s">
        <v>271</v>
      </c>
      <c r="F48" s="33" t="s">
        <v>272</v>
      </c>
      <c r="G48" s="6"/>
      <c r="H48" s="6"/>
    </row>
    <row r="49" spans="1:8" x14ac:dyDescent="0.3">
      <c r="A49" s="6" t="s">
        <v>273</v>
      </c>
      <c r="B49" s="6"/>
      <c r="C49" s="35">
        <f>+(1-$A$45)*C23</f>
        <v>999.99999999999977</v>
      </c>
      <c r="D49" s="35">
        <f t="shared" ref="D49:D55" si="0">+(1-$A$45)*D23</f>
        <v>999.99999999999977</v>
      </c>
      <c r="E49" s="35">
        <f>+$A$45*C23</f>
        <v>4000</v>
      </c>
      <c r="F49" s="35">
        <f t="shared" ref="F49:F55" si="1">+$A$45*D23</f>
        <v>4000</v>
      </c>
      <c r="G49" s="6"/>
      <c r="H49" s="6"/>
    </row>
    <row r="50" spans="1:8" x14ac:dyDescent="0.3">
      <c r="A50" s="6" t="s">
        <v>274</v>
      </c>
      <c r="B50" s="6"/>
      <c r="C50" s="35">
        <f t="shared" ref="C50" si="2">+(1-$A$45)*C24</f>
        <v>9.9999999999999982</v>
      </c>
      <c r="D50" s="35">
        <f t="shared" si="0"/>
        <v>17.999999999999996</v>
      </c>
      <c r="E50" s="35">
        <f t="shared" ref="E50:E55" si="3">+$A$45*C24</f>
        <v>40</v>
      </c>
      <c r="F50" s="35">
        <f t="shared" si="1"/>
        <v>72</v>
      </c>
      <c r="G50" s="6"/>
      <c r="H50" s="6"/>
    </row>
    <row r="51" spans="1:8" x14ac:dyDescent="0.3">
      <c r="A51" s="6" t="s">
        <v>275</v>
      </c>
      <c r="B51" s="6"/>
      <c r="C51" s="35">
        <f t="shared" ref="C51" si="4">+(1-$A$45)*C25</f>
        <v>-499.99999999999989</v>
      </c>
      <c r="D51" s="35">
        <f t="shared" si="0"/>
        <v>-499.99999999999989</v>
      </c>
      <c r="E51" s="35">
        <f t="shared" si="3"/>
        <v>-2000</v>
      </c>
      <c r="F51" s="35">
        <f t="shared" si="1"/>
        <v>-2000</v>
      </c>
      <c r="G51" s="6"/>
      <c r="H51" s="6"/>
    </row>
    <row r="52" spans="1:8" x14ac:dyDescent="0.3">
      <c r="A52" s="6" t="s">
        <v>276</v>
      </c>
      <c r="B52" s="6"/>
      <c r="C52" s="35">
        <f t="shared" ref="C52" si="5">+(1-$A$45)*C26</f>
        <v>-199.99999999999994</v>
      </c>
      <c r="D52" s="35">
        <f t="shared" si="0"/>
        <v>-199.99999999999994</v>
      </c>
      <c r="E52" s="35">
        <f t="shared" si="3"/>
        <v>-800</v>
      </c>
      <c r="F52" s="35">
        <f t="shared" si="1"/>
        <v>-800</v>
      </c>
      <c r="G52" s="6"/>
      <c r="H52" s="6"/>
    </row>
    <row r="53" spans="1:8" x14ac:dyDescent="0.3">
      <c r="A53" s="6" t="s">
        <v>277</v>
      </c>
      <c r="B53" s="6"/>
      <c r="C53" s="35">
        <f t="shared" ref="C53" si="6">+(1-$A$45)*C27</f>
        <v>0</v>
      </c>
      <c r="D53" s="35">
        <f t="shared" si="0"/>
        <v>0</v>
      </c>
      <c r="E53" s="35">
        <f t="shared" si="3"/>
        <v>0</v>
      </c>
      <c r="F53" s="35">
        <f t="shared" si="1"/>
        <v>0</v>
      </c>
      <c r="G53" s="6"/>
      <c r="H53" s="6"/>
    </row>
    <row r="54" spans="1:8" x14ac:dyDescent="0.3">
      <c r="A54" s="6" t="s">
        <v>278</v>
      </c>
      <c r="B54" s="6"/>
      <c r="C54" s="35">
        <f t="shared" ref="C54" si="7">+(1-$A$45)*C28</f>
        <v>0</v>
      </c>
      <c r="D54" s="35">
        <f t="shared" si="0"/>
        <v>0</v>
      </c>
      <c r="E54" s="35">
        <f t="shared" si="3"/>
        <v>0</v>
      </c>
      <c r="F54" s="35">
        <f t="shared" si="1"/>
        <v>0</v>
      </c>
      <c r="G54" s="6"/>
      <c r="H54" s="6"/>
    </row>
    <row r="55" spans="1:8" x14ac:dyDescent="0.3">
      <c r="A55" s="6" t="s">
        <v>279</v>
      </c>
      <c r="B55" s="6"/>
      <c r="C55" s="35">
        <f t="shared" ref="C55" si="8">+(1-$A$45)*C29</f>
        <v>309.99999999999994</v>
      </c>
      <c r="D55" s="35">
        <f t="shared" si="0"/>
        <v>317.99999999999994</v>
      </c>
      <c r="E55" s="35">
        <f t="shared" si="3"/>
        <v>1240</v>
      </c>
      <c r="F55" s="35">
        <f t="shared" si="1"/>
        <v>1272</v>
      </c>
      <c r="G55" s="6"/>
      <c r="H55" s="6"/>
    </row>
    <row r="56" spans="1:8" x14ac:dyDescent="0.3">
      <c r="A56" s="6"/>
      <c r="B56" s="6"/>
      <c r="C56" s="6"/>
      <c r="D56" s="6"/>
      <c r="E56" s="6"/>
      <c r="F56" s="6"/>
      <c r="G56" s="6"/>
      <c r="H56" s="6"/>
    </row>
    <row r="57" spans="1:8" x14ac:dyDescent="0.3">
      <c r="A57" s="40" t="s">
        <v>280</v>
      </c>
      <c r="B57" s="6"/>
      <c r="C57" s="33" t="s">
        <v>271</v>
      </c>
      <c r="D57" s="33" t="s">
        <v>272</v>
      </c>
      <c r="E57" s="33" t="s">
        <v>271</v>
      </c>
      <c r="F57" s="33" t="s">
        <v>272</v>
      </c>
      <c r="G57" s="6"/>
      <c r="H57" s="6"/>
    </row>
    <row r="58" spans="1:8" x14ac:dyDescent="0.3">
      <c r="A58" s="8" t="s">
        <v>281</v>
      </c>
      <c r="B58" s="6"/>
      <c r="C58" s="35">
        <f t="shared" ref="C58:D65" si="9">+(1-$A$45)*C32</f>
        <v>509.99999999999989</v>
      </c>
      <c r="D58" s="35">
        <f t="shared" si="9"/>
        <v>1027.9999999999998</v>
      </c>
      <c r="E58" s="35">
        <f t="shared" ref="E58:E65" si="10">+$A$45*C32</f>
        <v>2040</v>
      </c>
      <c r="F58" s="35">
        <f t="shared" ref="F58:F65" si="11">+$A$45*D32</f>
        <v>4112</v>
      </c>
      <c r="G58" s="6"/>
      <c r="H58" s="6"/>
    </row>
    <row r="59" spans="1:8" x14ac:dyDescent="0.3">
      <c r="A59" s="8" t="s">
        <v>285</v>
      </c>
      <c r="B59" s="6"/>
      <c r="C59" s="35">
        <f t="shared" ref="C59" si="12">+(1-$A$45)*C33</f>
        <v>0</v>
      </c>
      <c r="D59" s="35">
        <f t="shared" si="9"/>
        <v>0</v>
      </c>
      <c r="E59" s="35">
        <f t="shared" si="10"/>
        <v>0</v>
      </c>
      <c r="F59" s="35">
        <f t="shared" si="11"/>
        <v>0</v>
      </c>
      <c r="G59" s="6"/>
      <c r="H59" s="6"/>
    </row>
    <row r="60" spans="1:8" x14ac:dyDescent="0.3">
      <c r="A60" s="6" t="s">
        <v>286</v>
      </c>
      <c r="B60" s="6"/>
      <c r="C60" s="35">
        <f t="shared" ref="C60" si="13">+(1-$A$45)*C34</f>
        <v>509.99999999999989</v>
      </c>
      <c r="D60" s="35">
        <f t="shared" si="9"/>
        <v>1027.9999999999998</v>
      </c>
      <c r="E60" s="35">
        <f t="shared" si="10"/>
        <v>2040</v>
      </c>
      <c r="F60" s="35">
        <f t="shared" si="11"/>
        <v>4112</v>
      </c>
      <c r="G60" s="6"/>
      <c r="H60" s="6"/>
    </row>
    <row r="61" spans="1:8" x14ac:dyDescent="0.3">
      <c r="A61" s="8" t="s">
        <v>282</v>
      </c>
      <c r="B61" s="6"/>
      <c r="C61" s="35">
        <f t="shared" ref="C61" si="14">+(1-$A$45)*C35</f>
        <v>199.99999999999994</v>
      </c>
      <c r="D61" s="35">
        <f t="shared" si="9"/>
        <v>399.99999999999989</v>
      </c>
      <c r="E61" s="35">
        <f t="shared" si="10"/>
        <v>800</v>
      </c>
      <c r="F61" s="35">
        <f t="shared" si="11"/>
        <v>1600</v>
      </c>
      <c r="G61" s="6"/>
      <c r="H61" s="6"/>
    </row>
    <row r="62" spans="1:8" x14ac:dyDescent="0.3">
      <c r="A62" s="8" t="s">
        <v>283</v>
      </c>
      <c r="B62" s="6"/>
      <c r="C62" s="35">
        <f t="shared" ref="C62" si="15">+(1-$A$45)*C36</f>
        <v>0</v>
      </c>
      <c r="D62" s="35">
        <f t="shared" si="9"/>
        <v>0</v>
      </c>
      <c r="E62" s="35">
        <f t="shared" si="10"/>
        <v>0</v>
      </c>
      <c r="F62" s="35">
        <f t="shared" si="11"/>
        <v>0</v>
      </c>
      <c r="G62" s="6"/>
      <c r="H62" s="6"/>
    </row>
    <row r="63" spans="1:8" x14ac:dyDescent="0.3">
      <c r="A63" s="8" t="s">
        <v>287</v>
      </c>
      <c r="B63" s="6"/>
      <c r="C63" s="35">
        <f t="shared" ref="C63" si="16">+(1-$A$45)*C37</f>
        <v>0</v>
      </c>
      <c r="D63" s="35">
        <f t="shared" si="9"/>
        <v>0</v>
      </c>
      <c r="E63" s="35">
        <f t="shared" si="10"/>
        <v>0</v>
      </c>
      <c r="F63" s="35">
        <f t="shared" si="11"/>
        <v>0</v>
      </c>
      <c r="G63" s="6"/>
      <c r="H63" s="6"/>
    </row>
    <row r="64" spans="1:8" x14ac:dyDescent="0.3">
      <c r="A64" s="6" t="s">
        <v>288</v>
      </c>
      <c r="B64" s="6"/>
      <c r="C64" s="35">
        <f t="shared" ref="C64" si="17">+(1-$A$45)*C38</f>
        <v>199.99999999999994</v>
      </c>
      <c r="D64" s="35">
        <f t="shared" si="9"/>
        <v>399.99999999999989</v>
      </c>
      <c r="E64" s="35">
        <f t="shared" si="10"/>
        <v>800</v>
      </c>
      <c r="F64" s="35">
        <f t="shared" si="11"/>
        <v>1600</v>
      </c>
      <c r="G64" s="6"/>
      <c r="H64" s="6"/>
    </row>
    <row r="65" spans="1:10" x14ac:dyDescent="0.3">
      <c r="A65" s="6" t="s">
        <v>284</v>
      </c>
      <c r="B65" s="6"/>
      <c r="C65" s="35">
        <f t="shared" ref="C65" si="18">+(1-$A$45)*C39</f>
        <v>309.99999999999994</v>
      </c>
      <c r="D65" s="35">
        <f t="shared" si="9"/>
        <v>627.99999999999989</v>
      </c>
      <c r="E65" s="35">
        <f t="shared" si="10"/>
        <v>1240</v>
      </c>
      <c r="F65" s="35">
        <f t="shared" si="11"/>
        <v>2512</v>
      </c>
      <c r="G65" s="6"/>
      <c r="H65" s="6"/>
    </row>
    <row r="66" spans="1:10" x14ac:dyDescent="0.3">
      <c r="A66" s="7" t="s">
        <v>295</v>
      </c>
      <c r="B66" s="6"/>
      <c r="C66" s="35"/>
      <c r="D66" s="35"/>
      <c r="E66" s="6"/>
      <c r="F66" s="6"/>
      <c r="G66" s="6"/>
      <c r="H66" s="6"/>
    </row>
    <row r="67" spans="1:10" x14ac:dyDescent="0.3">
      <c r="C67" s="18"/>
      <c r="D67" s="18"/>
    </row>
    <row r="68" spans="1:10" x14ac:dyDescent="0.3">
      <c r="C68" s="18"/>
      <c r="D68" s="18"/>
    </row>
    <row r="69" spans="1:10" x14ac:dyDescent="0.3">
      <c r="A69" s="31">
        <f>+A45</f>
        <v>0.8</v>
      </c>
      <c r="B69" t="s">
        <v>329</v>
      </c>
    </row>
    <row r="71" spans="1:10" x14ac:dyDescent="0.3">
      <c r="A71" s="7" t="s">
        <v>296</v>
      </c>
      <c r="B71" s="6"/>
      <c r="C71" s="6"/>
      <c r="D71" s="6"/>
      <c r="E71" s="6"/>
      <c r="F71" s="6"/>
      <c r="G71" s="6"/>
      <c r="H71" s="6"/>
      <c r="I71" s="6"/>
      <c r="J71" s="6"/>
    </row>
    <row r="72" spans="1:10" x14ac:dyDescent="0.3">
      <c r="A72" s="6"/>
      <c r="B72" s="6"/>
      <c r="C72" s="33" t="s">
        <v>271</v>
      </c>
      <c r="D72" s="33" t="s">
        <v>272</v>
      </c>
      <c r="E72" s="33"/>
      <c r="F72" s="33"/>
      <c r="G72" s="33"/>
      <c r="H72" s="33" t="s">
        <v>271</v>
      </c>
      <c r="I72" s="33" t="s">
        <v>297</v>
      </c>
      <c r="J72" s="6"/>
    </row>
    <row r="73" spans="1:10" x14ac:dyDescent="0.3">
      <c r="A73" s="6" t="s">
        <v>298</v>
      </c>
      <c r="B73" s="6"/>
      <c r="C73" s="35">
        <v>0</v>
      </c>
      <c r="D73" s="35">
        <f>+C76</f>
        <v>800</v>
      </c>
      <c r="E73" s="6"/>
      <c r="F73" s="6" t="s">
        <v>302</v>
      </c>
      <c r="G73" s="6"/>
      <c r="H73" s="35">
        <f>+$A$69*C23</f>
        <v>4000</v>
      </c>
      <c r="I73" s="35">
        <f>+$A$69*D23</f>
        <v>4000</v>
      </c>
      <c r="J73" s="6"/>
    </row>
    <row r="74" spans="1:10" x14ac:dyDescent="0.3">
      <c r="A74" s="6" t="s">
        <v>300</v>
      </c>
      <c r="B74" s="6"/>
      <c r="C74" s="35">
        <v>0</v>
      </c>
      <c r="D74" s="35">
        <f>+E17*D73</f>
        <v>48</v>
      </c>
      <c r="E74" s="6"/>
      <c r="F74" s="6" t="s">
        <v>303</v>
      </c>
      <c r="G74" s="6"/>
      <c r="H74" s="35">
        <f>+$A$69*C25</f>
        <v>-2000</v>
      </c>
      <c r="I74" s="35">
        <f>+$A$69*D25</f>
        <v>-2000</v>
      </c>
      <c r="J74" s="6"/>
    </row>
    <row r="75" spans="1:10" x14ac:dyDescent="0.3">
      <c r="A75" s="6" t="s">
        <v>299</v>
      </c>
      <c r="B75" s="6"/>
      <c r="C75" s="35">
        <f>+C76-C74</f>
        <v>800</v>
      </c>
      <c r="D75" s="35">
        <f>+D76-D73-D74</f>
        <v>752</v>
      </c>
      <c r="E75" s="6"/>
      <c r="F75" s="6" t="s">
        <v>277</v>
      </c>
      <c r="G75" s="6"/>
      <c r="H75" s="35">
        <f>+C75</f>
        <v>800</v>
      </c>
      <c r="I75" s="35">
        <f>+D75</f>
        <v>752</v>
      </c>
      <c r="J75" s="6"/>
    </row>
    <row r="76" spans="1:10" x14ac:dyDescent="0.3">
      <c r="A76" s="6" t="s">
        <v>301</v>
      </c>
      <c r="B76" s="6"/>
      <c r="C76" s="35">
        <f>+A69*C35</f>
        <v>800</v>
      </c>
      <c r="D76" s="35">
        <f>+A69*D35</f>
        <v>1600</v>
      </c>
      <c r="E76" s="6"/>
      <c r="F76" s="6" t="s">
        <v>304</v>
      </c>
      <c r="G76" s="6"/>
      <c r="H76" s="35">
        <f>+H73+H74-H75</f>
        <v>1200</v>
      </c>
      <c r="I76" s="35">
        <f>+I73+I74-I75</f>
        <v>1248</v>
      </c>
      <c r="J76" s="6"/>
    </row>
    <row r="77" spans="1:10" x14ac:dyDescent="0.3">
      <c r="A77" s="6"/>
      <c r="B77" s="6"/>
      <c r="C77" s="6"/>
      <c r="D77" s="6"/>
      <c r="E77" s="6"/>
      <c r="F77" s="6"/>
      <c r="G77" s="6"/>
      <c r="H77" s="6"/>
      <c r="I77" s="6"/>
      <c r="J77" s="6"/>
    </row>
    <row r="78" spans="1:10" x14ac:dyDescent="0.3">
      <c r="A78" s="6"/>
      <c r="B78" s="6"/>
      <c r="C78" s="73" t="s">
        <v>292</v>
      </c>
      <c r="D78" s="73"/>
      <c r="E78" s="73" t="s">
        <v>293</v>
      </c>
      <c r="F78" s="73"/>
      <c r="G78" s="6"/>
      <c r="H78" s="6"/>
      <c r="I78" s="6"/>
      <c r="J78" s="6"/>
    </row>
    <row r="79" spans="1:10" x14ac:dyDescent="0.3">
      <c r="A79" s="40" t="s">
        <v>270</v>
      </c>
      <c r="B79" s="6"/>
      <c r="C79" s="33" t="s">
        <v>271</v>
      </c>
      <c r="D79" s="33" t="s">
        <v>272</v>
      </c>
      <c r="E79" s="33" t="s">
        <v>271</v>
      </c>
      <c r="F79" s="33" t="s">
        <v>272</v>
      </c>
      <c r="G79" s="6"/>
      <c r="H79" s="6"/>
      <c r="I79" s="6"/>
      <c r="J79" s="6"/>
    </row>
    <row r="80" spans="1:10" x14ac:dyDescent="0.3">
      <c r="A80" s="6" t="s">
        <v>273</v>
      </c>
      <c r="B80" s="6"/>
      <c r="C80" s="35">
        <f>+C49</f>
        <v>999.99999999999977</v>
      </c>
      <c r="D80" s="35">
        <f t="shared" ref="D80:F80" si="19">+D49</f>
        <v>999.99999999999977</v>
      </c>
      <c r="E80" s="35">
        <f t="shared" si="19"/>
        <v>4000</v>
      </c>
      <c r="F80" s="35">
        <f t="shared" si="19"/>
        <v>4000</v>
      </c>
      <c r="G80" s="7" t="s">
        <v>305</v>
      </c>
      <c r="H80" s="6"/>
      <c r="I80" s="6"/>
      <c r="J80" s="6"/>
    </row>
    <row r="81" spans="1:10" x14ac:dyDescent="0.3">
      <c r="A81" s="6" t="s">
        <v>274</v>
      </c>
      <c r="B81" s="6"/>
      <c r="C81" s="35">
        <f>+C50</f>
        <v>9.9999999999999982</v>
      </c>
      <c r="D81" s="35">
        <f>+D74+D50</f>
        <v>66</v>
      </c>
      <c r="E81" s="35">
        <f>+E50</f>
        <v>40</v>
      </c>
      <c r="F81" s="35">
        <f>+F50-D74</f>
        <v>24</v>
      </c>
      <c r="G81" s="7" t="s">
        <v>306</v>
      </c>
      <c r="H81" s="6"/>
      <c r="I81" s="6"/>
      <c r="J81" s="6"/>
    </row>
    <row r="82" spans="1:10" x14ac:dyDescent="0.3">
      <c r="A82" s="6" t="s">
        <v>275</v>
      </c>
      <c r="B82" s="6"/>
      <c r="C82" s="35">
        <f>+C51</f>
        <v>-499.99999999999989</v>
      </c>
      <c r="D82" s="35">
        <f t="shared" ref="D82:F82" si="20">+D51</f>
        <v>-499.99999999999989</v>
      </c>
      <c r="E82" s="35">
        <f t="shared" si="20"/>
        <v>-2000</v>
      </c>
      <c r="F82" s="35">
        <f t="shared" si="20"/>
        <v>-2000</v>
      </c>
      <c r="G82" s="7" t="s">
        <v>307</v>
      </c>
      <c r="H82" s="6"/>
      <c r="I82" s="6"/>
      <c r="J82" s="6"/>
    </row>
    <row r="83" spans="1:10" x14ac:dyDescent="0.3">
      <c r="A83" s="6" t="s">
        <v>276</v>
      </c>
      <c r="B83" s="6"/>
      <c r="C83" s="35">
        <f>+C52</f>
        <v>-199.99999999999994</v>
      </c>
      <c r="D83" s="35">
        <f t="shared" ref="D83" si="21">+D52</f>
        <v>-199.99999999999994</v>
      </c>
      <c r="E83" s="35">
        <v>0</v>
      </c>
      <c r="F83" s="35">
        <v>0</v>
      </c>
      <c r="G83" s="7" t="s">
        <v>308</v>
      </c>
      <c r="H83" s="6"/>
      <c r="I83" s="6"/>
      <c r="J83" s="6"/>
    </row>
    <row r="84" spans="1:10" x14ac:dyDescent="0.3">
      <c r="A84" s="6" t="s">
        <v>277</v>
      </c>
      <c r="B84" s="6"/>
      <c r="C84" s="35">
        <f>+C75</f>
        <v>800</v>
      </c>
      <c r="D84" s="35">
        <f>+D75</f>
        <v>752</v>
      </c>
      <c r="E84" s="35">
        <f>-C84</f>
        <v>-800</v>
      </c>
      <c r="F84" s="35">
        <f t="shared" ref="F84" si="22">-D84</f>
        <v>-752</v>
      </c>
      <c r="G84" s="7" t="s">
        <v>309</v>
      </c>
      <c r="H84" s="6"/>
      <c r="I84" s="6"/>
      <c r="J84" s="6"/>
    </row>
    <row r="85" spans="1:10" x14ac:dyDescent="0.3">
      <c r="A85" s="6" t="s">
        <v>278</v>
      </c>
      <c r="B85" s="6"/>
      <c r="C85" s="35">
        <f>-C76+C73</f>
        <v>-800</v>
      </c>
      <c r="D85" s="35">
        <f>-D76+D73</f>
        <v>-800</v>
      </c>
      <c r="E85" s="35">
        <v>0</v>
      </c>
      <c r="F85" s="35">
        <v>0</v>
      </c>
      <c r="G85" s="7" t="s">
        <v>312</v>
      </c>
      <c r="H85" s="6"/>
      <c r="I85" s="6"/>
      <c r="J85" s="6"/>
    </row>
    <row r="86" spans="1:10" x14ac:dyDescent="0.3">
      <c r="A86" s="6" t="s">
        <v>279</v>
      </c>
      <c r="B86" s="6"/>
      <c r="C86" s="35">
        <f>+SUM(C80:C85)</f>
        <v>310</v>
      </c>
      <c r="D86" s="35">
        <f t="shared" ref="D86:F86" si="23">+SUM(D80:D85)</f>
        <v>318</v>
      </c>
      <c r="E86" s="35">
        <f t="shared" si="23"/>
        <v>1240</v>
      </c>
      <c r="F86" s="35">
        <f t="shared" si="23"/>
        <v>1272</v>
      </c>
      <c r="G86" s="7" t="s">
        <v>316</v>
      </c>
      <c r="H86" s="6"/>
      <c r="I86" s="6"/>
      <c r="J86" s="6"/>
    </row>
    <row r="87" spans="1:10" x14ac:dyDescent="0.3">
      <c r="A87" s="6"/>
      <c r="B87" s="6"/>
      <c r="C87" s="6"/>
      <c r="D87" s="6"/>
      <c r="E87" s="6"/>
      <c r="F87" s="6"/>
      <c r="G87" s="6"/>
      <c r="H87" s="6"/>
      <c r="I87" s="6"/>
      <c r="J87" s="6"/>
    </row>
    <row r="88" spans="1:10" x14ac:dyDescent="0.3">
      <c r="A88" s="40" t="s">
        <v>280</v>
      </c>
      <c r="B88" s="6"/>
      <c r="C88" s="33" t="s">
        <v>271</v>
      </c>
      <c r="D88" s="33" t="s">
        <v>272</v>
      </c>
      <c r="E88" s="33" t="s">
        <v>271</v>
      </c>
      <c r="F88" s="33" t="s">
        <v>272</v>
      </c>
      <c r="G88" s="6"/>
      <c r="H88" s="6"/>
      <c r="I88" s="6"/>
      <c r="J88" s="6"/>
    </row>
    <row r="89" spans="1:10" x14ac:dyDescent="0.3">
      <c r="A89" s="8" t="s">
        <v>281</v>
      </c>
      <c r="B89" s="6"/>
      <c r="C89" s="35">
        <f>+C80+C81+C82+C84</f>
        <v>1310</v>
      </c>
      <c r="D89" s="35">
        <f>+C89+D80+D81+D82+D84</f>
        <v>2628</v>
      </c>
      <c r="E89" s="35">
        <f>+E80+E81+E82+E84</f>
        <v>1240</v>
      </c>
      <c r="F89" s="35">
        <f>+E89+F80+F81+F82+F84</f>
        <v>2512</v>
      </c>
      <c r="G89" s="7" t="s">
        <v>310</v>
      </c>
      <c r="H89" s="6"/>
      <c r="I89" s="6"/>
      <c r="J89" s="6"/>
    </row>
    <row r="90" spans="1:10" x14ac:dyDescent="0.3">
      <c r="A90" s="8" t="s">
        <v>285</v>
      </c>
      <c r="B90" s="6"/>
      <c r="C90" s="35">
        <f>+'Q3'!C84</f>
        <v>0</v>
      </c>
      <c r="D90" s="35">
        <f>+'Q3'!D84</f>
        <v>0</v>
      </c>
      <c r="E90" s="35"/>
      <c r="F90" s="35"/>
      <c r="G90" s="7"/>
      <c r="H90" s="6"/>
      <c r="I90" s="6"/>
      <c r="J90" s="6"/>
    </row>
    <row r="91" spans="1:10" x14ac:dyDescent="0.3">
      <c r="A91" s="6" t="s">
        <v>286</v>
      </c>
      <c r="B91" s="6"/>
      <c r="C91" s="35">
        <f>+SUM(C89:C90)</f>
        <v>1310</v>
      </c>
      <c r="D91" s="35">
        <f t="shared" ref="D91:F91" si="24">+SUM(D89:D90)</f>
        <v>2628</v>
      </c>
      <c r="E91" s="35">
        <f t="shared" si="24"/>
        <v>1240</v>
      </c>
      <c r="F91" s="35">
        <f t="shared" si="24"/>
        <v>2512</v>
      </c>
      <c r="G91" s="7"/>
      <c r="H91" s="6"/>
      <c r="I91" s="6"/>
      <c r="J91" s="6"/>
    </row>
    <row r="92" spans="1:10" x14ac:dyDescent="0.3">
      <c r="A92" s="8" t="s">
        <v>282</v>
      </c>
      <c r="B92" s="6"/>
      <c r="C92" s="35">
        <f>+C61</f>
        <v>199.99999999999994</v>
      </c>
      <c r="D92" s="35">
        <f>+D61</f>
        <v>399.99999999999989</v>
      </c>
      <c r="E92" s="35"/>
      <c r="F92" s="35"/>
      <c r="G92" s="7" t="s">
        <v>313</v>
      </c>
      <c r="H92" s="6"/>
      <c r="I92" s="6"/>
      <c r="J92" s="6"/>
    </row>
    <row r="93" spans="1:10" x14ac:dyDescent="0.3">
      <c r="A93" s="8" t="s">
        <v>283</v>
      </c>
      <c r="B93" s="6"/>
      <c r="C93" s="35">
        <f>+C76</f>
        <v>800</v>
      </c>
      <c r="D93" s="35">
        <f>+D76</f>
        <v>1600</v>
      </c>
      <c r="E93" s="35"/>
      <c r="F93" s="35"/>
      <c r="G93" s="7" t="s">
        <v>311</v>
      </c>
      <c r="H93" s="6"/>
      <c r="I93" s="6"/>
      <c r="J93" s="6"/>
    </row>
    <row r="94" spans="1:10" x14ac:dyDescent="0.3">
      <c r="A94" s="8" t="s">
        <v>287</v>
      </c>
      <c r="B94" s="6"/>
      <c r="C94" s="35">
        <f>+'Q3'!C88</f>
        <v>0</v>
      </c>
      <c r="D94" s="35">
        <f>+'Q3'!D88</f>
        <v>0</v>
      </c>
      <c r="E94" s="35"/>
      <c r="F94" s="35"/>
      <c r="G94" s="7"/>
      <c r="H94" s="6"/>
      <c r="I94" s="6"/>
      <c r="J94" s="6"/>
    </row>
    <row r="95" spans="1:10" x14ac:dyDescent="0.3">
      <c r="A95" s="6" t="s">
        <v>288</v>
      </c>
      <c r="B95" s="6"/>
      <c r="C95" s="35">
        <f>+SUM(C92:C94)</f>
        <v>1000</v>
      </c>
      <c r="D95" s="35">
        <f t="shared" ref="D95:E95" si="25">+SUM(D92:D94)</f>
        <v>2000</v>
      </c>
      <c r="E95" s="35">
        <f t="shared" si="25"/>
        <v>0</v>
      </c>
      <c r="F95" s="35">
        <f t="shared" ref="F95" si="26">+SUM(F92:F94)</f>
        <v>0</v>
      </c>
      <c r="G95" s="7" t="s">
        <v>314</v>
      </c>
      <c r="H95" s="6"/>
      <c r="I95" s="6"/>
      <c r="J95" s="6"/>
    </row>
    <row r="96" spans="1:10" x14ac:dyDescent="0.3">
      <c r="A96" s="6" t="s">
        <v>284</v>
      </c>
      <c r="B96" s="6"/>
      <c r="C96" s="35">
        <f>+C91-C95</f>
        <v>310</v>
      </c>
      <c r="D96" s="35">
        <f t="shared" ref="D96:E96" si="27">+D91-D95</f>
        <v>628</v>
      </c>
      <c r="E96" s="35">
        <f t="shared" si="27"/>
        <v>1240</v>
      </c>
      <c r="F96" s="35">
        <f t="shared" ref="F96" si="28">+F91-F95</f>
        <v>2512</v>
      </c>
      <c r="G96" s="7" t="s">
        <v>315</v>
      </c>
      <c r="H96" s="6"/>
      <c r="I96" s="6"/>
      <c r="J96" s="6"/>
    </row>
    <row r="97" spans="1:10" x14ac:dyDescent="0.3">
      <c r="A97" s="6"/>
      <c r="B97" s="6"/>
      <c r="C97" s="35"/>
      <c r="D97" s="35"/>
      <c r="E97" s="35"/>
      <c r="F97" s="35"/>
      <c r="G97" s="6"/>
      <c r="H97" s="6"/>
      <c r="I97" s="6"/>
      <c r="J97" s="6"/>
    </row>
    <row r="98" spans="1:10" x14ac:dyDescent="0.3">
      <c r="C98" s="18"/>
      <c r="D98" s="18"/>
      <c r="E98" s="18"/>
      <c r="F98" s="18"/>
    </row>
    <row r="99" spans="1:10" x14ac:dyDescent="0.3">
      <c r="A99" s="31">
        <f>+A69</f>
        <v>0.8</v>
      </c>
      <c r="B99" t="s">
        <v>330</v>
      </c>
    </row>
    <row r="100" spans="1:10" x14ac:dyDescent="0.3">
      <c r="A100" s="31"/>
    </row>
    <row r="101" spans="1:10" x14ac:dyDescent="0.3">
      <c r="A101" s="7" t="s">
        <v>317</v>
      </c>
      <c r="B101" s="6"/>
      <c r="C101" s="6"/>
      <c r="D101" s="6"/>
      <c r="E101" s="6"/>
      <c r="F101" s="6"/>
      <c r="G101" s="6"/>
      <c r="H101" s="6"/>
      <c r="I101" s="6"/>
      <c r="J101" s="6"/>
    </row>
    <row r="102" spans="1:10" x14ac:dyDescent="0.3">
      <c r="A102" s="6"/>
      <c r="B102" s="6"/>
      <c r="C102" s="33" t="s">
        <v>271</v>
      </c>
      <c r="D102" s="33" t="s">
        <v>272</v>
      </c>
      <c r="E102" s="33"/>
      <c r="F102" s="33"/>
      <c r="G102" s="33"/>
      <c r="H102" s="33" t="s">
        <v>271</v>
      </c>
      <c r="I102" s="33" t="s">
        <v>297</v>
      </c>
      <c r="J102" s="6"/>
    </row>
    <row r="103" spans="1:10" x14ac:dyDescent="0.3">
      <c r="A103" s="6" t="s">
        <v>318</v>
      </c>
      <c r="B103" s="6"/>
      <c r="C103" s="35">
        <v>0</v>
      </c>
      <c r="D103" s="35">
        <f>+C106</f>
        <v>800</v>
      </c>
      <c r="E103" s="6"/>
      <c r="F103" s="6" t="s">
        <v>302</v>
      </c>
      <c r="G103" s="6"/>
      <c r="H103" s="35">
        <f>+E49</f>
        <v>4000</v>
      </c>
      <c r="I103" s="35">
        <f t="shared" ref="I103" si="29">+F49</f>
        <v>4000</v>
      </c>
      <c r="J103" s="6"/>
    </row>
    <row r="104" spans="1:10" x14ac:dyDescent="0.3">
      <c r="A104" s="6" t="s">
        <v>319</v>
      </c>
      <c r="B104" s="6"/>
      <c r="C104" s="35">
        <f>+C24-C50</f>
        <v>40</v>
      </c>
      <c r="D104" s="35">
        <f>+D24-D50</f>
        <v>72</v>
      </c>
      <c r="E104" s="6"/>
      <c r="F104" s="6" t="s">
        <v>303</v>
      </c>
      <c r="G104" s="6"/>
      <c r="H104" s="35">
        <f>+E51</f>
        <v>-2000</v>
      </c>
      <c r="I104" s="35">
        <f t="shared" ref="I104" si="30">+F51</f>
        <v>-2000</v>
      </c>
      <c r="J104" s="6"/>
    </row>
    <row r="105" spans="1:10" x14ac:dyDescent="0.3">
      <c r="A105" s="6" t="s">
        <v>320</v>
      </c>
      <c r="B105" s="6"/>
      <c r="C105" s="35">
        <f>+C106-C104</f>
        <v>760</v>
      </c>
      <c r="D105" s="35">
        <f>+D106-D103-D104</f>
        <v>728</v>
      </c>
      <c r="E105" s="6"/>
      <c r="F105" s="6" t="s">
        <v>320</v>
      </c>
      <c r="G105" s="6"/>
      <c r="H105" s="35">
        <f>+C105</f>
        <v>760</v>
      </c>
      <c r="I105" s="35">
        <f>+D105</f>
        <v>728</v>
      </c>
      <c r="J105" s="6"/>
    </row>
    <row r="106" spans="1:10" x14ac:dyDescent="0.3">
      <c r="A106" s="6" t="s">
        <v>321</v>
      </c>
      <c r="B106" s="6"/>
      <c r="C106" s="35">
        <f>+E61</f>
        <v>800</v>
      </c>
      <c r="D106" s="35">
        <f>+F61</f>
        <v>1600</v>
      </c>
      <c r="E106" s="6"/>
      <c r="F106" s="6" t="s">
        <v>304</v>
      </c>
      <c r="G106" s="6"/>
      <c r="H106" s="35">
        <f>+H103+H104-H105</f>
        <v>1240</v>
      </c>
      <c r="I106" s="35">
        <f>+I103+I104-I105</f>
        <v>1272</v>
      </c>
      <c r="J106" s="6"/>
    </row>
    <row r="107" spans="1:10" x14ac:dyDescent="0.3">
      <c r="A107" s="7" t="s">
        <v>322</v>
      </c>
      <c r="B107" s="6"/>
      <c r="C107" s="6"/>
      <c r="D107" s="6"/>
      <c r="E107" s="6"/>
      <c r="F107" s="6"/>
      <c r="G107" s="6"/>
      <c r="H107" s="6"/>
      <c r="I107" s="6"/>
      <c r="J107" s="6"/>
    </row>
    <row r="108" spans="1:10" x14ac:dyDescent="0.3">
      <c r="A108" s="7"/>
      <c r="B108" s="6"/>
      <c r="C108" s="6"/>
      <c r="D108" s="6"/>
      <c r="E108" s="6"/>
      <c r="F108" s="6"/>
      <c r="G108" s="6"/>
      <c r="H108" s="6"/>
      <c r="I108" s="6"/>
      <c r="J108" s="6"/>
    </row>
    <row r="109" spans="1:10" x14ac:dyDescent="0.3">
      <c r="A109" s="6"/>
      <c r="B109" s="6"/>
      <c r="C109" s="73" t="s">
        <v>292</v>
      </c>
      <c r="D109" s="73"/>
      <c r="E109" s="73" t="s">
        <v>293</v>
      </c>
      <c r="F109" s="73"/>
      <c r="G109" s="6"/>
      <c r="H109" s="6"/>
      <c r="I109" s="6"/>
      <c r="J109" s="6"/>
    </row>
    <row r="110" spans="1:10" x14ac:dyDescent="0.3">
      <c r="A110" s="40" t="s">
        <v>270</v>
      </c>
      <c r="B110" s="6"/>
      <c r="C110" s="33" t="s">
        <v>271</v>
      </c>
      <c r="D110" s="33" t="s">
        <v>272</v>
      </c>
      <c r="E110" s="33" t="s">
        <v>271</v>
      </c>
      <c r="F110" s="33" t="s">
        <v>272</v>
      </c>
      <c r="G110" s="6"/>
      <c r="H110" s="6"/>
      <c r="I110" s="6"/>
      <c r="J110" s="6"/>
    </row>
    <row r="111" spans="1:10" x14ac:dyDescent="0.3">
      <c r="A111" s="6" t="s">
        <v>273</v>
      </c>
      <c r="B111" s="6"/>
      <c r="C111" s="35">
        <f>+C49</f>
        <v>999.99999999999977</v>
      </c>
      <c r="D111" s="35">
        <f t="shared" ref="D111:F111" si="31">+D49</f>
        <v>999.99999999999977</v>
      </c>
      <c r="E111" s="35">
        <f t="shared" si="31"/>
        <v>4000</v>
      </c>
      <c r="F111" s="35">
        <f t="shared" si="31"/>
        <v>4000</v>
      </c>
      <c r="G111" s="7" t="s">
        <v>323</v>
      </c>
      <c r="H111" s="6"/>
      <c r="I111" s="6"/>
      <c r="J111" s="6"/>
    </row>
    <row r="112" spans="1:10" x14ac:dyDescent="0.3">
      <c r="A112" s="6" t="s">
        <v>274</v>
      </c>
      <c r="B112" s="6"/>
      <c r="C112" s="35">
        <f t="shared" ref="C112:F112" si="32">+C50</f>
        <v>9.9999999999999982</v>
      </c>
      <c r="D112" s="35">
        <f t="shared" si="32"/>
        <v>17.999999999999996</v>
      </c>
      <c r="E112" s="35">
        <f t="shared" si="32"/>
        <v>40</v>
      </c>
      <c r="F112" s="35">
        <f t="shared" si="32"/>
        <v>72</v>
      </c>
      <c r="G112" s="6"/>
      <c r="H112" s="6"/>
      <c r="I112" s="6"/>
      <c r="J112" s="6"/>
    </row>
    <row r="113" spans="1:10" x14ac:dyDescent="0.3">
      <c r="A113" s="6" t="s">
        <v>275</v>
      </c>
      <c r="B113" s="6"/>
      <c r="C113" s="35">
        <f t="shared" ref="C113:F113" si="33">+C51</f>
        <v>-499.99999999999989</v>
      </c>
      <c r="D113" s="35">
        <f t="shared" si="33"/>
        <v>-499.99999999999989</v>
      </c>
      <c r="E113" s="35">
        <f t="shared" si="33"/>
        <v>-2000</v>
      </c>
      <c r="F113" s="35">
        <f t="shared" si="33"/>
        <v>-2000</v>
      </c>
      <c r="G113" s="6"/>
      <c r="H113" s="6"/>
      <c r="I113" s="6"/>
      <c r="J113" s="6"/>
    </row>
    <row r="114" spans="1:10" x14ac:dyDescent="0.3">
      <c r="A114" s="6" t="s">
        <v>276</v>
      </c>
      <c r="B114" s="6"/>
      <c r="C114" s="35">
        <f>+C52</f>
        <v>-199.99999999999994</v>
      </c>
      <c r="D114" s="35">
        <f t="shared" ref="D114:F114" si="34">+D52</f>
        <v>-199.99999999999994</v>
      </c>
      <c r="E114" s="35">
        <f t="shared" si="34"/>
        <v>-800</v>
      </c>
      <c r="F114" s="35">
        <f t="shared" si="34"/>
        <v>-800</v>
      </c>
      <c r="G114" s="6"/>
      <c r="H114" s="6"/>
      <c r="I114" s="6"/>
      <c r="J114" s="6"/>
    </row>
    <row r="115" spans="1:10" x14ac:dyDescent="0.3">
      <c r="A115" s="6" t="s">
        <v>277</v>
      </c>
      <c r="B115" s="6"/>
      <c r="C115" s="35">
        <f>+'Q3'!C99</f>
        <v>0</v>
      </c>
      <c r="D115" s="35">
        <f>+'Q3'!D99</f>
        <v>0</v>
      </c>
      <c r="E115" s="35"/>
      <c r="F115" s="35"/>
      <c r="G115" s="6"/>
      <c r="H115" s="6"/>
      <c r="I115" s="6"/>
      <c r="J115" s="6"/>
    </row>
    <row r="116" spans="1:10" x14ac:dyDescent="0.3">
      <c r="A116" s="6" t="s">
        <v>278</v>
      </c>
      <c r="B116" s="6"/>
      <c r="C116" s="35">
        <f>+'Q3'!C100</f>
        <v>0</v>
      </c>
      <c r="D116" s="35">
        <f>+'Q3'!D100</f>
        <v>0</v>
      </c>
      <c r="E116" s="35"/>
      <c r="F116" s="35"/>
      <c r="G116" s="6"/>
      <c r="H116" s="6"/>
      <c r="I116" s="6"/>
      <c r="J116" s="6"/>
    </row>
    <row r="117" spans="1:10" x14ac:dyDescent="0.3">
      <c r="A117" s="6" t="s">
        <v>279</v>
      </c>
      <c r="B117" s="6"/>
      <c r="C117" s="35">
        <f>+SUM(C111:C116)</f>
        <v>309.99999999999994</v>
      </c>
      <c r="D117" s="35">
        <f t="shared" ref="D117:F117" si="35">+SUM(D111:D116)</f>
        <v>317.99999999999994</v>
      </c>
      <c r="E117" s="35">
        <f t="shared" si="35"/>
        <v>1240</v>
      </c>
      <c r="F117" s="35">
        <f t="shared" si="35"/>
        <v>1272</v>
      </c>
      <c r="G117" s="7" t="s">
        <v>316</v>
      </c>
      <c r="H117" s="6"/>
      <c r="I117" s="6"/>
      <c r="J117" s="6"/>
    </row>
    <row r="118" spans="1:10" x14ac:dyDescent="0.3">
      <c r="A118" s="6"/>
      <c r="B118" s="6"/>
      <c r="C118" s="6"/>
      <c r="D118" s="6"/>
      <c r="E118" s="6"/>
      <c r="F118" s="6"/>
      <c r="G118" s="6"/>
      <c r="H118" s="6"/>
      <c r="I118" s="6"/>
      <c r="J118" s="6"/>
    </row>
    <row r="119" spans="1:10" x14ac:dyDescent="0.3">
      <c r="A119" s="40" t="s">
        <v>280</v>
      </c>
      <c r="B119" s="6"/>
      <c r="C119" s="33" t="s">
        <v>271</v>
      </c>
      <c r="D119" s="33" t="s">
        <v>272</v>
      </c>
      <c r="E119" s="33" t="s">
        <v>271</v>
      </c>
      <c r="F119" s="33" t="s">
        <v>272</v>
      </c>
      <c r="G119" s="6"/>
      <c r="H119" s="6"/>
      <c r="I119" s="6"/>
      <c r="J119" s="6"/>
    </row>
    <row r="120" spans="1:10" x14ac:dyDescent="0.3">
      <c r="A120" s="8" t="s">
        <v>281</v>
      </c>
      <c r="B120" s="6"/>
      <c r="C120" s="35">
        <f>+C111+C112+C113+C106</f>
        <v>1310</v>
      </c>
      <c r="D120" s="35">
        <f>+C120+D111+D112+D113+D106-D103</f>
        <v>2628</v>
      </c>
      <c r="E120" s="35">
        <f>+H106</f>
        <v>1240</v>
      </c>
      <c r="F120" s="35">
        <f>+E120+I106</f>
        <v>2512</v>
      </c>
      <c r="G120" s="7" t="s">
        <v>327</v>
      </c>
      <c r="H120" s="6"/>
      <c r="I120" s="6"/>
      <c r="J120" s="6"/>
    </row>
    <row r="121" spans="1:10" x14ac:dyDescent="0.3">
      <c r="A121" s="8" t="s">
        <v>285</v>
      </c>
      <c r="B121" s="6"/>
      <c r="C121" s="35">
        <f>+'Q3'!C105</f>
        <v>0</v>
      </c>
      <c r="D121" s="35">
        <f>+'Q3'!D105</f>
        <v>0</v>
      </c>
      <c r="E121" s="35">
        <f>+C106</f>
        <v>800</v>
      </c>
      <c r="F121" s="35">
        <f>+D106</f>
        <v>1600</v>
      </c>
      <c r="G121" s="7" t="s">
        <v>324</v>
      </c>
      <c r="H121" s="6"/>
      <c r="I121" s="6"/>
      <c r="J121" s="6"/>
    </row>
    <row r="122" spans="1:10" x14ac:dyDescent="0.3">
      <c r="A122" s="6" t="s">
        <v>286</v>
      </c>
      <c r="B122" s="6"/>
      <c r="C122" s="35">
        <f>+SUM(C120:C121)</f>
        <v>1310</v>
      </c>
      <c r="D122" s="35">
        <f t="shared" ref="D122:F122" si="36">+SUM(D120:D121)</f>
        <v>2628</v>
      </c>
      <c r="E122" s="35">
        <f t="shared" si="36"/>
        <v>2040</v>
      </c>
      <c r="F122" s="35">
        <f t="shared" si="36"/>
        <v>4112</v>
      </c>
      <c r="G122" s="7"/>
      <c r="H122" s="6"/>
      <c r="I122" s="6"/>
      <c r="J122" s="6"/>
    </row>
    <row r="123" spans="1:10" x14ac:dyDescent="0.3">
      <c r="A123" s="8" t="s">
        <v>282</v>
      </c>
      <c r="B123" s="6"/>
      <c r="C123" s="35">
        <f>+C61</f>
        <v>199.99999999999994</v>
      </c>
      <c r="D123" s="35">
        <f>+D61</f>
        <v>399.99999999999989</v>
      </c>
      <c r="E123" s="35">
        <f>+E61</f>
        <v>800</v>
      </c>
      <c r="F123" s="35">
        <f>+F61</f>
        <v>1600</v>
      </c>
      <c r="G123" s="7" t="s">
        <v>325</v>
      </c>
      <c r="H123" s="6"/>
      <c r="I123" s="6"/>
      <c r="J123" s="6"/>
    </row>
    <row r="124" spans="1:10" x14ac:dyDescent="0.3">
      <c r="A124" s="8" t="s">
        <v>283</v>
      </c>
      <c r="B124" s="6"/>
      <c r="C124" s="35">
        <f>+'Q3'!C108</f>
        <v>0</v>
      </c>
      <c r="D124" s="35">
        <f>+'Q3'!D108</f>
        <v>0</v>
      </c>
      <c r="E124" s="35">
        <v>0</v>
      </c>
      <c r="F124" s="35">
        <v>0</v>
      </c>
      <c r="G124" s="7"/>
      <c r="H124" s="6"/>
      <c r="I124" s="6"/>
      <c r="J124" s="6"/>
    </row>
    <row r="125" spans="1:10" x14ac:dyDescent="0.3">
      <c r="A125" s="8" t="s">
        <v>287</v>
      </c>
      <c r="B125" s="6"/>
      <c r="C125" s="35">
        <f>+C106</f>
        <v>800</v>
      </c>
      <c r="D125" s="35">
        <f t="shared" ref="D125" si="37">+D106</f>
        <v>1600</v>
      </c>
      <c r="E125" s="35">
        <v>0</v>
      </c>
      <c r="F125" s="35">
        <v>0</v>
      </c>
      <c r="G125" s="7" t="s">
        <v>326</v>
      </c>
      <c r="H125" s="6"/>
      <c r="I125" s="6"/>
      <c r="J125" s="6"/>
    </row>
    <row r="126" spans="1:10" x14ac:dyDescent="0.3">
      <c r="A126" s="6" t="s">
        <v>288</v>
      </c>
      <c r="B126" s="6"/>
      <c r="C126" s="35">
        <f>+SUM(C123:C125)</f>
        <v>1000</v>
      </c>
      <c r="D126" s="35">
        <f t="shared" ref="D126:F126" si="38">+SUM(D123:D125)</f>
        <v>2000</v>
      </c>
      <c r="E126" s="35">
        <f t="shared" si="38"/>
        <v>800</v>
      </c>
      <c r="F126" s="35">
        <f t="shared" si="38"/>
        <v>1600</v>
      </c>
      <c r="G126" s="7"/>
      <c r="H126" s="6"/>
      <c r="I126" s="6"/>
      <c r="J126" s="6"/>
    </row>
    <row r="127" spans="1:10" x14ac:dyDescent="0.3">
      <c r="A127" s="6" t="s">
        <v>284</v>
      </c>
      <c r="B127" s="6"/>
      <c r="C127" s="35">
        <f>+C122-C126</f>
        <v>310</v>
      </c>
      <c r="D127" s="35">
        <f t="shared" ref="D127:F127" si="39">+D122-D126</f>
        <v>628</v>
      </c>
      <c r="E127" s="35">
        <f t="shared" si="39"/>
        <v>1240</v>
      </c>
      <c r="F127" s="35">
        <f t="shared" si="39"/>
        <v>2512</v>
      </c>
      <c r="G127" s="7" t="s">
        <v>315</v>
      </c>
      <c r="H127" s="6"/>
      <c r="I127" s="6"/>
      <c r="J127" s="6"/>
    </row>
    <row r="128" spans="1:10" x14ac:dyDescent="0.3">
      <c r="A128" s="6"/>
      <c r="B128" s="6"/>
      <c r="C128" s="6"/>
      <c r="D128" s="6"/>
      <c r="E128" s="6"/>
      <c r="F128" s="6"/>
      <c r="G128" s="6"/>
      <c r="H128" s="6"/>
      <c r="I128" s="6"/>
      <c r="J128" s="6"/>
    </row>
    <row r="129" spans="1:10" x14ac:dyDescent="0.3">
      <c r="A129" s="41" t="s">
        <v>331</v>
      </c>
      <c r="B129" s="6"/>
      <c r="C129" s="6"/>
      <c r="D129" s="6"/>
      <c r="E129" s="6"/>
      <c r="F129" s="6"/>
      <c r="G129" s="6"/>
      <c r="H129" s="6"/>
      <c r="I129" s="6"/>
      <c r="J129" s="6"/>
    </row>
  </sheetData>
  <mergeCells count="6">
    <mergeCell ref="C47:D47"/>
    <mergeCell ref="E47:F47"/>
    <mergeCell ref="C78:D78"/>
    <mergeCell ref="E78:F78"/>
    <mergeCell ref="C109:D109"/>
    <mergeCell ref="E109:F10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33781-D3F4-45DE-A0AE-6965855E3212}">
  <sheetPr codeName="Sheet7">
    <tabColor theme="9" tint="0.59999389629810485"/>
  </sheetPr>
  <dimension ref="A1:E59"/>
  <sheetViews>
    <sheetView showGridLines="0" zoomScale="115" zoomScaleNormal="115" workbookViewId="0"/>
  </sheetViews>
  <sheetFormatPr defaultRowHeight="14.4" x14ac:dyDescent="0.3"/>
  <cols>
    <col min="1" max="1" width="12" customWidth="1"/>
    <col min="2" max="2" width="8" customWidth="1"/>
    <col min="3" max="3" width="18" customWidth="1"/>
    <col min="4" max="4" width="15.44140625" customWidth="1"/>
    <col min="5" max="5" width="19.44140625" customWidth="1"/>
    <col min="6" max="6" width="18.6640625" customWidth="1"/>
    <col min="7" max="7" width="11.44140625" customWidth="1"/>
    <col min="8" max="8" width="15" customWidth="1"/>
    <col min="9" max="9" width="14.33203125" bestFit="1" customWidth="1"/>
  </cols>
  <sheetData>
    <row r="1" spans="1:2" x14ac:dyDescent="0.3">
      <c r="A1" s="10" t="s">
        <v>163</v>
      </c>
    </row>
    <row r="3" spans="1:2" x14ac:dyDescent="0.3">
      <c r="A3" s="11" t="s">
        <v>1</v>
      </c>
    </row>
    <row r="4" spans="1:2" x14ac:dyDescent="0.3">
      <c r="A4" t="s">
        <v>164</v>
      </c>
    </row>
    <row r="6" spans="1:2" x14ac:dyDescent="0.3">
      <c r="A6" s="11" t="s">
        <v>2</v>
      </c>
    </row>
    <row r="7" spans="1:2" x14ac:dyDescent="0.3">
      <c r="A7" t="s">
        <v>165</v>
      </c>
      <c r="B7" t="s">
        <v>166</v>
      </c>
    </row>
    <row r="9" spans="1:2" x14ac:dyDescent="0.3">
      <c r="A9" s="11" t="s">
        <v>3</v>
      </c>
    </row>
    <row r="10" spans="1:2" x14ac:dyDescent="0.3">
      <c r="A10">
        <v>1</v>
      </c>
      <c r="B10" t="s">
        <v>167</v>
      </c>
    </row>
    <row r="13" spans="1:2" x14ac:dyDescent="0.3">
      <c r="A13" t="s">
        <v>196</v>
      </c>
    </row>
    <row r="15" spans="1:2" x14ac:dyDescent="0.3">
      <c r="A15" t="s">
        <v>168</v>
      </c>
    </row>
    <row r="17" spans="2:4" ht="28.8" x14ac:dyDescent="0.3">
      <c r="B17" s="14" t="s">
        <v>122</v>
      </c>
      <c r="C17" s="14" t="s">
        <v>125</v>
      </c>
      <c r="D17" s="15" t="s">
        <v>169</v>
      </c>
    </row>
    <row r="18" spans="2:4" x14ac:dyDescent="0.3">
      <c r="B18">
        <v>1</v>
      </c>
      <c r="C18" s="19">
        <v>8000000</v>
      </c>
      <c r="D18" s="30">
        <v>0.03</v>
      </c>
    </row>
    <row r="19" spans="2:4" x14ac:dyDescent="0.3">
      <c r="B19">
        <v>2</v>
      </c>
      <c r="C19" s="19">
        <v>10000000</v>
      </c>
      <c r="D19" s="30">
        <v>0.02</v>
      </c>
    </row>
    <row r="20" spans="2:4" x14ac:dyDescent="0.3">
      <c r="B20">
        <v>3</v>
      </c>
      <c r="C20" s="19">
        <v>8000000</v>
      </c>
      <c r="D20" s="30">
        <v>0.03</v>
      </c>
    </row>
    <row r="21" spans="2:4" x14ac:dyDescent="0.3">
      <c r="B21">
        <v>4</v>
      </c>
      <c r="C21" s="19">
        <v>5000000</v>
      </c>
      <c r="D21" s="30">
        <v>0.04</v>
      </c>
    </row>
    <row r="22" spans="2:4" x14ac:dyDescent="0.3">
      <c r="B22">
        <v>5</v>
      </c>
      <c r="C22" s="19">
        <v>12000000</v>
      </c>
      <c r="D22" s="30">
        <v>0.02</v>
      </c>
    </row>
    <row r="23" spans="2:4" x14ac:dyDescent="0.3">
      <c r="B23">
        <v>6</v>
      </c>
      <c r="C23" s="19">
        <v>15000000</v>
      </c>
      <c r="D23" s="30">
        <v>0.04</v>
      </c>
    </row>
    <row r="24" spans="2:4" x14ac:dyDescent="0.3">
      <c r="B24">
        <v>7</v>
      </c>
      <c r="C24" s="19">
        <v>10000000</v>
      </c>
      <c r="D24" s="30">
        <v>0.04</v>
      </c>
    </row>
    <row r="25" spans="2:4" x14ac:dyDescent="0.3">
      <c r="B25">
        <v>8</v>
      </c>
      <c r="C25" s="19">
        <v>8000000</v>
      </c>
      <c r="D25" s="30">
        <v>2.5000000000000001E-2</v>
      </c>
    </row>
    <row r="26" spans="2:4" x14ac:dyDescent="0.3">
      <c r="B26">
        <v>9</v>
      </c>
      <c r="C26" s="19">
        <v>12000000</v>
      </c>
      <c r="D26" s="30">
        <v>0.02</v>
      </c>
    </row>
    <row r="27" spans="2:4" x14ac:dyDescent="0.3">
      <c r="B27">
        <v>10</v>
      </c>
      <c r="C27" s="19">
        <v>15000000</v>
      </c>
      <c r="D27" s="30">
        <v>0.04</v>
      </c>
    </row>
    <row r="28" spans="2:4" x14ac:dyDescent="0.3">
      <c r="B28">
        <v>11</v>
      </c>
      <c r="C28" s="19">
        <v>20000000</v>
      </c>
      <c r="D28" s="30">
        <v>0.04</v>
      </c>
    </row>
    <row r="29" spans="2:4" x14ac:dyDescent="0.3">
      <c r="B29">
        <v>12</v>
      </c>
      <c r="C29" s="19">
        <v>10000000</v>
      </c>
      <c r="D29" s="30">
        <v>0.02</v>
      </c>
    </row>
    <row r="30" spans="2:4" x14ac:dyDescent="0.3">
      <c r="B30">
        <v>13</v>
      </c>
      <c r="C30" s="19">
        <v>5000000</v>
      </c>
      <c r="D30" s="30">
        <v>0.03</v>
      </c>
    </row>
    <row r="31" spans="2:4" x14ac:dyDescent="0.3">
      <c r="B31">
        <v>14</v>
      </c>
      <c r="C31" s="19">
        <v>20000000</v>
      </c>
      <c r="D31" s="30">
        <v>0.02</v>
      </c>
    </row>
    <row r="32" spans="2:4" x14ac:dyDescent="0.3">
      <c r="B32">
        <v>15</v>
      </c>
      <c r="C32" s="19">
        <v>15000000</v>
      </c>
      <c r="D32" s="30">
        <v>0.03</v>
      </c>
    </row>
    <row r="33" spans="1:5" x14ac:dyDescent="0.3">
      <c r="B33">
        <v>16</v>
      </c>
      <c r="C33" s="19">
        <v>15000000</v>
      </c>
      <c r="D33" s="30">
        <v>0.04</v>
      </c>
    </row>
    <row r="34" spans="1:5" x14ac:dyDescent="0.3">
      <c r="B34">
        <v>17</v>
      </c>
      <c r="C34" s="19">
        <v>10000000</v>
      </c>
      <c r="D34" s="30">
        <v>0.03</v>
      </c>
    </row>
    <row r="35" spans="1:5" x14ac:dyDescent="0.3">
      <c r="B35">
        <v>18</v>
      </c>
      <c r="C35" s="19">
        <v>20000000</v>
      </c>
      <c r="D35" s="30">
        <v>0.05</v>
      </c>
    </row>
    <row r="36" spans="1:5" x14ac:dyDescent="0.3">
      <c r="B36">
        <v>19</v>
      </c>
      <c r="C36" s="19">
        <v>12000000</v>
      </c>
      <c r="D36" s="30">
        <v>0.02</v>
      </c>
    </row>
    <row r="37" spans="1:5" x14ac:dyDescent="0.3">
      <c r="B37">
        <v>20</v>
      </c>
      <c r="C37" s="19">
        <v>6000000</v>
      </c>
      <c r="D37" s="30">
        <v>0.06</v>
      </c>
    </row>
    <row r="38" spans="1:5" x14ac:dyDescent="0.3">
      <c r="B38">
        <v>21</v>
      </c>
      <c r="C38" s="19">
        <v>10000000</v>
      </c>
      <c r="D38" s="30">
        <v>0.03</v>
      </c>
    </row>
    <row r="39" spans="1:5" x14ac:dyDescent="0.3">
      <c r="B39">
        <v>22</v>
      </c>
      <c r="C39" s="19">
        <v>15000000</v>
      </c>
      <c r="D39" s="30">
        <v>0.04</v>
      </c>
    </row>
    <row r="40" spans="1:5" x14ac:dyDescent="0.3">
      <c r="B40">
        <v>23</v>
      </c>
      <c r="C40" s="19">
        <v>20000000</v>
      </c>
      <c r="D40" s="30">
        <v>0.02</v>
      </c>
    </row>
    <row r="41" spans="1:5" x14ac:dyDescent="0.3">
      <c r="B41">
        <v>24</v>
      </c>
      <c r="C41" s="19">
        <v>10000000</v>
      </c>
      <c r="D41" s="30">
        <v>0.05</v>
      </c>
    </row>
    <row r="42" spans="1:5" x14ac:dyDescent="0.3">
      <c r="B42">
        <v>25</v>
      </c>
      <c r="C42" s="19">
        <v>9000000</v>
      </c>
      <c r="D42" s="30">
        <v>0.06</v>
      </c>
    </row>
    <row r="44" spans="1:5" x14ac:dyDescent="0.3">
      <c r="A44" t="s">
        <v>170</v>
      </c>
    </row>
    <row r="45" spans="1:5" x14ac:dyDescent="0.3">
      <c r="B45" t="s">
        <v>171</v>
      </c>
      <c r="D45" s="20">
        <v>1000000</v>
      </c>
    </row>
    <row r="46" spans="1:5" x14ac:dyDescent="0.3">
      <c r="B46" t="s">
        <v>172</v>
      </c>
      <c r="D46" s="31">
        <v>1.1000000000000001</v>
      </c>
      <c r="E46" t="s">
        <v>173</v>
      </c>
    </row>
    <row r="47" spans="1:5" x14ac:dyDescent="0.3">
      <c r="B47" t="s">
        <v>174</v>
      </c>
      <c r="C47" t="s">
        <v>175</v>
      </c>
    </row>
    <row r="49" spans="1:4" x14ac:dyDescent="0.3">
      <c r="A49" t="s">
        <v>176</v>
      </c>
    </row>
    <row r="51" spans="1:4" x14ac:dyDescent="0.3">
      <c r="A51" t="s">
        <v>188</v>
      </c>
    </row>
    <row r="53" spans="1:4" x14ac:dyDescent="0.3">
      <c r="A53" t="s">
        <v>177</v>
      </c>
    </row>
    <row r="54" spans="1:4" x14ac:dyDescent="0.3">
      <c r="B54" t="s">
        <v>178</v>
      </c>
      <c r="D54">
        <v>5</v>
      </c>
    </row>
    <row r="55" spans="1:4" x14ac:dyDescent="0.3">
      <c r="B55" t="s">
        <v>179</v>
      </c>
      <c r="D55" s="20">
        <v>25000000</v>
      </c>
    </row>
    <row r="56" spans="1:4" x14ac:dyDescent="0.3">
      <c r="B56" t="s">
        <v>180</v>
      </c>
      <c r="D56" s="20">
        <v>15000000</v>
      </c>
    </row>
    <row r="57" spans="1:4" x14ac:dyDescent="0.3">
      <c r="B57" t="s">
        <v>181</v>
      </c>
      <c r="D57" s="20">
        <v>100000000</v>
      </c>
    </row>
    <row r="59" spans="1:4" x14ac:dyDescent="0.3">
      <c r="A59" t="s">
        <v>182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AE639BB4E74542A43DE6E767DBCE18" ma:contentTypeVersion="11" ma:contentTypeDescription="Create a new document." ma:contentTypeScope="" ma:versionID="681f7fff1efaa5d4527fe8ca50b73cf7">
  <xsd:schema xmlns:xsd="http://www.w3.org/2001/XMLSchema" xmlns:xs="http://www.w3.org/2001/XMLSchema" xmlns:p="http://schemas.microsoft.com/office/2006/metadata/properties" xmlns:ns2="2a829cb1-c3bd-48aa-b101-cd51227f80d0" xmlns:ns3="c264fd13-c93d-4e63-9fb0-02334996df4b" targetNamespace="http://schemas.microsoft.com/office/2006/metadata/properties" ma:root="true" ma:fieldsID="e809d16dd66263efebf52ef89ed394f9" ns2:_="" ns3:_="">
    <xsd:import namespace="2a829cb1-c3bd-48aa-b101-cd51227f80d0"/>
    <xsd:import namespace="c264fd13-c93d-4e63-9fb0-02334996df4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829cb1-c3bd-48aa-b101-cd51227f80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267e5f2-3cc9-4b2c-97a9-20aec386c2b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64fd13-c93d-4e63-9fb0-02334996df4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da015f8-e9b6-4fc3-9b4e-646117ef80f2}" ma:internalName="TaxCatchAll" ma:showField="CatchAllData" ma:web="c264fd13-c93d-4e63-9fb0-02334996df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264fd13-c93d-4e63-9fb0-02334996df4b" xsi:nil="true"/>
    <lcf76f155ced4ddcb4097134ff3c332f xmlns="2a829cb1-c3bd-48aa-b101-cd51227f80d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E30B71F-D603-47E9-9DF5-F860CEC02846}"/>
</file>

<file path=customXml/itemProps2.xml><?xml version="1.0" encoding="utf-8"?>
<ds:datastoreItem xmlns:ds="http://schemas.openxmlformats.org/officeDocument/2006/customXml" ds:itemID="{28B9D965-F953-447B-AE30-BA4EAFDEBDB2}"/>
</file>

<file path=customXml/itemProps3.xml><?xml version="1.0" encoding="utf-8"?>
<ds:datastoreItem xmlns:ds="http://schemas.openxmlformats.org/officeDocument/2006/customXml" ds:itemID="{0826940D-0A3D-40F9-AEB7-80296AE1E2E7}"/>
</file>

<file path=docMetadata/LabelInfo.xml><?xml version="1.0" encoding="utf-8"?>
<clbl:labelList xmlns:clbl="http://schemas.microsoft.com/office/2020/mipLabelMetadata">
  <clbl:label id="{7b72dd6e-c27c-4639-b124-2b12953460bf}" enabled="0" method="" siteId="{7b72dd6e-c27c-4639-b124-2b12953460b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Cover </vt:lpstr>
      <vt:lpstr>Table of Contents</vt:lpstr>
      <vt:lpstr>Q1</vt:lpstr>
      <vt:lpstr>A1</vt:lpstr>
      <vt:lpstr>Q2</vt:lpstr>
      <vt:lpstr>A2</vt:lpstr>
      <vt:lpstr>Q3</vt:lpstr>
      <vt:lpstr>A3</vt:lpstr>
      <vt:lpstr>Q4</vt:lpstr>
      <vt:lpstr>A4</vt:lpstr>
      <vt:lpstr>Q5</vt:lpstr>
      <vt:lpstr>A5</vt:lpstr>
      <vt:lpstr>Q6</vt:lpstr>
      <vt:lpstr>A6</vt:lpstr>
      <vt:lpstr>Q7</vt:lpstr>
      <vt:lpstr>A7</vt:lpstr>
      <vt:lpstr>Q8</vt:lpstr>
      <vt:lpstr>A8</vt:lpstr>
      <vt:lpstr>Q9</vt:lpstr>
      <vt:lpstr>A9</vt:lpstr>
      <vt:lpstr>Q10</vt:lpstr>
      <vt:lpstr>A10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Craig Doughty</dc:creator>
  <cp:lastModifiedBy>Douglas Norris</cp:lastModifiedBy>
  <dcterms:created xsi:type="dcterms:W3CDTF">2025-05-09T18:04:10Z</dcterms:created>
  <dcterms:modified xsi:type="dcterms:W3CDTF">2025-06-26T13:58:18Z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dd5db4b-78fb-42ac-8616-2bbd1a698c72_Enabled">
    <vt:lpwstr>true</vt:lpwstr>
  </property>
  <property fmtid="{D5CDD505-2E9C-101B-9397-08002B2CF9AE}" pid="3" name="MSIP_Label_0dd5db4b-78fb-42ac-8616-2bbd1a698c72_SetDate">
    <vt:lpwstr>2025-05-09T18:12:51Z</vt:lpwstr>
  </property>
  <property fmtid="{D5CDD505-2E9C-101B-9397-08002B2CF9AE}" pid="4" name="MSIP_Label_0dd5db4b-78fb-42ac-8616-2bbd1a698c72_Method">
    <vt:lpwstr>Privileged</vt:lpwstr>
  </property>
  <property fmtid="{D5CDD505-2E9C-101B-9397-08002B2CF9AE}" pid="5" name="MSIP_Label_0dd5db4b-78fb-42ac-8616-2bbd1a698c72_Name">
    <vt:lpwstr>EXTERNAL</vt:lpwstr>
  </property>
  <property fmtid="{D5CDD505-2E9C-101B-9397-08002B2CF9AE}" pid="6" name="MSIP_Label_0dd5db4b-78fb-42ac-8616-2bbd1a698c72_SiteId">
    <vt:lpwstr>5d3e2773-e07f-4432-a630-1a0f68a28a05</vt:lpwstr>
  </property>
  <property fmtid="{D5CDD505-2E9C-101B-9397-08002B2CF9AE}" pid="7" name="MSIP_Label_0dd5db4b-78fb-42ac-8616-2bbd1a698c72_ActionId">
    <vt:lpwstr>d0dc69fc-40e4-45eb-ae2b-1a45a561e4a7</vt:lpwstr>
  </property>
  <property fmtid="{D5CDD505-2E9C-101B-9397-08002B2CF9AE}" pid="8" name="MSIP_Label_0dd5db4b-78fb-42ac-8616-2bbd1a698c72_ContentBits">
    <vt:lpwstr>0</vt:lpwstr>
  </property>
  <property fmtid="{D5CDD505-2E9C-101B-9397-08002B2CF9AE}" pid="9" name="MSIP_Label_0dd5db4b-78fb-42ac-8616-2bbd1a698c72_Tag">
    <vt:lpwstr>10, 0, 1, 1</vt:lpwstr>
  </property>
  <property fmtid="{D5CDD505-2E9C-101B-9397-08002B2CF9AE}" pid="10" name="ContentTypeId">
    <vt:lpwstr>0x010100F6AE639BB4E74542A43DE6E767DBCE18</vt:lpwstr>
  </property>
</Properties>
</file>