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olutions\May 2024 Solutions\RET FRC\"/>
    </mc:Choice>
  </mc:AlternateContent>
  <xr:revisionPtr revIDLastSave="0" documentId="8_{C790F33F-9B22-4A8E-97D8-1451D6FD9688}" xr6:coauthVersionLast="47" xr6:coauthVersionMax="47" xr10:uidLastSave="{00000000-0000-0000-0000-000000000000}"/>
  <bookViews>
    <workbookView xWindow="1116" yWindow="1116" windowWidth="17280" windowHeight="8880" xr2:uid="{93820AF1-BA52-41D1-9BE8-74D2D8CB84AA}"/>
  </bookViews>
  <sheets>
    <sheet name="Question 2" sheetId="6" r:id="rId1"/>
    <sheet name="Liability Calculation" sheetId="8" r:id="rId2"/>
    <sheet name="Question 4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9" l="1"/>
  <c r="K2" i="9"/>
  <c r="P8" i="9"/>
  <c r="P9" i="9"/>
  <c r="P11" i="9"/>
  <c r="P12" i="9"/>
  <c r="P13" i="9"/>
  <c r="P19" i="9" s="1"/>
  <c r="P14" i="9"/>
  <c r="P15" i="9"/>
  <c r="P18" i="9" s="1"/>
  <c r="P16" i="9"/>
  <c r="P20" i="9" s="1"/>
  <c r="P29" i="9"/>
  <c r="P30" i="9" s="1"/>
  <c r="P32" i="9" s="1"/>
  <c r="U46" i="9"/>
  <c r="V46" i="9"/>
  <c r="V96" i="9" s="1"/>
  <c r="U47" i="9"/>
  <c r="U97" i="9" s="1"/>
  <c r="V47" i="9"/>
  <c r="U48" i="9"/>
  <c r="V48" i="9"/>
  <c r="U49" i="9"/>
  <c r="V49" i="9"/>
  <c r="U50" i="9"/>
  <c r="V50" i="9"/>
  <c r="V100" i="9" s="1"/>
  <c r="U51" i="9"/>
  <c r="V51" i="9"/>
  <c r="U52" i="9"/>
  <c r="V52" i="9"/>
  <c r="U53" i="9"/>
  <c r="V53" i="9"/>
  <c r="U54" i="9"/>
  <c r="V54" i="9"/>
  <c r="U55" i="9"/>
  <c r="U105" i="9" s="1"/>
  <c r="V55" i="9"/>
  <c r="R56" i="9"/>
  <c r="S56" i="9"/>
  <c r="U56" i="9"/>
  <c r="V56" i="9"/>
  <c r="R57" i="9"/>
  <c r="S57" i="9"/>
  <c r="U57" i="9"/>
  <c r="U107" i="9" s="1"/>
  <c r="V57" i="9"/>
  <c r="R58" i="9"/>
  <c r="S58" i="9"/>
  <c r="U58" i="9"/>
  <c r="V58" i="9"/>
  <c r="P59" i="9"/>
  <c r="P58" i="9" s="1"/>
  <c r="P57" i="9" s="1"/>
  <c r="P56" i="9" s="1"/>
  <c r="P55" i="9" s="1"/>
  <c r="P54" i="9" s="1"/>
  <c r="P53" i="9" s="1"/>
  <c r="P52" i="9" s="1"/>
  <c r="P51" i="9" s="1"/>
  <c r="P50" i="9" s="1"/>
  <c r="P49" i="9" s="1"/>
  <c r="P48" i="9" s="1"/>
  <c r="P47" i="9" s="1"/>
  <c r="P46" i="9" s="1"/>
  <c r="R59" i="9"/>
  <c r="S59" i="9"/>
  <c r="U59" i="9"/>
  <c r="V59" i="9"/>
  <c r="Q60" i="9"/>
  <c r="S62" i="9" s="1"/>
  <c r="R60" i="9"/>
  <c r="S60" i="9"/>
  <c r="U60" i="9"/>
  <c r="V68" i="9" s="1"/>
  <c r="V60" i="9"/>
  <c r="W68" i="9" s="1"/>
  <c r="Q68" i="9"/>
  <c r="U68" i="9" s="1"/>
  <c r="U69" i="9" s="1"/>
  <c r="U70" i="9" s="1"/>
  <c r="U71" i="9" s="1"/>
  <c r="U72" i="9" s="1"/>
  <c r="U73" i="9" s="1"/>
  <c r="U74" i="9" s="1"/>
  <c r="U75" i="9" s="1"/>
  <c r="U76" i="9" s="1"/>
  <c r="U77" i="9" s="1"/>
  <c r="U78" i="9" s="1"/>
  <c r="U79" i="9" s="1"/>
  <c r="U80" i="9" s="1"/>
  <c r="U81" i="9" s="1"/>
  <c r="U82" i="9" s="1"/>
  <c r="U83" i="9" s="1"/>
  <c r="R68" i="9"/>
  <c r="R69" i="9" s="1"/>
  <c r="R70" i="9" s="1"/>
  <c r="R71" i="9" s="1"/>
  <c r="R72" i="9" s="1"/>
  <c r="O69" i="9"/>
  <c r="O70" i="9" s="1"/>
  <c r="O71" i="9" s="1"/>
  <c r="O72" i="9" s="1"/>
  <c r="O73" i="9" s="1"/>
  <c r="O74" i="9" s="1"/>
  <c r="O75" i="9" s="1"/>
  <c r="O76" i="9" s="1"/>
  <c r="O77" i="9" s="1"/>
  <c r="O78" i="9" s="1"/>
  <c r="O79" i="9" s="1"/>
  <c r="O80" i="9" s="1"/>
  <c r="O81" i="9" s="1"/>
  <c r="O82" i="9" s="1"/>
  <c r="O83" i="9" s="1"/>
  <c r="R73" i="9"/>
  <c r="Y73" i="9"/>
  <c r="Y74" i="9"/>
  <c r="Y75" i="9"/>
  <c r="Y76" i="9"/>
  <c r="Y77" i="9"/>
  <c r="Y78" i="9"/>
  <c r="Y79" i="9"/>
  <c r="AL79" i="9"/>
  <c r="AL78" i="9" s="1"/>
  <c r="AL77" i="9" s="1"/>
  <c r="AL76" i="9" s="1"/>
  <c r="AL75" i="9" s="1"/>
  <c r="AL74" i="9" s="1"/>
  <c r="AL73" i="9" s="1"/>
  <c r="Y80" i="9"/>
  <c r="Z80" i="9"/>
  <c r="Y81" i="9"/>
  <c r="Z81" i="9"/>
  <c r="AG81" i="9"/>
  <c r="AG80" i="9" s="1"/>
  <c r="AG79" i="9" s="1"/>
  <c r="AG78" i="9" s="1"/>
  <c r="AG77" i="9" s="1"/>
  <c r="AG76" i="9" s="1"/>
  <c r="AG75" i="9" s="1"/>
  <c r="AG74" i="9" s="1"/>
  <c r="AG73" i="9" s="1"/>
  <c r="Y82" i="9"/>
  <c r="Z82" i="9"/>
  <c r="AG82" i="9"/>
  <c r="Y83" i="9"/>
  <c r="Z83" i="9"/>
  <c r="R96" i="9"/>
  <c r="S96" i="9"/>
  <c r="T98" i="9" s="1"/>
  <c r="U96" i="9"/>
  <c r="R97" i="9"/>
  <c r="S97" i="9"/>
  <c r="V97" i="9"/>
  <c r="R98" i="9"/>
  <c r="S98" i="9"/>
  <c r="T102" i="9" s="1"/>
  <c r="U98" i="9"/>
  <c r="V98" i="9"/>
  <c r="R99" i="9"/>
  <c r="S99" i="9"/>
  <c r="U99" i="9"/>
  <c r="V99" i="9"/>
  <c r="R100" i="9"/>
  <c r="S100" i="9"/>
  <c r="U100" i="9"/>
  <c r="R101" i="9"/>
  <c r="S101" i="9"/>
  <c r="U101" i="9"/>
  <c r="V101" i="9"/>
  <c r="R102" i="9"/>
  <c r="S102" i="9"/>
  <c r="T103" i="9" s="1"/>
  <c r="U102" i="9"/>
  <c r="V102" i="9"/>
  <c r="R103" i="9"/>
  <c r="S103" i="9"/>
  <c r="T107" i="9" s="1"/>
  <c r="U103" i="9"/>
  <c r="V103" i="9"/>
  <c r="R104" i="9"/>
  <c r="S104" i="9"/>
  <c r="U104" i="9"/>
  <c r="V104" i="9"/>
  <c r="R105" i="9"/>
  <c r="S105" i="9"/>
  <c r="V105" i="9"/>
  <c r="R106" i="9"/>
  <c r="S106" i="9"/>
  <c r="U106" i="9"/>
  <c r="V106" i="9"/>
  <c r="R107" i="9"/>
  <c r="S107" i="9"/>
  <c r="T109" i="9" s="1"/>
  <c r="V107" i="9"/>
  <c r="R108" i="9"/>
  <c r="S108" i="9"/>
  <c r="T110" i="9" s="1"/>
  <c r="U108" i="9"/>
  <c r="V108" i="9"/>
  <c r="P109" i="9"/>
  <c r="P108" i="9" s="1"/>
  <c r="P107" i="9" s="1"/>
  <c r="P106" i="9" s="1"/>
  <c r="P105" i="9" s="1"/>
  <c r="P104" i="9" s="1"/>
  <c r="P103" i="9" s="1"/>
  <c r="P102" i="9" s="1"/>
  <c r="P101" i="9" s="1"/>
  <c r="P100" i="9" s="1"/>
  <c r="P99" i="9" s="1"/>
  <c r="P98" i="9" s="1"/>
  <c r="P97" i="9" s="1"/>
  <c r="P96" i="9" s="1"/>
  <c r="R109" i="9"/>
  <c r="S109" i="9"/>
  <c r="U109" i="9"/>
  <c r="V109" i="9"/>
  <c r="Q110" i="9"/>
  <c r="S112" i="9" s="1"/>
  <c r="R110" i="9"/>
  <c r="S110" i="9"/>
  <c r="U110" i="9"/>
  <c r="P116" i="9"/>
  <c r="P117" i="9" s="1"/>
  <c r="Q116" i="9"/>
  <c r="V116" i="9" s="1"/>
  <c r="R116" i="9"/>
  <c r="R117" i="9" s="1"/>
  <c r="R118" i="9" s="1"/>
  <c r="R119" i="9" s="1"/>
  <c r="R120" i="9" s="1"/>
  <c r="R121" i="9" s="1"/>
  <c r="R122" i="9" s="1"/>
  <c r="R123" i="9" s="1"/>
  <c r="R124" i="9" s="1"/>
  <c r="R125" i="9" s="1"/>
  <c r="R126" i="9" s="1"/>
  <c r="R127" i="9" s="1"/>
  <c r="R128" i="9" s="1"/>
  <c r="R129" i="9" s="1"/>
  <c r="R130" i="9" s="1"/>
  <c r="R131" i="9" s="1"/>
  <c r="R132" i="9" s="1"/>
  <c r="R133" i="9" s="1"/>
  <c r="R134" i="9" s="1"/>
  <c r="R135" i="9" s="1"/>
  <c r="R136" i="9" s="1"/>
  <c r="U116" i="9"/>
  <c r="O117" i="9"/>
  <c r="O118" i="9" s="1"/>
  <c r="O119" i="9" s="1"/>
  <c r="O120" i="9" s="1"/>
  <c r="O121" i="9" s="1"/>
  <c r="O122" i="9" s="1"/>
  <c r="O123" i="9" s="1"/>
  <c r="U117" i="9"/>
  <c r="U118" i="9" s="1"/>
  <c r="U119" i="9" s="1"/>
  <c r="U120" i="9" s="1"/>
  <c r="U121" i="9" s="1"/>
  <c r="U122" i="9" s="1"/>
  <c r="U123" i="9" s="1"/>
  <c r="U124" i="9" s="1"/>
  <c r="U125" i="9" s="1"/>
  <c r="U126" i="9" s="1"/>
  <c r="U127" i="9" s="1"/>
  <c r="U128" i="9" s="1"/>
  <c r="U129" i="9" s="1"/>
  <c r="U130" i="9" s="1"/>
  <c r="U131" i="9" s="1"/>
  <c r="U132" i="9" s="1"/>
  <c r="U133" i="9" s="1"/>
  <c r="U134" i="9" s="1"/>
  <c r="U135" i="9" s="1"/>
  <c r="U136" i="9" s="1"/>
  <c r="U137" i="9" s="1"/>
  <c r="U138" i="9" s="1"/>
  <c r="U139" i="9" s="1"/>
  <c r="U140" i="9" s="1"/>
  <c r="U141" i="9" s="1"/>
  <c r="U142" i="9" s="1"/>
  <c r="U143" i="9" s="1"/>
  <c r="U144" i="9" s="1"/>
  <c r="U145" i="9" s="1"/>
  <c r="U146" i="9" s="1"/>
  <c r="P118" i="9"/>
  <c r="P119" i="9" s="1"/>
  <c r="P120" i="9" s="1"/>
  <c r="O124" i="9"/>
  <c r="O125" i="9" s="1"/>
  <c r="O126" i="9" s="1"/>
  <c r="O127" i="9" s="1"/>
  <c r="O128" i="9" s="1"/>
  <c r="O129" i="9" s="1"/>
  <c r="O130" i="9" s="1"/>
  <c r="O131" i="9" s="1"/>
  <c r="O132" i="9" s="1"/>
  <c r="O133" i="9" s="1"/>
  <c r="O134" i="9" s="1"/>
  <c r="O135" i="9" s="1"/>
  <c r="O136" i="9" s="1"/>
  <c r="O137" i="9" s="1"/>
  <c r="O138" i="9" s="1"/>
  <c r="O139" i="9" s="1"/>
  <c r="O140" i="9" s="1"/>
  <c r="O141" i="9" s="1"/>
  <c r="O142" i="9" s="1"/>
  <c r="O143" i="9" s="1"/>
  <c r="O144" i="9" s="1"/>
  <c r="O145" i="9" s="1"/>
  <c r="O146" i="9" s="1"/>
  <c r="Y136" i="9"/>
  <c r="Y137" i="9"/>
  <c r="Y138" i="9"/>
  <c r="Y139" i="9"/>
  <c r="Y140" i="9"/>
  <c r="Y141" i="9"/>
  <c r="Y142" i="9"/>
  <c r="Y143" i="9"/>
  <c r="Z143" i="9"/>
  <c r="Y144" i="9"/>
  <c r="Z144" i="9"/>
  <c r="AG144" i="9"/>
  <c r="AG143" i="9" s="1"/>
  <c r="AG142" i="9" s="1"/>
  <c r="AG141" i="9" s="1"/>
  <c r="AG140" i="9" s="1"/>
  <c r="AG139" i="9" s="1"/>
  <c r="AG138" i="9" s="1"/>
  <c r="AG137" i="9" s="1"/>
  <c r="AG136" i="9" s="1"/>
  <c r="Y145" i="9"/>
  <c r="Z145" i="9"/>
  <c r="AG145" i="9"/>
  <c r="AL145" i="9"/>
  <c r="AL144" i="9" s="1"/>
  <c r="AL143" i="9" s="1"/>
  <c r="AL142" i="9" s="1"/>
  <c r="AL141" i="9" s="1"/>
  <c r="AL140" i="9" s="1"/>
  <c r="AL139" i="9" s="1"/>
  <c r="AL138" i="9" s="1"/>
  <c r="AL137" i="9" s="1"/>
  <c r="AL136" i="9" s="1"/>
  <c r="Y146" i="9"/>
  <c r="Z146" i="9"/>
  <c r="T106" i="9" l="1"/>
  <c r="T99" i="9"/>
  <c r="T101" i="9"/>
  <c r="V110" i="9"/>
  <c r="W116" i="9" s="1"/>
  <c r="T97" i="9"/>
  <c r="P33" i="9"/>
  <c r="T60" i="9"/>
  <c r="S63" i="9" s="1"/>
  <c r="T68" i="9" s="1"/>
  <c r="T69" i="9" s="1"/>
  <c r="T70" i="9" s="1"/>
  <c r="T71" i="9" s="1"/>
  <c r="T72" i="9" s="1"/>
  <c r="T73" i="9" s="1"/>
  <c r="AM73" i="9" s="1"/>
  <c r="S116" i="9"/>
  <c r="T105" i="9"/>
  <c r="T104" i="9"/>
  <c r="S118" i="9"/>
  <c r="P22" i="9"/>
  <c r="P25" i="9" s="1"/>
  <c r="P38" i="9" s="1"/>
  <c r="AA136" i="9"/>
  <c r="R137" i="9"/>
  <c r="S120" i="9"/>
  <c r="P121" i="9"/>
  <c r="R74" i="9"/>
  <c r="AA73" i="9"/>
  <c r="S119" i="9"/>
  <c r="T108" i="9"/>
  <c r="T96" i="9"/>
  <c r="T100" i="9"/>
  <c r="X68" i="9"/>
  <c r="P23" i="9"/>
  <c r="P26" i="9" s="1"/>
  <c r="S117" i="9"/>
  <c r="Q59" i="9"/>
  <c r="Q58" i="9" s="1"/>
  <c r="Q57" i="9" s="1"/>
  <c r="Q56" i="9" s="1"/>
  <c r="P68" i="9"/>
  <c r="P21" i="9"/>
  <c r="M28" i="6"/>
  <c r="M97" i="6" s="1"/>
  <c r="N28" i="6"/>
  <c r="M29" i="6"/>
  <c r="M98" i="6" s="1"/>
  <c r="N29" i="6"/>
  <c r="N98" i="6" s="1"/>
  <c r="M30" i="6"/>
  <c r="M99" i="6" s="1"/>
  <c r="N30" i="6"/>
  <c r="N99" i="6" s="1"/>
  <c r="N35" i="6"/>
  <c r="O129" i="6" s="1"/>
  <c r="N42" i="6"/>
  <c r="O42" i="6" s="1"/>
  <c r="N43" i="6"/>
  <c r="N112" i="6" s="1"/>
  <c r="O112" i="6" s="1"/>
  <c r="N58" i="6"/>
  <c r="N125" i="6"/>
  <c r="N131" i="6"/>
  <c r="O131" i="6"/>
  <c r="N136" i="6"/>
  <c r="N137" i="6"/>
  <c r="O142" i="6"/>
  <c r="O144" i="6"/>
  <c r="P146" i="6"/>
  <c r="P147" i="6"/>
  <c r="N148" i="6"/>
  <c r="O149" i="6"/>
  <c r="P34" i="9" l="1"/>
  <c r="P39" i="9" s="1"/>
  <c r="AH73" i="9"/>
  <c r="T74" i="9"/>
  <c r="AM74" i="9" s="1"/>
  <c r="R75" i="9"/>
  <c r="AA74" i="9"/>
  <c r="S113" i="9"/>
  <c r="T116" i="9" s="1"/>
  <c r="T117" i="9" s="1"/>
  <c r="T118" i="9" s="1"/>
  <c r="T119" i="9" s="1"/>
  <c r="T120" i="9" s="1"/>
  <c r="T121" i="9" s="1"/>
  <c r="T122" i="9" s="1"/>
  <c r="T123" i="9" s="1"/>
  <c r="T124" i="9" s="1"/>
  <c r="T125" i="9" s="1"/>
  <c r="T126" i="9" s="1"/>
  <c r="T127" i="9" s="1"/>
  <c r="T128" i="9" s="1"/>
  <c r="T129" i="9" s="1"/>
  <c r="T130" i="9" s="1"/>
  <c r="T131" i="9" s="1"/>
  <c r="T132" i="9" s="1"/>
  <c r="T133" i="9" s="1"/>
  <c r="T134" i="9" s="1"/>
  <c r="T135" i="9" s="1"/>
  <c r="T136" i="9" s="1"/>
  <c r="P122" i="9"/>
  <c r="S121" i="9"/>
  <c r="X116" i="9"/>
  <c r="P40" i="9"/>
  <c r="S64" i="9" s="1"/>
  <c r="W117" i="9" s="1"/>
  <c r="W118" i="9" s="1"/>
  <c r="W119" i="9" s="1"/>
  <c r="W120" i="9" s="1"/>
  <c r="W121" i="9" s="1"/>
  <c r="W122" i="9" s="1"/>
  <c r="W123" i="9" s="1"/>
  <c r="W124" i="9" s="1"/>
  <c r="W125" i="9" s="1"/>
  <c r="W126" i="9" s="1"/>
  <c r="W127" i="9" s="1"/>
  <c r="W128" i="9" s="1"/>
  <c r="W129" i="9" s="1"/>
  <c r="W130" i="9" s="1"/>
  <c r="W131" i="9" s="1"/>
  <c r="W132" i="9" s="1"/>
  <c r="W133" i="9" s="1"/>
  <c r="W134" i="9" s="1"/>
  <c r="W135" i="9" s="1"/>
  <c r="W136" i="9" s="1"/>
  <c r="W137" i="9" s="1"/>
  <c r="W138" i="9" s="1"/>
  <c r="W139" i="9" s="1"/>
  <c r="W140" i="9" s="1"/>
  <c r="W141" i="9" s="1"/>
  <c r="W142" i="9" s="1"/>
  <c r="W143" i="9" s="1"/>
  <c r="W144" i="9" s="1"/>
  <c r="W145" i="9" s="1"/>
  <c r="W146" i="9" s="1"/>
  <c r="AH74" i="9"/>
  <c r="T75" i="9"/>
  <c r="R138" i="9"/>
  <c r="AA137" i="9"/>
  <c r="Q38" i="9"/>
  <c r="P35" i="9"/>
  <c r="Q39" i="9" s="1"/>
  <c r="S68" i="9"/>
  <c r="P69" i="9"/>
  <c r="N44" i="6"/>
  <c r="P131" i="6"/>
  <c r="O130" i="6"/>
  <c r="O132" i="6" s="1"/>
  <c r="O43" i="6"/>
  <c r="O44" i="6" s="1"/>
  <c r="N31" i="6"/>
  <c r="O137" i="6"/>
  <c r="O136" i="6"/>
  <c r="N97" i="6"/>
  <c r="N100" i="6" s="1"/>
  <c r="G127" i="8"/>
  <c r="AA138" i="9" l="1"/>
  <c r="R139" i="9"/>
  <c r="Q40" i="9"/>
  <c r="AH75" i="9"/>
  <c r="T76" i="9"/>
  <c r="AM75" i="9"/>
  <c r="P123" i="9"/>
  <c r="S122" i="9"/>
  <c r="AH136" i="9"/>
  <c r="AM136" i="9"/>
  <c r="T137" i="9"/>
  <c r="P70" i="9"/>
  <c r="S69" i="9"/>
  <c r="V69" i="9"/>
  <c r="V117" i="9"/>
  <c r="W69" i="9"/>
  <c r="W70" i="9" s="1"/>
  <c r="W71" i="9" s="1"/>
  <c r="W72" i="9" s="1"/>
  <c r="W73" i="9" s="1"/>
  <c r="W74" i="9" s="1"/>
  <c r="W75" i="9" s="1"/>
  <c r="W76" i="9" s="1"/>
  <c r="W77" i="9" s="1"/>
  <c r="W78" i="9" s="1"/>
  <c r="W79" i="9" s="1"/>
  <c r="W80" i="9" s="1"/>
  <c r="W81" i="9" s="1"/>
  <c r="W82" i="9" s="1"/>
  <c r="W83" i="9" s="1"/>
  <c r="R76" i="9"/>
  <c r="AA75" i="9"/>
  <c r="P138" i="6"/>
  <c r="N59" i="6"/>
  <c r="N60" i="6" s="1"/>
  <c r="C284" i="6"/>
  <c r="T77" i="9" l="1"/>
  <c r="AM76" i="9"/>
  <c r="AH76" i="9"/>
  <c r="P71" i="9"/>
  <c r="S70" i="9"/>
  <c r="S123" i="9"/>
  <c r="P124" i="9"/>
  <c r="AH137" i="9"/>
  <c r="T138" i="9"/>
  <c r="AM137" i="9"/>
  <c r="R77" i="9"/>
  <c r="AA76" i="9"/>
  <c r="R140" i="9"/>
  <c r="AA139" i="9"/>
  <c r="V70" i="9"/>
  <c r="X69" i="9"/>
  <c r="V118" i="9"/>
  <c r="X117" i="9"/>
  <c r="Q145" i="8"/>
  <c r="Q140" i="8"/>
  <c r="P72" i="9" l="1"/>
  <c r="S71" i="9"/>
  <c r="AA140" i="9"/>
  <c r="R141" i="9"/>
  <c r="AA77" i="9"/>
  <c r="R78" i="9"/>
  <c r="V71" i="9"/>
  <c r="X70" i="9"/>
  <c r="AH138" i="9"/>
  <c r="T139" i="9"/>
  <c r="AM138" i="9"/>
  <c r="P125" i="9"/>
  <c r="S124" i="9"/>
  <c r="X118" i="9"/>
  <c r="V119" i="9"/>
  <c r="T78" i="9"/>
  <c r="AM77" i="9"/>
  <c r="AH77" i="9"/>
  <c r="C293" i="6"/>
  <c r="S125" i="9" l="1"/>
  <c r="P126" i="9"/>
  <c r="V120" i="9"/>
  <c r="X119" i="9"/>
  <c r="X71" i="9"/>
  <c r="V72" i="9"/>
  <c r="P73" i="9"/>
  <c r="S72" i="9"/>
  <c r="AA141" i="9"/>
  <c r="R142" i="9"/>
  <c r="T140" i="9"/>
  <c r="AH139" i="9"/>
  <c r="AM139" i="9"/>
  <c r="T79" i="9"/>
  <c r="AM78" i="9"/>
  <c r="AH78" i="9"/>
  <c r="R79" i="9"/>
  <c r="AA78" i="9"/>
  <c r="I11" i="8"/>
  <c r="I10" i="8"/>
  <c r="I9" i="8"/>
  <c r="L11" i="8"/>
  <c r="L10" i="8"/>
  <c r="L9" i="8"/>
  <c r="H9" i="8"/>
  <c r="V73" i="9" l="1"/>
  <c r="X72" i="9"/>
  <c r="AM140" i="9"/>
  <c r="T141" i="9"/>
  <c r="AH140" i="9"/>
  <c r="R80" i="9"/>
  <c r="AA79" i="9"/>
  <c r="X120" i="9"/>
  <c r="V121" i="9"/>
  <c r="P127" i="9"/>
  <c r="S126" i="9"/>
  <c r="R143" i="9"/>
  <c r="AA142" i="9"/>
  <c r="AM79" i="9"/>
  <c r="AH79" i="9"/>
  <c r="T80" i="9"/>
  <c r="P74" i="9"/>
  <c r="S73" i="9"/>
  <c r="AC73" i="9" s="1"/>
  <c r="AB73" i="9"/>
  <c r="AD73" i="9" s="1"/>
  <c r="H11" i="8"/>
  <c r="H10" i="8"/>
  <c r="M150" i="8"/>
  <c r="L150" i="8"/>
  <c r="C150" i="8"/>
  <c r="B150" i="8"/>
  <c r="M145" i="8"/>
  <c r="L145" i="8"/>
  <c r="C145" i="8"/>
  <c r="B145" i="8"/>
  <c r="B141" i="8"/>
  <c r="L141" i="8" s="1"/>
  <c r="Q141" i="8" s="1"/>
  <c r="B140" i="8"/>
  <c r="L140" i="8" s="1"/>
  <c r="H132" i="8"/>
  <c r="M132" i="8" s="1"/>
  <c r="G132" i="8"/>
  <c r="L132" i="8" s="1"/>
  <c r="C132" i="8"/>
  <c r="B132" i="8"/>
  <c r="H127" i="8"/>
  <c r="M127" i="8" s="1"/>
  <c r="L127" i="8"/>
  <c r="C127" i="8"/>
  <c r="B127" i="8"/>
  <c r="B123" i="8"/>
  <c r="B122" i="8"/>
  <c r="G122" i="8" s="1"/>
  <c r="L122" i="8" s="1"/>
  <c r="Q122" i="8" s="1"/>
  <c r="I112" i="8"/>
  <c r="G112" i="8"/>
  <c r="C112" i="8"/>
  <c r="I111" i="8"/>
  <c r="G111" i="8"/>
  <c r="C111" i="8"/>
  <c r="I110" i="8"/>
  <c r="G110" i="8"/>
  <c r="C110" i="8"/>
  <c r="I109" i="8"/>
  <c r="G109" i="8"/>
  <c r="C109" i="8"/>
  <c r="I108" i="8"/>
  <c r="G108" i="8"/>
  <c r="C108" i="8"/>
  <c r="H102" i="8"/>
  <c r="E102" i="8"/>
  <c r="I91" i="8"/>
  <c r="G91" i="8"/>
  <c r="C91" i="8"/>
  <c r="I90" i="8"/>
  <c r="G90" i="8"/>
  <c r="C90" i="8"/>
  <c r="I89" i="8"/>
  <c r="G89" i="8"/>
  <c r="C89" i="8"/>
  <c r="I88" i="8"/>
  <c r="G88" i="8"/>
  <c r="C88" i="8"/>
  <c r="I87" i="8"/>
  <c r="G87" i="8"/>
  <c r="C87" i="8"/>
  <c r="I86" i="8"/>
  <c r="G86" i="8"/>
  <c r="C86" i="8"/>
  <c r="R85" i="8"/>
  <c r="R86" i="8" s="1"/>
  <c r="R87" i="8" s="1"/>
  <c r="R88" i="8" s="1"/>
  <c r="R89" i="8" s="1"/>
  <c r="R90" i="8" s="1"/>
  <c r="Q85" i="8"/>
  <c r="Q86" i="8" s="1"/>
  <c r="Q87" i="8" s="1"/>
  <c r="Q88" i="8" s="1"/>
  <c r="Q89" i="8" s="1"/>
  <c r="Q90" i="8" s="1"/>
  <c r="R84" i="8"/>
  <c r="R105" i="8" s="1"/>
  <c r="R83" i="8"/>
  <c r="R82" i="8"/>
  <c r="R103" i="8" s="1"/>
  <c r="R81" i="8"/>
  <c r="L80" i="8"/>
  <c r="L102" i="8" s="1"/>
  <c r="I80" i="8"/>
  <c r="I102" i="8" s="1"/>
  <c r="H80" i="8"/>
  <c r="E80" i="8"/>
  <c r="I65" i="8"/>
  <c r="G65" i="8"/>
  <c r="C65" i="8"/>
  <c r="I64" i="8"/>
  <c r="G64" i="8"/>
  <c r="C64" i="8"/>
  <c r="I63" i="8"/>
  <c r="G63" i="8"/>
  <c r="C63" i="8"/>
  <c r="I62" i="8"/>
  <c r="G62" i="8"/>
  <c r="C62" i="8"/>
  <c r="I61" i="8"/>
  <c r="G61" i="8"/>
  <c r="C61" i="8"/>
  <c r="I60" i="8"/>
  <c r="G60" i="8"/>
  <c r="C60" i="8"/>
  <c r="I59" i="8"/>
  <c r="G59" i="8"/>
  <c r="C59" i="8"/>
  <c r="I58" i="8"/>
  <c r="G58" i="8"/>
  <c r="C58" i="8"/>
  <c r="I57" i="8"/>
  <c r="G57" i="8"/>
  <c r="C57" i="8"/>
  <c r="I56" i="8"/>
  <c r="G56" i="8"/>
  <c r="C56" i="8"/>
  <c r="A56" i="8"/>
  <c r="I55" i="8"/>
  <c r="G55" i="8"/>
  <c r="C55" i="8"/>
  <c r="E48" i="8"/>
  <c r="H47" i="8"/>
  <c r="E47" i="8"/>
  <c r="E42" i="8"/>
  <c r="H41" i="8"/>
  <c r="E41" i="8"/>
  <c r="I27" i="8"/>
  <c r="G27" i="8"/>
  <c r="C27" i="8"/>
  <c r="I26" i="8"/>
  <c r="G26" i="8"/>
  <c r="C26" i="8"/>
  <c r="I25" i="8"/>
  <c r="G25" i="8"/>
  <c r="C25" i="8"/>
  <c r="I24" i="8"/>
  <c r="G24" i="8"/>
  <c r="C24" i="8"/>
  <c r="I23" i="8"/>
  <c r="G23" i="8"/>
  <c r="C23" i="8"/>
  <c r="I22" i="8"/>
  <c r="G22" i="8"/>
  <c r="C22" i="8"/>
  <c r="I21" i="8"/>
  <c r="G21" i="8"/>
  <c r="C21" i="8"/>
  <c r="I20" i="8"/>
  <c r="G20" i="8"/>
  <c r="C20" i="8"/>
  <c r="I19" i="8"/>
  <c r="G19" i="8"/>
  <c r="C19" i="8"/>
  <c r="I18" i="8"/>
  <c r="G18" i="8"/>
  <c r="C18" i="8"/>
  <c r="A18" i="8"/>
  <c r="A19" i="8" s="1"/>
  <c r="I17" i="8"/>
  <c r="G17" i="8"/>
  <c r="C17" i="8"/>
  <c r="R14" i="8"/>
  <c r="Q14" i="8"/>
  <c r="R13" i="8"/>
  <c r="R41" i="8" s="1"/>
  <c r="U41" i="8" s="1"/>
  <c r="R12" i="8"/>
  <c r="R40" i="8" s="1"/>
  <c r="U40" i="8" s="1"/>
  <c r="R11" i="8"/>
  <c r="R39" i="8" s="1"/>
  <c r="L42" i="8"/>
  <c r="I48" i="8"/>
  <c r="E11" i="8"/>
  <c r="R10" i="8"/>
  <c r="L41" i="8"/>
  <c r="E10" i="8"/>
  <c r="E9" i="8"/>
  <c r="C251" i="6"/>
  <c r="O141" i="6" s="1"/>
  <c r="C248" i="6"/>
  <c r="B185" i="6"/>
  <c r="B186" i="6" s="1"/>
  <c r="B187" i="6" s="1"/>
  <c r="B188" i="6" s="1"/>
  <c r="B189" i="6" s="1"/>
  <c r="B190" i="6" s="1"/>
  <c r="B191" i="6" s="1"/>
  <c r="B192" i="6" s="1"/>
  <c r="B193" i="6" s="1"/>
  <c r="B194" i="6" s="1"/>
  <c r="AA143" i="9" l="1"/>
  <c r="R144" i="9"/>
  <c r="AA80" i="9"/>
  <c r="R81" i="9"/>
  <c r="P75" i="9"/>
  <c r="AB74" i="9"/>
  <c r="S74" i="9"/>
  <c r="AC74" i="9" s="1"/>
  <c r="S127" i="9"/>
  <c r="P128" i="9"/>
  <c r="AM80" i="9"/>
  <c r="T81" i="9"/>
  <c r="AH80" i="9"/>
  <c r="T142" i="9"/>
  <c r="AM141" i="9"/>
  <c r="AH141" i="9"/>
  <c r="V122" i="9"/>
  <c r="X121" i="9"/>
  <c r="AE73" i="9"/>
  <c r="X73" i="9"/>
  <c r="V74" i="9"/>
  <c r="N56" i="6"/>
  <c r="N141" i="6"/>
  <c r="P141" i="6" s="1"/>
  <c r="C222" i="6"/>
  <c r="C229" i="6"/>
  <c r="C223" i="6"/>
  <c r="C230" i="6"/>
  <c r="C254" i="6"/>
  <c r="N104" i="6" s="1"/>
  <c r="C215" i="6"/>
  <c r="D17" i="8"/>
  <c r="L123" i="8"/>
  <c r="Q123" i="8" s="1"/>
  <c r="B151" i="8"/>
  <c r="R43" i="8"/>
  <c r="R44" i="8" s="1"/>
  <c r="R45" i="8" s="1"/>
  <c r="R46" i="8" s="1"/>
  <c r="R47" i="8" s="1"/>
  <c r="R48" i="8" s="1"/>
  <c r="R49" i="8" s="1"/>
  <c r="R50" i="8" s="1"/>
  <c r="R51" i="8" s="1"/>
  <c r="R52" i="8" s="1"/>
  <c r="R53" i="8" s="1"/>
  <c r="R54" i="8" s="1"/>
  <c r="R55" i="8" s="1"/>
  <c r="R56" i="8" s="1"/>
  <c r="R57" i="8" s="1"/>
  <c r="R58" i="8" s="1"/>
  <c r="G123" i="8"/>
  <c r="H128" i="8" s="1"/>
  <c r="O80" i="6" s="1"/>
  <c r="B128" i="8"/>
  <c r="L146" i="8"/>
  <c r="C128" i="8"/>
  <c r="L48" i="8"/>
  <c r="M146" i="8"/>
  <c r="C151" i="8"/>
  <c r="B146" i="8"/>
  <c r="Q146" i="8" s="1"/>
  <c r="C146" i="8"/>
  <c r="I47" i="8"/>
  <c r="L151" i="8"/>
  <c r="Q43" i="8"/>
  <c r="C41" i="8" s="1"/>
  <c r="G41" i="8" s="1"/>
  <c r="C10" i="8"/>
  <c r="G10" i="8" s="1"/>
  <c r="R15" i="8"/>
  <c r="R16" i="8" s="1"/>
  <c r="R17" i="8" s="1"/>
  <c r="R18" i="8" s="1"/>
  <c r="R19" i="8" s="1"/>
  <c r="R20" i="8" s="1"/>
  <c r="R21" i="8" s="1"/>
  <c r="R22" i="8" s="1"/>
  <c r="R23" i="8" s="1"/>
  <c r="R24" i="8" s="1"/>
  <c r="R25" i="8" s="1"/>
  <c r="R42" i="8"/>
  <c r="U42" i="8" s="1"/>
  <c r="B87" i="8"/>
  <c r="C9" i="8"/>
  <c r="G9" i="8" s="1"/>
  <c r="C11" i="8"/>
  <c r="G11" i="8" s="1"/>
  <c r="B133" i="8"/>
  <c r="Q15" i="8"/>
  <c r="Q16" i="8" s="1"/>
  <c r="Q17" i="8" s="1"/>
  <c r="Q18" i="8" s="1"/>
  <c r="Q19" i="8" s="1"/>
  <c r="Q20" i="8" s="1"/>
  <c r="Q21" i="8" s="1"/>
  <c r="Q22" i="8" s="1"/>
  <c r="Q23" i="8" s="1"/>
  <c r="Q24" i="8" s="1"/>
  <c r="Q25" i="8" s="1"/>
  <c r="Q26" i="8" s="1"/>
  <c r="Q27" i="8" s="1"/>
  <c r="Q28" i="8" s="1"/>
  <c r="Q29" i="8" s="1"/>
  <c r="Q30" i="8" s="1"/>
  <c r="A86" i="8"/>
  <c r="C133" i="8"/>
  <c r="L47" i="8"/>
  <c r="B90" i="8"/>
  <c r="R107" i="8"/>
  <c r="R108" i="8" s="1"/>
  <c r="R109" i="8" s="1"/>
  <c r="R110" i="8" s="1"/>
  <c r="R111" i="8" s="1"/>
  <c r="A20" i="8"/>
  <c r="D19" i="8"/>
  <c r="A57" i="8"/>
  <c r="U39" i="8"/>
  <c r="M151" i="8"/>
  <c r="B89" i="8"/>
  <c r="R104" i="8"/>
  <c r="D18" i="8"/>
  <c r="H42" i="8"/>
  <c r="I42" i="8"/>
  <c r="R106" i="8"/>
  <c r="H48" i="8"/>
  <c r="Q107" i="8"/>
  <c r="I41" i="8"/>
  <c r="B86" i="8"/>
  <c r="B88" i="8"/>
  <c r="B91" i="8"/>
  <c r="C80" i="8"/>
  <c r="G80" i="8" s="1"/>
  <c r="P76" i="9" l="1"/>
  <c r="S75" i="9"/>
  <c r="AC75" i="9" s="1"/>
  <c r="AB75" i="9"/>
  <c r="R82" i="9"/>
  <c r="AA81" i="9"/>
  <c r="AI73" i="9"/>
  <c r="AK73" i="9" s="1"/>
  <c r="AN73" i="9"/>
  <c r="AP73" i="9" s="1"/>
  <c r="AM81" i="9"/>
  <c r="T82" i="9"/>
  <c r="AH81" i="9"/>
  <c r="S128" i="9"/>
  <c r="P129" i="9"/>
  <c r="AH142" i="9"/>
  <c r="T143" i="9"/>
  <c r="AM142" i="9"/>
  <c r="AA144" i="9"/>
  <c r="R145" i="9"/>
  <c r="AD74" i="9"/>
  <c r="X122" i="9"/>
  <c r="V123" i="9"/>
  <c r="X74" i="9"/>
  <c r="V75" i="9"/>
  <c r="N18" i="6"/>
  <c r="O11" i="6"/>
  <c r="Q128" i="8"/>
  <c r="N11" i="6"/>
  <c r="O150" i="6"/>
  <c r="N111" i="6"/>
  <c r="O24" i="6"/>
  <c r="C270" i="6"/>
  <c r="M133" i="8"/>
  <c r="U43" i="8"/>
  <c r="U44" i="8" s="1"/>
  <c r="U45" i="8" s="1"/>
  <c r="U46" i="8" s="1"/>
  <c r="U47" i="8" s="1"/>
  <c r="U48" i="8" s="1"/>
  <c r="U49" i="8" s="1"/>
  <c r="U50" i="8" s="1"/>
  <c r="U51" i="8" s="1"/>
  <c r="U52" i="8" s="1"/>
  <c r="U53" i="8" s="1"/>
  <c r="R26" i="8"/>
  <c r="C47" i="8"/>
  <c r="G47" i="8" s="1"/>
  <c r="C48" i="8"/>
  <c r="G48" i="8" s="1"/>
  <c r="Q44" i="8"/>
  <c r="Q45" i="8" s="1"/>
  <c r="C42" i="8"/>
  <c r="G42" i="8" s="1"/>
  <c r="M128" i="8"/>
  <c r="D55" i="8"/>
  <c r="T43" i="8"/>
  <c r="D56" i="8"/>
  <c r="D86" i="8"/>
  <c r="A87" i="8"/>
  <c r="B108" i="8"/>
  <c r="B109" i="8" s="1"/>
  <c r="D80" i="8"/>
  <c r="F80" i="8" s="1"/>
  <c r="J80" i="8" s="1"/>
  <c r="B55" i="8"/>
  <c r="B56" i="8" s="1"/>
  <c r="A21" i="8"/>
  <c r="D20" i="8"/>
  <c r="A108" i="8"/>
  <c r="Q108" i="8"/>
  <c r="Q109" i="8" s="1"/>
  <c r="Q110" i="8" s="1"/>
  <c r="Q111" i="8" s="1"/>
  <c r="C102" i="8"/>
  <c r="G102" i="8" s="1"/>
  <c r="L133" i="8"/>
  <c r="L128" i="8"/>
  <c r="H133" i="8"/>
  <c r="O93" i="6" s="1"/>
  <c r="G133" i="8"/>
  <c r="N87" i="6" s="1"/>
  <c r="G128" i="8"/>
  <c r="N80" i="6" s="1"/>
  <c r="D57" i="8"/>
  <c r="A58" i="8"/>
  <c r="AA82" i="9" l="1"/>
  <c r="R83" i="9"/>
  <c r="AA83" i="9" s="1"/>
  <c r="AD75" i="9"/>
  <c r="P130" i="9"/>
  <c r="S129" i="9"/>
  <c r="AM82" i="9"/>
  <c r="T83" i="9"/>
  <c r="AH82" i="9"/>
  <c r="X123" i="9"/>
  <c r="V124" i="9"/>
  <c r="AA145" i="9"/>
  <c r="R146" i="9"/>
  <c r="AA146" i="9" s="1"/>
  <c r="AE74" i="9"/>
  <c r="X75" i="9"/>
  <c r="V76" i="9"/>
  <c r="AH143" i="9"/>
  <c r="AM143" i="9"/>
  <c r="T144" i="9"/>
  <c r="S76" i="9"/>
  <c r="AC76" i="9" s="1"/>
  <c r="AB76" i="9"/>
  <c r="AD76" i="9" s="1"/>
  <c r="P77" i="9"/>
  <c r="N122" i="6"/>
  <c r="N143" i="6" s="1"/>
  <c r="P143" i="6" s="1"/>
  <c r="N123" i="6"/>
  <c r="N144" i="6" s="1"/>
  <c r="P144" i="6" s="1"/>
  <c r="C291" i="6" s="1"/>
  <c r="O111" i="6"/>
  <c r="O113" i="6" s="1"/>
  <c r="N113" i="6"/>
  <c r="T44" i="8"/>
  <c r="U54" i="8"/>
  <c r="R27" i="8"/>
  <c r="R28" i="8" s="1"/>
  <c r="R29" i="8" s="1"/>
  <c r="R30" i="8" s="1"/>
  <c r="M80" i="8"/>
  <c r="M81" i="8" s="1"/>
  <c r="A88" i="8"/>
  <c r="D87" i="8"/>
  <c r="T45" i="8"/>
  <c r="Q46" i="8"/>
  <c r="D108" i="8"/>
  <c r="A109" i="8"/>
  <c r="A22" i="8"/>
  <c r="D21" i="8"/>
  <c r="K80" i="8"/>
  <c r="K81" i="8" s="1"/>
  <c r="J81" i="8"/>
  <c r="D42" i="8"/>
  <c r="F42" i="8" s="1"/>
  <c r="D41" i="8"/>
  <c r="F41" i="8" s="1"/>
  <c r="D58" i="8"/>
  <c r="A59" i="8"/>
  <c r="D102" i="8"/>
  <c r="F102" i="8" s="1"/>
  <c r="B57" i="8"/>
  <c r="B110" i="8"/>
  <c r="AE76" i="9" l="1"/>
  <c r="V77" i="9"/>
  <c r="X76" i="9"/>
  <c r="AE75" i="9"/>
  <c r="AI74" i="9"/>
  <c r="AK74" i="9" s="1"/>
  <c r="AN74" i="9"/>
  <c r="AP74" i="9" s="1"/>
  <c r="S77" i="9"/>
  <c r="AC77" i="9" s="1"/>
  <c r="AB77" i="9"/>
  <c r="P78" i="9"/>
  <c r="AM83" i="9"/>
  <c r="AH83" i="9"/>
  <c r="AM144" i="9"/>
  <c r="AH144" i="9"/>
  <c r="T145" i="9"/>
  <c r="V125" i="9"/>
  <c r="X124" i="9"/>
  <c r="P131" i="9"/>
  <c r="S130" i="9"/>
  <c r="C290" i="6"/>
  <c r="N80" i="8"/>
  <c r="N81" i="8" s="1"/>
  <c r="U55" i="8"/>
  <c r="D11" i="8"/>
  <c r="F11" i="8" s="1"/>
  <c r="D10" i="8"/>
  <c r="F10" i="8" s="1"/>
  <c r="J10" i="8" s="1"/>
  <c r="K10" i="8" s="1"/>
  <c r="D88" i="8"/>
  <c r="A89" i="8"/>
  <c r="B111" i="8"/>
  <c r="B58" i="8"/>
  <c r="A23" i="8"/>
  <c r="D22" i="8"/>
  <c r="M41" i="8"/>
  <c r="J41" i="8"/>
  <c r="A110" i="8"/>
  <c r="D109" i="8"/>
  <c r="M42" i="8"/>
  <c r="N42" i="8" s="1"/>
  <c r="J42" i="8"/>
  <c r="K42" i="8" s="1"/>
  <c r="T46" i="8"/>
  <c r="Q47" i="8"/>
  <c r="M102" i="8"/>
  <c r="J102" i="8"/>
  <c r="D59" i="8"/>
  <c r="A60" i="8"/>
  <c r="S131" i="9" l="1"/>
  <c r="P132" i="9"/>
  <c r="AI75" i="9"/>
  <c r="AK75" i="9" s="1"/>
  <c r="AN75" i="9"/>
  <c r="AP75" i="9" s="1"/>
  <c r="V78" i="9"/>
  <c r="X77" i="9"/>
  <c r="S78" i="9"/>
  <c r="AC78" i="9" s="1"/>
  <c r="AB78" i="9"/>
  <c r="AD78" i="9" s="1"/>
  <c r="P79" i="9"/>
  <c r="T146" i="9"/>
  <c r="AM145" i="9"/>
  <c r="AH145" i="9"/>
  <c r="AD77" i="9"/>
  <c r="AE77" i="9" s="1"/>
  <c r="AI76" i="9"/>
  <c r="AK76" i="9" s="1"/>
  <c r="AN76" i="9"/>
  <c r="AP76" i="9" s="1"/>
  <c r="X125" i="9"/>
  <c r="V126" i="9"/>
  <c r="U56" i="8"/>
  <c r="M10" i="8"/>
  <c r="N10" i="8" s="1"/>
  <c r="J11" i="8"/>
  <c r="K11" i="8" s="1"/>
  <c r="M11" i="8"/>
  <c r="N11" i="8" s="1"/>
  <c r="A90" i="8"/>
  <c r="D89" i="8"/>
  <c r="D60" i="8"/>
  <c r="A61" i="8"/>
  <c r="D110" i="8"/>
  <c r="A111" i="8"/>
  <c r="A24" i="8"/>
  <c r="D23" i="8"/>
  <c r="K102" i="8"/>
  <c r="K103" i="8" s="1"/>
  <c r="J103" i="8"/>
  <c r="M103" i="8"/>
  <c r="N102" i="8"/>
  <c r="N103" i="8" s="1"/>
  <c r="M43" i="8"/>
  <c r="O79" i="6" s="1"/>
  <c r="O81" i="6" s="1"/>
  <c r="N101" i="6" s="1"/>
  <c r="N41" i="8"/>
  <c r="N43" i="8" s="1"/>
  <c r="O83" i="6" s="1"/>
  <c r="B59" i="8"/>
  <c r="T47" i="8"/>
  <c r="Q48" i="8"/>
  <c r="K41" i="8"/>
  <c r="K43" i="8" s="1"/>
  <c r="J43" i="8"/>
  <c r="B112" i="8"/>
  <c r="AN77" i="9" l="1"/>
  <c r="AP77" i="9" s="1"/>
  <c r="AI77" i="9"/>
  <c r="AK77" i="9" s="1"/>
  <c r="V79" i="9"/>
  <c r="AE78" i="9"/>
  <c r="X78" i="9"/>
  <c r="AM146" i="9"/>
  <c r="AH146" i="9"/>
  <c r="AB79" i="9"/>
  <c r="P80" i="9"/>
  <c r="S79" i="9"/>
  <c r="AC79" i="9" s="1"/>
  <c r="X126" i="9"/>
  <c r="V127" i="9"/>
  <c r="P133" i="9"/>
  <c r="S132" i="9"/>
  <c r="N157" i="6"/>
  <c r="N106" i="6"/>
  <c r="N79" i="6"/>
  <c r="N81" i="6" s="1"/>
  <c r="N105" i="6" s="1"/>
  <c r="N83" i="6"/>
  <c r="U57" i="8"/>
  <c r="D90" i="8"/>
  <c r="A91" i="8"/>
  <c r="D61" i="8"/>
  <c r="A62" i="8"/>
  <c r="A112" i="8"/>
  <c r="D111" i="8"/>
  <c r="B60" i="8"/>
  <c r="T48" i="8"/>
  <c r="Q49" i="8"/>
  <c r="A25" i="8"/>
  <c r="D24" i="8"/>
  <c r="AN78" i="9" l="1"/>
  <c r="AP78" i="9" s="1"/>
  <c r="AI78" i="9"/>
  <c r="AK78" i="9" s="1"/>
  <c r="V80" i="9"/>
  <c r="X79" i="9"/>
  <c r="AD79" i="9"/>
  <c r="AE79" i="9" s="1"/>
  <c r="S133" i="9"/>
  <c r="P134" i="9"/>
  <c r="V128" i="9"/>
  <c r="X127" i="9"/>
  <c r="P81" i="9"/>
  <c r="S80" i="9"/>
  <c r="AC80" i="9" s="1"/>
  <c r="AB80" i="9"/>
  <c r="AD80" i="9" s="1"/>
  <c r="N150" i="6"/>
  <c r="N107" i="6"/>
  <c r="U58" i="8"/>
  <c r="D48" i="8" s="1"/>
  <c r="F48" i="8" s="1"/>
  <c r="D47" i="8"/>
  <c r="F47" i="8" s="1"/>
  <c r="E87" i="8"/>
  <c r="F87" i="8" s="1"/>
  <c r="E88" i="8"/>
  <c r="F88" i="8" s="1"/>
  <c r="E89" i="8"/>
  <c r="F89" i="8" s="1"/>
  <c r="E90" i="8"/>
  <c r="F90" i="8" s="1"/>
  <c r="E91" i="8"/>
  <c r="F91" i="8" s="1"/>
  <c r="E86" i="8"/>
  <c r="F86" i="8" s="1"/>
  <c r="E108" i="8"/>
  <c r="F108" i="8" s="1"/>
  <c r="E109" i="8"/>
  <c r="F109" i="8" s="1"/>
  <c r="E110" i="8"/>
  <c r="F110" i="8" s="1"/>
  <c r="E112" i="8"/>
  <c r="F112" i="8" s="1"/>
  <c r="E111" i="8"/>
  <c r="F111" i="8" s="1"/>
  <c r="D91" i="8"/>
  <c r="D112" i="8"/>
  <c r="Q50" i="8"/>
  <c r="T49" i="8"/>
  <c r="D62" i="8"/>
  <c r="A63" i="8"/>
  <c r="A26" i="8"/>
  <c r="D25" i="8"/>
  <c r="B61" i="8"/>
  <c r="AN79" i="9" l="1"/>
  <c r="AP79" i="9" s="1"/>
  <c r="AI79" i="9"/>
  <c r="AK79" i="9" s="1"/>
  <c r="AK86" i="9" s="1"/>
  <c r="AB81" i="9"/>
  <c r="P82" i="9"/>
  <c r="S81" i="9"/>
  <c r="AC81" i="9" s="1"/>
  <c r="AE80" i="9"/>
  <c r="V81" i="9"/>
  <c r="X80" i="9"/>
  <c r="AF80" i="9" s="1"/>
  <c r="AO80" i="9" s="1"/>
  <c r="X128" i="9"/>
  <c r="V129" i="9"/>
  <c r="P135" i="9"/>
  <c r="S134" i="9"/>
  <c r="P150" i="6"/>
  <c r="C271" i="6"/>
  <c r="J47" i="8"/>
  <c r="M47" i="8"/>
  <c r="M48" i="8"/>
  <c r="N48" i="8" s="1"/>
  <c r="J48" i="8"/>
  <c r="K48" i="8" s="1"/>
  <c r="J111" i="8"/>
  <c r="H111" i="8"/>
  <c r="H109" i="8"/>
  <c r="J109" i="8"/>
  <c r="J88" i="8"/>
  <c r="H88" i="8"/>
  <c r="H87" i="8"/>
  <c r="J87" i="8"/>
  <c r="J108" i="8"/>
  <c r="H108" i="8"/>
  <c r="J110" i="8"/>
  <c r="H110" i="8"/>
  <c r="J91" i="8"/>
  <c r="J94" i="8" s="1"/>
  <c r="H91" i="8"/>
  <c r="H94" i="8" s="1"/>
  <c r="J86" i="8"/>
  <c r="H86" i="8"/>
  <c r="J90" i="8"/>
  <c r="H90" i="8"/>
  <c r="H89" i="8"/>
  <c r="J89" i="8"/>
  <c r="T50" i="8"/>
  <c r="Q51" i="8"/>
  <c r="D63" i="8"/>
  <c r="A64" i="8"/>
  <c r="J112" i="8"/>
  <c r="J115" i="8" s="1"/>
  <c r="H112" i="8"/>
  <c r="H115" i="8" s="1"/>
  <c r="B62" i="8"/>
  <c r="A27" i="8"/>
  <c r="D27" i="8" s="1"/>
  <c r="D26" i="8"/>
  <c r="AN80" i="9" l="1"/>
  <c r="AP80" i="9" s="1"/>
  <c r="AI80" i="9"/>
  <c r="AK80" i="9" s="1"/>
  <c r="AD81" i="9"/>
  <c r="AE81" i="9" s="1"/>
  <c r="S82" i="9"/>
  <c r="AC82" i="9" s="1"/>
  <c r="AB82" i="9"/>
  <c r="P83" i="9"/>
  <c r="V130" i="9"/>
  <c r="X129" i="9"/>
  <c r="V82" i="9"/>
  <c r="X81" i="9"/>
  <c r="S135" i="9"/>
  <c r="P136" i="9"/>
  <c r="C272" i="6"/>
  <c r="E218" i="6" s="1"/>
  <c r="C274" i="6"/>
  <c r="E63" i="8"/>
  <c r="N47" i="8"/>
  <c r="N49" i="8" s="1"/>
  <c r="M49" i="8"/>
  <c r="K47" i="8"/>
  <c r="K49" i="8" s="1"/>
  <c r="J49" i="8"/>
  <c r="E25" i="8"/>
  <c r="E26" i="8"/>
  <c r="E18" i="8"/>
  <c r="E19" i="8"/>
  <c r="E27" i="8"/>
  <c r="E20" i="8"/>
  <c r="E17" i="8"/>
  <c r="E24" i="8"/>
  <c r="E21" i="8"/>
  <c r="E22" i="8"/>
  <c r="E23" i="8"/>
  <c r="E55" i="8"/>
  <c r="F55" i="8" s="1"/>
  <c r="E56" i="8"/>
  <c r="F56" i="8" s="1"/>
  <c r="E57" i="8"/>
  <c r="F57" i="8" s="1"/>
  <c r="E58" i="8"/>
  <c r="F58" i="8" s="1"/>
  <c r="E59" i="8"/>
  <c r="F59" i="8" s="1"/>
  <c r="E60" i="8"/>
  <c r="F60" i="8" s="1"/>
  <c r="E61" i="8"/>
  <c r="F61" i="8" s="1"/>
  <c r="E62" i="8"/>
  <c r="F62" i="8" s="1"/>
  <c r="J114" i="8"/>
  <c r="J116" i="8" s="1"/>
  <c r="H93" i="8"/>
  <c r="H95" i="8" s="1"/>
  <c r="J93" i="8"/>
  <c r="J95" i="8" s="1"/>
  <c r="D64" i="8"/>
  <c r="E64" i="8" s="1"/>
  <c r="A65" i="8"/>
  <c r="D65" i="8" s="1"/>
  <c r="E65" i="8" s="1"/>
  <c r="H114" i="8"/>
  <c r="H116" i="8" s="1"/>
  <c r="Q52" i="8"/>
  <c r="T51" i="8"/>
  <c r="B63" i="8"/>
  <c r="AN81" i="9" l="1"/>
  <c r="AI81" i="9"/>
  <c r="AK81" i="9" s="1"/>
  <c r="V131" i="9"/>
  <c r="X130" i="9"/>
  <c r="S83" i="9"/>
  <c r="AC83" i="9" s="1"/>
  <c r="AB83" i="9"/>
  <c r="AD82" i="9"/>
  <c r="AE82" i="9" s="1"/>
  <c r="P137" i="9"/>
  <c r="AB136" i="9"/>
  <c r="S136" i="9"/>
  <c r="AC136" i="9" s="1"/>
  <c r="AF81" i="9"/>
  <c r="AO81" i="9" s="1"/>
  <c r="X82" i="9"/>
  <c r="V83" i="9"/>
  <c r="N121" i="6"/>
  <c r="N142" i="6" s="1"/>
  <c r="P142" i="6" s="1"/>
  <c r="J58" i="8"/>
  <c r="H58" i="8"/>
  <c r="J57" i="8"/>
  <c r="H57" i="8"/>
  <c r="J60" i="8"/>
  <c r="H60" i="8"/>
  <c r="H56" i="8"/>
  <c r="J56" i="8"/>
  <c r="F63" i="8"/>
  <c r="B64" i="8"/>
  <c r="J61" i="8"/>
  <c r="H61" i="8"/>
  <c r="J55" i="8"/>
  <c r="H55" i="8"/>
  <c r="H59" i="8"/>
  <c r="J59" i="8"/>
  <c r="H62" i="8"/>
  <c r="J62" i="8"/>
  <c r="Q53" i="8"/>
  <c r="T52" i="8"/>
  <c r="AD136" i="9" l="1"/>
  <c r="AI82" i="9"/>
  <c r="AK82" i="9" s="1"/>
  <c r="AN82" i="9"/>
  <c r="AD83" i="9"/>
  <c r="AP86" i="9" s="1"/>
  <c r="S137" i="9"/>
  <c r="AC137" i="9" s="1"/>
  <c r="AB137" i="9"/>
  <c r="AD137" i="9" s="1"/>
  <c r="P138" i="9"/>
  <c r="V132" i="9"/>
  <c r="X131" i="9"/>
  <c r="X83" i="9"/>
  <c r="AF82" i="9"/>
  <c r="AO82" i="9" s="1"/>
  <c r="AP81" i="9"/>
  <c r="C289" i="6"/>
  <c r="Q54" i="8"/>
  <c r="T53" i="8"/>
  <c r="B65" i="8"/>
  <c r="F65" i="8" s="1"/>
  <c r="F64" i="8"/>
  <c r="H63" i="8"/>
  <c r="J63" i="8"/>
  <c r="AF83" i="9" l="1"/>
  <c r="AO83" i="9" s="1"/>
  <c r="AE83" i="9"/>
  <c r="V133" i="9"/>
  <c r="X132" i="9"/>
  <c r="P139" i="9"/>
  <c r="AB138" i="9"/>
  <c r="S138" i="9"/>
  <c r="AC138" i="9" s="1"/>
  <c r="AP82" i="9"/>
  <c r="AI83" i="9"/>
  <c r="AK83" i="9" s="1"/>
  <c r="AK85" i="9" s="1"/>
  <c r="AK87" i="9" s="1"/>
  <c r="AN83" i="9"/>
  <c r="T54" i="8"/>
  <c r="Q55" i="8"/>
  <c r="J65" i="8"/>
  <c r="H65" i="8"/>
  <c r="J64" i="8"/>
  <c r="H64" i="8"/>
  <c r="AP83" i="9" l="1"/>
  <c r="AP85" i="9" s="1"/>
  <c r="AP87" i="9" s="1"/>
  <c r="AP89" i="9" s="1"/>
  <c r="AP90" i="9" s="1"/>
  <c r="AP91" i="9" s="1"/>
  <c r="S139" i="9"/>
  <c r="AC139" i="9" s="1"/>
  <c r="AB139" i="9"/>
  <c r="AD139" i="9" s="1"/>
  <c r="P140" i="9"/>
  <c r="AK89" i="9"/>
  <c r="AK90" i="9" s="1"/>
  <c r="AK91" i="9" s="1"/>
  <c r="AD138" i="9"/>
  <c r="V134" i="9"/>
  <c r="X133" i="9"/>
  <c r="H68" i="8"/>
  <c r="H67" i="8"/>
  <c r="J68" i="8"/>
  <c r="J67" i="8"/>
  <c r="T55" i="8"/>
  <c r="Q56" i="8"/>
  <c r="P141" i="9" l="1"/>
  <c r="AB140" i="9"/>
  <c r="S140" i="9"/>
  <c r="AC140" i="9" s="1"/>
  <c r="X134" i="9"/>
  <c r="V135" i="9"/>
  <c r="J69" i="8"/>
  <c r="O92" i="6" s="1"/>
  <c r="O94" i="6" s="1"/>
  <c r="O114" i="6" s="1"/>
  <c r="H69" i="8"/>
  <c r="N86" i="6" s="1"/>
  <c r="N88" i="6" s="1"/>
  <c r="N114" i="6" s="1"/>
  <c r="T56" i="8"/>
  <c r="Q57" i="8"/>
  <c r="AD140" i="9" l="1"/>
  <c r="V136" i="9"/>
  <c r="X135" i="9"/>
  <c r="S141" i="9"/>
  <c r="AC141" i="9" s="1"/>
  <c r="AB141" i="9"/>
  <c r="P142" i="9"/>
  <c r="N115" i="6"/>
  <c r="N116" i="6"/>
  <c r="O115" i="6"/>
  <c r="O116" i="6"/>
  <c r="Q58" i="8"/>
  <c r="T58" i="8" s="1"/>
  <c r="T57" i="8"/>
  <c r="AD141" i="9" l="1"/>
  <c r="P143" i="9"/>
  <c r="AB142" i="9"/>
  <c r="AD142" i="9" s="1"/>
  <c r="S142" i="9"/>
  <c r="AC142" i="9" s="1"/>
  <c r="AE136" i="9"/>
  <c r="AI136" i="9" s="1"/>
  <c r="AK136" i="9" s="1"/>
  <c r="X136" i="9"/>
  <c r="V137" i="9"/>
  <c r="B22" i="8"/>
  <c r="F22" i="8" s="1"/>
  <c r="J22" i="8" s="1"/>
  <c r="B19" i="8"/>
  <c r="F19" i="8" s="1"/>
  <c r="J19" i="8" s="1"/>
  <c r="B25" i="8"/>
  <c r="F25" i="8" s="1"/>
  <c r="J25" i="8" s="1"/>
  <c r="B24" i="8"/>
  <c r="F24" i="8" s="1"/>
  <c r="J24" i="8" s="1"/>
  <c r="B20" i="8"/>
  <c r="F20" i="8" s="1"/>
  <c r="J20" i="8" s="1"/>
  <c r="B17" i="8"/>
  <c r="B26" i="8"/>
  <c r="F26" i="8" s="1"/>
  <c r="J26" i="8" s="1"/>
  <c r="B18" i="8"/>
  <c r="F18" i="8" s="1"/>
  <c r="J18" i="8" s="1"/>
  <c r="B23" i="8"/>
  <c r="F23" i="8" s="1"/>
  <c r="J23" i="8" s="1"/>
  <c r="B21" i="8"/>
  <c r="F21" i="8" s="1"/>
  <c r="J21" i="8" s="1"/>
  <c r="D9" i="8"/>
  <c r="F9" i="8" s="1"/>
  <c r="J9" i="8" s="1"/>
  <c r="B27" i="8"/>
  <c r="F27" i="8" s="1"/>
  <c r="J27" i="8" s="1"/>
  <c r="X137" i="9" l="1"/>
  <c r="V138" i="9"/>
  <c r="AE137" i="9"/>
  <c r="AI137" i="9" s="1"/>
  <c r="AK137" i="9" s="1"/>
  <c r="AN137" i="9" s="1"/>
  <c r="AP137" i="9" s="1"/>
  <c r="AN136" i="9"/>
  <c r="AP136" i="9" s="1"/>
  <c r="P144" i="9"/>
  <c r="S143" i="9"/>
  <c r="AC143" i="9" s="1"/>
  <c r="AB143" i="9"/>
  <c r="AD143" i="9" s="1"/>
  <c r="F17" i="8"/>
  <c r="J17" i="8" s="1"/>
  <c r="H23" i="8"/>
  <c r="H19" i="8"/>
  <c r="H24" i="8"/>
  <c r="H27" i="8"/>
  <c r="H18" i="8"/>
  <c r="H26" i="8"/>
  <c r="H30" i="8" s="1"/>
  <c r="J30" i="8"/>
  <c r="H22" i="8"/>
  <c r="H21" i="8"/>
  <c r="H20" i="8"/>
  <c r="H25" i="8"/>
  <c r="X138" i="9" l="1"/>
  <c r="AE138" i="9"/>
  <c r="AI138" i="9" s="1"/>
  <c r="AK138" i="9" s="1"/>
  <c r="AN138" i="9" s="1"/>
  <c r="AP138" i="9" s="1"/>
  <c r="V139" i="9"/>
  <c r="P145" i="9"/>
  <c r="S144" i="9"/>
  <c r="AC144" i="9" s="1"/>
  <c r="AB144" i="9"/>
  <c r="AD144" i="9" s="1"/>
  <c r="H17" i="8"/>
  <c r="H29" i="8" s="1"/>
  <c r="H31" i="8" s="1"/>
  <c r="J12" i="8"/>
  <c r="K9" i="8"/>
  <c r="K12" i="8" s="1"/>
  <c r="N14" i="6" s="1"/>
  <c r="N53" i="6" s="1"/>
  <c r="M9" i="8"/>
  <c r="N9" i="8" s="1"/>
  <c r="N12" i="8" s="1"/>
  <c r="O14" i="6" s="1"/>
  <c r="N54" i="6" s="1"/>
  <c r="N154" i="6" s="1"/>
  <c r="J29" i="8"/>
  <c r="J31" i="8" s="1"/>
  <c r="O23" i="6" s="1"/>
  <c r="O25" i="6" s="1"/>
  <c r="O45" i="6" s="1"/>
  <c r="AE139" i="9" l="1"/>
  <c r="AI139" i="9" s="1"/>
  <c r="AK139" i="9" s="1"/>
  <c r="V140" i="9"/>
  <c r="X139" i="9"/>
  <c r="P146" i="9"/>
  <c r="AB145" i="9"/>
  <c r="S145" i="9"/>
  <c r="AC145" i="9" s="1"/>
  <c r="O46" i="6"/>
  <c r="O47" i="6"/>
  <c r="O48" i="6" s="1"/>
  <c r="N55" i="6"/>
  <c r="N57" i="6" s="1"/>
  <c r="N61" i="6" s="1"/>
  <c r="N134" i="6"/>
  <c r="O140" i="6"/>
  <c r="O134" i="6"/>
  <c r="N10" i="6"/>
  <c r="N12" i="6" s="1"/>
  <c r="N36" i="6" s="1"/>
  <c r="N145" i="6"/>
  <c r="P145" i="6" s="1"/>
  <c r="C292" i="6" s="1"/>
  <c r="N17" i="6"/>
  <c r="N19" i="6" s="1"/>
  <c r="N45" i="6" s="1"/>
  <c r="C231" i="6" s="1"/>
  <c r="C224" i="6"/>
  <c r="C226" i="6" s="1"/>
  <c r="M12" i="8"/>
  <c r="O10" i="6" s="1"/>
  <c r="O12" i="6" s="1"/>
  <c r="N32" i="6" s="1"/>
  <c r="N37" i="6" s="1"/>
  <c r="N153" i="6" s="1"/>
  <c r="AD145" i="9" l="1"/>
  <c r="AB146" i="9"/>
  <c r="S146" i="9"/>
  <c r="AC146" i="9" s="1"/>
  <c r="AE140" i="9"/>
  <c r="AI140" i="9" s="1"/>
  <c r="AK140" i="9" s="1"/>
  <c r="AN140" i="9" s="1"/>
  <c r="AP140" i="9" s="1"/>
  <c r="V141" i="9"/>
  <c r="X140" i="9"/>
  <c r="AN139" i="9"/>
  <c r="AP139" i="9" s="1"/>
  <c r="N38" i="6"/>
  <c r="N63" i="6" s="1"/>
  <c r="N129" i="6"/>
  <c r="N155" i="6"/>
  <c r="N156" i="6" s="1"/>
  <c r="N158" i="6" s="1"/>
  <c r="N140" i="6" s="1"/>
  <c r="P140" i="6" s="1"/>
  <c r="N47" i="6"/>
  <c r="N46" i="6"/>
  <c r="N68" i="6" s="1"/>
  <c r="P134" i="6"/>
  <c r="O148" i="6"/>
  <c r="P148" i="6" s="1"/>
  <c r="N64" i="6"/>
  <c r="N67" i="6"/>
  <c r="C216" i="6"/>
  <c r="E217" i="6"/>
  <c r="C233" i="6"/>
  <c r="X141" i="9" l="1"/>
  <c r="V142" i="9"/>
  <c r="AE141" i="9"/>
  <c r="AI141" i="9" s="1"/>
  <c r="AK141" i="9" s="1"/>
  <c r="AD146" i="9"/>
  <c r="N69" i="6"/>
  <c r="P129" i="6"/>
  <c r="N130" i="6"/>
  <c r="P130" i="6" s="1"/>
  <c r="C217" i="6"/>
  <c r="C295" i="6"/>
  <c r="C288" i="6"/>
  <c r="C243" i="6"/>
  <c r="C219" i="6"/>
  <c r="AN141" i="9" l="1"/>
  <c r="AP141" i="9" s="1"/>
  <c r="AE142" i="9"/>
  <c r="AI142" i="9" s="1"/>
  <c r="AK142" i="9" s="1"/>
  <c r="AN142" i="9" s="1"/>
  <c r="AP142" i="9" s="1"/>
  <c r="X142" i="9"/>
  <c r="V143" i="9"/>
  <c r="N132" i="6"/>
  <c r="D217" i="6"/>
  <c r="E220" i="6" s="1"/>
  <c r="C282" i="6"/>
  <c r="C241" i="6"/>
  <c r="AE143" i="9" l="1"/>
  <c r="AI143" i="9" s="1"/>
  <c r="AK143" i="9" s="1"/>
  <c r="AN143" i="9" s="1"/>
  <c r="AP143" i="9" s="1"/>
  <c r="V144" i="9"/>
  <c r="X143" i="9"/>
  <c r="AF143" i="9" s="1"/>
  <c r="P132" i="6"/>
  <c r="N149" i="6"/>
  <c r="P149" i="6" s="1"/>
  <c r="C281" i="6"/>
  <c r="C285" i="6"/>
  <c r="AE144" i="9" l="1"/>
  <c r="AI144" i="9" s="1"/>
  <c r="AK144" i="9" s="1"/>
  <c r="AN144" i="9" s="1"/>
  <c r="AP144" i="9" s="1"/>
  <c r="V145" i="9"/>
  <c r="X144" i="9"/>
  <c r="AF144" i="9" s="1"/>
  <c r="P152" i="6"/>
  <c r="C294" i="6"/>
  <c r="C296" i="6" s="1"/>
  <c r="C298" i="6" s="1"/>
  <c r="X145" i="9" l="1"/>
  <c r="AE145" i="9"/>
  <c r="AI145" i="9" s="1"/>
  <c r="AK145" i="9" s="1"/>
  <c r="AN145" i="9" s="1"/>
  <c r="AP145" i="9" s="1"/>
  <c r="V146" i="9"/>
  <c r="AE146" i="9" l="1"/>
  <c r="AI146" i="9" s="1"/>
  <c r="AK146" i="9" s="1"/>
  <c r="X146" i="9"/>
  <c r="AF146" i="9" s="1"/>
  <c r="AF145" i="9"/>
  <c r="AK149" i="9" l="1"/>
  <c r="AN146" i="9"/>
  <c r="AP146" i="9" s="1"/>
  <c r="AK148" i="9"/>
  <c r="AK150" i="9" l="1"/>
  <c r="AK152" i="9" l="1"/>
  <c r="AK153" i="9" s="1"/>
  <c r="AK154" i="9" s="1"/>
</calcChain>
</file>

<file path=xl/sharedStrings.xml><?xml version="1.0" encoding="utf-8"?>
<sst xmlns="http://schemas.openxmlformats.org/spreadsheetml/2006/main" count="875" uniqueCount="438">
  <si>
    <t>Plan Provisions</t>
  </si>
  <si>
    <t>Retirement benefit:</t>
  </si>
  <si>
    <t>Age 65</t>
  </si>
  <si>
    <t>Age 55</t>
  </si>
  <si>
    <t>Early retirement reduction:</t>
  </si>
  <si>
    <t>Termination benefits:</t>
  </si>
  <si>
    <t>Pension deferred to NRA</t>
  </si>
  <si>
    <t>Life guaranteed for 5 years</t>
  </si>
  <si>
    <t>Pre-retirement cost of living adjustments:</t>
  </si>
  <si>
    <t>Deferred pensions are increased annually at 100% of CPI</t>
  </si>
  <si>
    <t>Post-retirement cost of living adjustments:</t>
  </si>
  <si>
    <t>Pensions in payment are increased annually at 100% of CPI</t>
  </si>
  <si>
    <t>Asset Information (in $):</t>
  </si>
  <si>
    <t>Market value of assets:</t>
  </si>
  <si>
    <t>Membership information:</t>
  </si>
  <si>
    <t>A</t>
  </si>
  <si>
    <t>B</t>
  </si>
  <si>
    <t>C</t>
  </si>
  <si>
    <t>D</t>
  </si>
  <si>
    <t>Member Status</t>
  </si>
  <si>
    <t>Active</t>
  </si>
  <si>
    <t>Retired</t>
  </si>
  <si>
    <t>Earnings for 2018:</t>
  </si>
  <si>
    <t>n/a</t>
  </si>
  <si>
    <t>Earnings for 2019:</t>
  </si>
  <si>
    <t>Earnings for 2020:</t>
  </si>
  <si>
    <t>Earnings for 2021:</t>
  </si>
  <si>
    <t>Earnings for 2022:</t>
  </si>
  <si>
    <t>Life guaranteed 
for 5 years</t>
  </si>
  <si>
    <t>Going concern assumptions:</t>
  </si>
  <si>
    <t>(per year)</t>
  </si>
  <si>
    <t>Pre-retirement mortality:</t>
  </si>
  <si>
    <t>None</t>
  </si>
  <si>
    <t>Retirement age (actives):</t>
  </si>
  <si>
    <t>Age</t>
  </si>
  <si>
    <t>Rate per year</t>
  </si>
  <si>
    <t>NRA</t>
  </si>
  <si>
    <t>Termination rates (all involuntary):</t>
  </si>
  <si>
    <t>under age 50</t>
  </si>
  <si>
    <t>50 and over</t>
  </si>
  <si>
    <t>Form of benefit elected:</t>
  </si>
  <si>
    <t>Assets:</t>
  </si>
  <si>
    <t>Market Value of assets</t>
  </si>
  <si>
    <t>Explicit expense allowance for administrative expenses:</t>
  </si>
  <si>
    <t>Information for calculation of the provision for adverse deviations (PfAD):</t>
  </si>
  <si>
    <t>Benchmark discount rate (BDR):</t>
  </si>
  <si>
    <t>Solvency and Hypothetical Wind-up assumptions:</t>
  </si>
  <si>
    <t>Solvency Basis</t>
  </si>
  <si>
    <t>Solvency excludes indexation</t>
  </si>
  <si>
    <t>Form of benefit settlement elected by member</t>
  </si>
  <si>
    <t>- Active and Deferred Members:</t>
  </si>
  <si>
    <t>100% elect lump sum</t>
  </si>
  <si>
    <t>- Pensioners:</t>
  </si>
  <si>
    <t>100% annuity purchase</t>
  </si>
  <si>
    <t>Basis for benefits assumed to be settled through a lump sum</t>
  </si>
  <si>
    <t>- Discount rate:</t>
  </si>
  <si>
    <t>Basis for benefits assumed to be settled through the purchase of an annuity</t>
  </si>
  <si>
    <t>- Interest rate:</t>
  </si>
  <si>
    <t>- Inflation rate:</t>
  </si>
  <si>
    <t>Retirement age:</t>
  </si>
  <si>
    <t>In accordance with Standards of Practice</t>
  </si>
  <si>
    <t>Type</t>
  </si>
  <si>
    <t>Monthly Amortization Payment</t>
  </si>
  <si>
    <t>Going-Concern</t>
  </si>
  <si>
    <t>Solvency</t>
  </si>
  <si>
    <t>Immediate Single Life Annuity Factors</t>
  </si>
  <si>
    <t>Discount Rate</t>
  </si>
  <si>
    <t>Immediate Life Guaranteed 5 years Annuity Factors</t>
  </si>
  <si>
    <t>Deferred to age 65 Life Guaranteed 5 years Annuity Factors</t>
  </si>
  <si>
    <t>Age 49</t>
  </si>
  <si>
    <t>Age 50</t>
  </si>
  <si>
    <t>Age 60</t>
  </si>
  <si>
    <t>Age 61</t>
  </si>
  <si>
    <t>a)</t>
  </si>
  <si>
    <t>b)</t>
  </si>
  <si>
    <t>c)</t>
  </si>
  <si>
    <t>Member contributions</t>
  </si>
  <si>
    <t>Pension paid</t>
  </si>
  <si>
    <t xml:space="preserve">Investment income </t>
  </si>
  <si>
    <t>Member A received a salary increase of 5.00% (on a nominal basis)</t>
  </si>
  <si>
    <t xml:space="preserve">d) </t>
  </si>
  <si>
    <t>e)</t>
  </si>
  <si>
    <t>Indexed</t>
  </si>
  <si>
    <t>Unindexed</t>
  </si>
  <si>
    <t>GC Liabilitiy</t>
  </si>
  <si>
    <t>Actives</t>
  </si>
  <si>
    <t>Pensioners</t>
  </si>
  <si>
    <t>Total</t>
  </si>
  <si>
    <t>Normal Cost</t>
  </si>
  <si>
    <t>Wind-Up Liability</t>
  </si>
  <si>
    <t>Solvency Liability</t>
  </si>
  <si>
    <t>PFAD Calculation</t>
  </si>
  <si>
    <t>PFAD %</t>
  </si>
  <si>
    <t>PFAD $</t>
  </si>
  <si>
    <t>GC Funded Position</t>
  </si>
  <si>
    <t>Assets</t>
  </si>
  <si>
    <t>GC Liabilities</t>
  </si>
  <si>
    <t>PFAD</t>
  </si>
  <si>
    <t>Funding excess (shortfall)</t>
  </si>
  <si>
    <t>Solvency/Wind-Up Funded Position</t>
  </si>
  <si>
    <t>Wind-up</t>
  </si>
  <si>
    <t>MV Assets</t>
  </si>
  <si>
    <t>Wind-up expense</t>
  </si>
  <si>
    <t>Solvency Assets</t>
  </si>
  <si>
    <t>Liability</t>
  </si>
  <si>
    <t>Funded Ratio</t>
  </si>
  <si>
    <t>Excess over 105% of solvency</t>
  </si>
  <si>
    <t>Total Normal Cost</t>
  </si>
  <si>
    <t>PfAD on Non-Indexed NC</t>
  </si>
  <si>
    <t>Total NC + PFAD</t>
  </si>
  <si>
    <t>Employee Contributions</t>
  </si>
  <si>
    <t>Employer Portion of Normal Cost</t>
  </si>
  <si>
    <t>Explicit Expense Allowance</t>
  </si>
  <si>
    <t>PfAD on explicit expense allowance</t>
  </si>
  <si>
    <t>Total Expense Allowance</t>
  </si>
  <si>
    <t>Total Employer Current Service Cost Contributions</t>
  </si>
  <si>
    <t>Prior Years Special payments</t>
  </si>
  <si>
    <t>Not applicable as plan now in surplus position</t>
  </si>
  <si>
    <t>Min(GC Surplus, Excess over 105% solvency)</t>
  </si>
  <si>
    <t>Min. Funding Requirements</t>
  </si>
  <si>
    <t>Salary Gain (Loss)</t>
  </si>
  <si>
    <t>Indexation Gain (Loss)</t>
  </si>
  <si>
    <t>Mortality Gain (Loss)</t>
  </si>
  <si>
    <t>Expected</t>
  </si>
  <si>
    <t>Actual</t>
  </si>
  <si>
    <t>Interest on the excess/deficit</t>
  </si>
  <si>
    <t>Investment return</t>
  </si>
  <si>
    <t>Salary</t>
  </si>
  <si>
    <t>Indexation</t>
  </si>
  <si>
    <t>Mortality</t>
  </si>
  <si>
    <t>Expense experience</t>
  </si>
  <si>
    <t>Total experience gains (losses)</t>
  </si>
  <si>
    <t>Must determine whether company is required to file:</t>
  </si>
  <si>
    <t>Regulator allows tri-annual filing so can choose not to file assuming that one valuation has been filed in the past three years.</t>
  </si>
  <si>
    <t>Filing will increase contribution requirements therefore must consider employer's ability to absorb a contribution increase:</t>
  </si>
  <si>
    <t>Impact on operating cash flow</t>
  </si>
  <si>
    <t>Size of pension plan with respect to company</t>
  </si>
  <si>
    <t>Opportunity cost</t>
  </si>
  <si>
    <t>Member A - Active</t>
  </si>
  <si>
    <t>Going Concern Actuarial Liability</t>
  </si>
  <si>
    <t>Non-Indexed</t>
  </si>
  <si>
    <t>Salary Projection</t>
  </si>
  <si>
    <t>Decrement Age</t>
  </si>
  <si>
    <t>Type of Decrement</t>
  </si>
  <si>
    <t>Years to Decrement</t>
  </si>
  <si>
    <t>FAE</t>
  </si>
  <si>
    <t>Service</t>
  </si>
  <si>
    <t>Projected Pension</t>
  </si>
  <si>
    <t>Discounting Factor</t>
  </si>
  <si>
    <t>Probability of Decrement</t>
  </si>
  <si>
    <t>Factor</t>
  </si>
  <si>
    <t>AL</t>
  </si>
  <si>
    <t>NC</t>
  </si>
  <si>
    <t>Termination</t>
  </si>
  <si>
    <t>Retirement</t>
  </si>
  <si>
    <t>Wind-up/Solvency Actuarial Liability</t>
  </si>
  <si>
    <t>Credited Service</t>
  </si>
  <si>
    <t>Elig. Service (Grow-in)</t>
  </si>
  <si>
    <t>Reduction</t>
  </si>
  <si>
    <t>Pension</t>
  </si>
  <si>
    <t>Optimal</t>
  </si>
  <si>
    <t>EURA</t>
  </si>
  <si>
    <t>CV</t>
  </si>
  <si>
    <t>Salary increase in 2023</t>
  </si>
  <si>
    <t>Member B - Active</t>
  </si>
  <si>
    <t>Member C - Pensioner</t>
  </si>
  <si>
    <t>Inflation</t>
  </si>
  <si>
    <t>Annual Pension Amount</t>
  </si>
  <si>
    <t>Annuity Factor</t>
  </si>
  <si>
    <t>Member D - Pensioner</t>
  </si>
  <si>
    <t>Member died and has no guarantee period left</t>
  </si>
  <si>
    <t>Age (in years):</t>
  </si>
  <si>
    <t>January 1, 2023 Annual Pension:</t>
  </si>
  <si>
    <t>Age at Retirement:</t>
  </si>
  <si>
    <t>Form of Pension:</t>
  </si>
  <si>
    <t>Years of Service:</t>
  </si>
  <si>
    <t>Discount rate:</t>
  </si>
  <si>
    <t>Salary increase:</t>
  </si>
  <si>
    <t>Actuarial cost method:</t>
  </si>
  <si>
    <t>Projected Unit Credit, prorated on service</t>
  </si>
  <si>
    <t>Non-URA/NRA ages</t>
  </si>
  <si>
    <t>URA</t>
  </si>
  <si>
    <t>100% of members elect to receive an immediate or deferred pension from the plan</t>
  </si>
  <si>
    <t>Plan type (Closed):</t>
  </si>
  <si>
    <t>PfAD Asset mix component:</t>
  </si>
  <si>
    <t>Inflation rate:</t>
  </si>
  <si>
    <t>4.1% per year for 10 years; 4.1% per year thereafter</t>
  </si>
  <si>
    <t>1.9% per year for 10 years; 1.9% per year thereafter</t>
  </si>
  <si>
    <t>3.8% per year</t>
  </si>
  <si>
    <t>2.1% per year</t>
  </si>
  <si>
    <t>Amortization schedules from previous valuation:</t>
  </si>
  <si>
    <t>Plan termination expenses:</t>
  </si>
  <si>
    <t>Number of Years Remaining</t>
  </si>
  <si>
    <t>Deferred Annuity Factors</t>
  </si>
  <si>
    <t>Commencement Age</t>
  </si>
  <si>
    <t>Discount Rates</t>
  </si>
  <si>
    <t>December 31, 2023 market value of assets:</t>
  </si>
  <si>
    <t>Administration fees</t>
  </si>
  <si>
    <t>Cost of living adjustment for pensions in pay of 7% per year effective January 1, 2024</t>
  </si>
  <si>
    <t>Normal form of pension:</t>
  </si>
  <si>
    <t>Member contributions:</t>
  </si>
  <si>
    <t>You are given the following information as at January 1, 2023</t>
  </si>
  <si>
    <t>January 1, 2023 market value of assets:</t>
  </si>
  <si>
    <t>Member D died on December 15, 2023</t>
  </si>
  <si>
    <t>Jan 1, 2023 Valuation</t>
  </si>
  <si>
    <t>Jan 1, 2024 Valuation</t>
  </si>
  <si>
    <t>As at January 1, 2023</t>
  </si>
  <si>
    <t>Non- Indexed</t>
  </si>
  <si>
    <t>January 1, 2023 Valuation</t>
  </si>
  <si>
    <t>January 1, 2024 Valuation</t>
  </si>
  <si>
    <t>Maximum employer calculation</t>
  </si>
  <si>
    <t>ER Normal Cost</t>
  </si>
  <si>
    <t>Wind-up deficit</t>
  </si>
  <si>
    <t>As at January 1, 2024</t>
  </si>
  <si>
    <t>Link final results below and show all work including formulas in the workspace provided to the right or in the additional worksheets (in Excel).</t>
  </si>
  <si>
    <t>Special Payments to fund the deficit with interest</t>
  </si>
  <si>
    <t>Funding excess (shortfall) at January 1, 2023</t>
  </si>
  <si>
    <t>Employer contributions</t>
  </si>
  <si>
    <t>Liabilities</t>
  </si>
  <si>
    <t>Gain / (Loss)</t>
  </si>
  <si>
    <t>Experience gain/(loss)</t>
  </si>
  <si>
    <t>PfAD</t>
  </si>
  <si>
    <t>Interest</t>
  </si>
  <si>
    <t>(cont in excess)</t>
  </si>
  <si>
    <t>SP</t>
  </si>
  <si>
    <t>Expense allowance contributions with interest</t>
  </si>
  <si>
    <t>(expense exp)</t>
  </si>
  <si>
    <t>Actual expense with interest</t>
  </si>
  <si>
    <t>BP</t>
  </si>
  <si>
    <t>(mortality)</t>
  </si>
  <si>
    <t>(salary)</t>
  </si>
  <si>
    <t>(indexation)</t>
  </si>
  <si>
    <t>(termination)</t>
  </si>
  <si>
    <t>Assumption - DR</t>
  </si>
  <si>
    <t>Assumption - SS</t>
  </si>
  <si>
    <t>Return</t>
  </si>
  <si>
    <t>(investment return)</t>
  </si>
  <si>
    <t>Misc</t>
  </si>
  <si>
    <t>Expected - prior val roll forward</t>
  </si>
  <si>
    <t>Going Concern Funded Position</t>
  </si>
  <si>
    <t>Minimum required contributions for 2023</t>
  </si>
  <si>
    <t>Maximum permissible contributions for 2023</t>
  </si>
  <si>
    <t>Experience gains (losses)</t>
  </si>
  <si>
    <t>You are provided with the following asset and demographic experience for the period from January 1, 2023 to December 31, 2023</t>
  </si>
  <si>
    <t>Solvency excess (shortfall)</t>
  </si>
  <si>
    <t>Going concern excess (shortfall)</t>
  </si>
  <si>
    <t xml:space="preserve"> (30 points) Your client sponsors a single employer contributory defined benefit pension plan registered in Ontario.</t>
  </si>
  <si>
    <t>2.00% of final 5-year average earnings multiplied by years of service</t>
  </si>
  <si>
    <t>Age 55 and 30 years of service</t>
  </si>
  <si>
    <t>Annuity Factors:</t>
  </si>
  <si>
    <t>(12 points) Calculate the funded status of the plan on a going concern, solvency and hypothetical wind up bases as at January 1, 2023</t>
  </si>
  <si>
    <t>Hypothetical wind up</t>
  </si>
  <si>
    <t>Hypothetical wind up excess (shortfall)</t>
  </si>
  <si>
    <t>(3 points) Calculate the minimum required and maximum permissible contributions for 2023 based on the January 1, 2023 valuation.</t>
  </si>
  <si>
    <t>2023 asset reconciliation ($):</t>
  </si>
  <si>
    <t>Demographic experience in 2023:</t>
  </si>
  <si>
    <t>The going concern assumptions for the January 1, 2024 valuation remain. unchanged from the prior valuation</t>
  </si>
  <si>
    <t xml:space="preserve">(5 points) Calculate the funded status on a going-concern basis as at the January 1, 2024. </t>
  </si>
  <si>
    <t xml:space="preserve">(8 points) Calculate the actuarial gains and losses by source for the period between January 1, 2023 and December 31, 2023.
</t>
  </si>
  <si>
    <t>The plan remains in a solvency surplus at January 1, 2024 and your client decides to file the January 1, 2024 valuation.</t>
  </si>
  <si>
    <t>(2 points) Explain why your client may have decided to file the January 1, 2024 valuation.</t>
  </si>
  <si>
    <t>Deficit Contributions</t>
  </si>
  <si>
    <t>Expected funding excess (shortfall) at January 1, 2024 after PfAD</t>
  </si>
  <si>
    <t>Funding excess (shortfall) at January 1, 2024</t>
  </si>
  <si>
    <t>Member B received a salary increase of 4.00% (on a nominal basis)</t>
  </si>
  <si>
    <t>8% of earnings</t>
  </si>
  <si>
    <t>Normal retirement age (NRA):</t>
  </si>
  <si>
    <t>Earliest retirement age (ERA):</t>
  </si>
  <si>
    <t>Unreduced retirement age (URA):</t>
  </si>
  <si>
    <t>Actuarial assumptions and methods:</t>
  </si>
  <si>
    <t>Expected position</t>
  </si>
  <si>
    <t>Gain/(loss) on NC contributions</t>
  </si>
  <si>
    <t>Gain/(loss) on expenses</t>
  </si>
  <si>
    <t>PfAD BOY</t>
  </si>
  <si>
    <t>Interest on PfAD</t>
  </si>
  <si>
    <t>Expected PfAD</t>
  </si>
  <si>
    <t>Actual PfAD</t>
  </si>
  <si>
    <t>PfAD Contributions with Interest</t>
  </si>
  <si>
    <t>Gain/(Loss)</t>
  </si>
  <si>
    <t>Contributions</t>
  </si>
  <si>
    <t>Answer in Word document</t>
  </si>
  <si>
    <t>3% per year from earlier of URA and NRA</t>
  </si>
  <si>
    <t>Consider funding policy</t>
  </si>
  <si>
    <r>
      <t xml:space="preserve">Illustrative Solution - </t>
    </r>
    <r>
      <rPr>
        <sz val="11"/>
        <color rgb="FF0000FF"/>
        <rFont val="Calibri"/>
        <family val="2"/>
        <scheme val="minor"/>
      </rPr>
      <t>(please refer to "Liability Calculation" spreadsheet for more details)</t>
    </r>
  </si>
  <si>
    <t>Part a)</t>
  </si>
  <si>
    <t>Part b)</t>
  </si>
  <si>
    <t>Part c)</t>
  </si>
  <si>
    <t>Part d)</t>
  </si>
  <si>
    <t>Part e)</t>
  </si>
  <si>
    <t>Total CV:</t>
  </si>
  <si>
    <t>50% Rule Refund:</t>
  </si>
  <si>
    <t>50% of CV:</t>
  </si>
  <si>
    <t>CV:</t>
  </si>
  <si>
    <t>EURD:</t>
  </si>
  <si>
    <t>Best Age:</t>
  </si>
  <si>
    <t>Bridge Plan Benefit</t>
  </si>
  <si>
    <t>Lifetime Benefit</t>
  </si>
  <si>
    <t>Lifetime Plan Benefit (reduced)</t>
  </si>
  <si>
    <t>Plan Reduction</t>
  </si>
  <si>
    <t>Bridge Benefit</t>
  </si>
  <si>
    <t>Bridge Maximum Pension</t>
  </si>
  <si>
    <t>Lifetime Maximum Pension</t>
  </si>
  <si>
    <t>ITA Reduction</t>
  </si>
  <si>
    <t>Years to 80 points</t>
  </si>
  <si>
    <t>Years to Age 60</t>
  </si>
  <si>
    <t>Years to 30 years of Cont Svc</t>
  </si>
  <si>
    <t>Bridge Factor</t>
  </si>
  <si>
    <t>Lifetime Factor</t>
  </si>
  <si>
    <t>Combined Maximum Pension</t>
  </si>
  <si>
    <t>Maximum Bridge Pension (for formula)</t>
  </si>
  <si>
    <t>Maximum Pension</t>
  </si>
  <si>
    <t>Plan Bridge Benefit</t>
  </si>
  <si>
    <t>Plan Lifetime Benefit</t>
  </si>
  <si>
    <t>Age + Cont Service</t>
  </si>
  <si>
    <t>Continuous Service</t>
  </si>
  <si>
    <t>Involuntary (grow-in)</t>
  </si>
  <si>
    <t>Voluntary</t>
  </si>
  <si>
    <t xml:space="preserve">ITA Maximum Pension </t>
  </si>
  <si>
    <t xml:space="preserve">BAE: </t>
  </si>
  <si>
    <t>Grow-In Eligible:</t>
  </si>
  <si>
    <t>YMPE</t>
  </si>
  <si>
    <t>DB Limit</t>
  </si>
  <si>
    <t>BEST5</t>
  </si>
  <si>
    <t>Year</t>
  </si>
  <si>
    <t>Member B</t>
  </si>
  <si>
    <t>Show all work, including each step of the calculation separately, in the workspace provided to the right (in Excel).</t>
  </si>
  <si>
    <t>(ii)    Involuntarily</t>
  </si>
  <si>
    <t>(i)    Voluntarily; and</t>
  </si>
  <si>
    <t>Calculate the commuted value at the members' date of termination assuming the members terminated:</t>
  </si>
  <si>
    <t xml:space="preserve">(6 points) </t>
  </si>
  <si>
    <t>(c)  </t>
  </si>
  <si>
    <t xml:space="preserve"> Standards of Practice as at the date of termination.</t>
  </si>
  <si>
    <t>Calculate the implied inflation rates under Section 3500 of the Canadian Institute of Actuaries'</t>
  </si>
  <si>
    <t xml:space="preserve">(1 points) </t>
  </si>
  <si>
    <t>(b)</t>
  </si>
  <si>
    <t xml:space="preserve">Actuaries' Standards of Practice as at the date of termination. </t>
  </si>
  <si>
    <t xml:space="preserve">Calculate the non-indexed commuted value interest rates under Section 3500 of the Canadian Institute of </t>
  </si>
  <si>
    <t xml:space="preserve">(4 points) </t>
  </si>
  <si>
    <t xml:space="preserve">(a)    </t>
  </si>
  <si>
    <r>
      <rPr>
        <vertAlign val="subscript"/>
        <sz val="12"/>
        <color rgb="FF002060"/>
        <rFont val="Times New Roman"/>
        <family val="1"/>
      </rPr>
      <t>30|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35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</si>
  <si>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15|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50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</si>
  <si>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29|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35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</si>
  <si>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14|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50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</si>
  <si>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28|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35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</si>
  <si>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13|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50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</si>
  <si>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27|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35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</si>
  <si>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12|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50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</si>
  <si>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26|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35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</si>
  <si>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11|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50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</si>
  <si>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t>Maximum Lifetime Pension</t>
  </si>
  <si>
    <r>
      <rPr>
        <vertAlign val="subscript"/>
        <sz val="12"/>
        <color rgb="FF002060"/>
        <rFont val="Times New Roman"/>
        <family val="1"/>
      </rPr>
      <t>25|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35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</si>
  <si>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10|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50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</si>
  <si>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24|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35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</si>
  <si>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9|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50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</si>
  <si>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23|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35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</si>
  <si>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8|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50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</si>
  <si>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t>select and ultimate are the same rate</t>
  </si>
  <si>
    <t xml:space="preserve">Increase DB Limit at CPI + 1%: </t>
  </si>
  <si>
    <r>
      <rPr>
        <vertAlign val="subscript"/>
        <sz val="12"/>
        <color rgb="FF002060"/>
        <rFont val="Times New Roman"/>
        <family val="1"/>
      </rPr>
      <t>22|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35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</si>
  <si>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7|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50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</si>
  <si>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21|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35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</si>
  <si>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6|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50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</si>
  <si>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20|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35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</si>
  <si>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5|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50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</si>
  <si>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t>Bridge factor</t>
  </si>
  <si>
    <t>Lifetime factor</t>
  </si>
  <si>
    <t>You are given the following factors:</t>
  </si>
  <si>
    <t>Long-Term Federal Non-Agency Bond Index</t>
  </si>
  <si>
    <t>Mid-Term Federal Non-Agency Bond Index</t>
  </si>
  <si>
    <t>Long-Term Corporate Bond Index</t>
  </si>
  <si>
    <t>Mid-Term Corporate Bond Index</t>
  </si>
  <si>
    <t>Month</t>
  </si>
  <si>
    <t>(real)</t>
  </si>
  <si>
    <t xml:space="preserve">(long) </t>
  </si>
  <si>
    <t>(7 year)</t>
  </si>
  <si>
    <t>Long-Term Provincial Bond Index</t>
  </si>
  <si>
    <t>Mid-Term Provincial Bond Index</t>
  </si>
  <si>
    <t>V122553</t>
  </si>
  <si>
    <t>V122544</t>
  </si>
  <si>
    <t>V122542</t>
  </si>
  <si>
    <t>You are given the following bond yields:</t>
  </si>
  <si>
    <t>Calculated at pension commencement date</t>
  </si>
  <si>
    <t>ITA maximum pension test:</t>
  </si>
  <si>
    <t>2% per year, pre-retirement and post-retirement</t>
  </si>
  <si>
    <t>Cost-of-living adjustments:</t>
  </si>
  <si>
    <t xml:space="preserve">You are given: </t>
  </si>
  <si>
    <t>Lump sum commuted value option permitted at all ages</t>
  </si>
  <si>
    <t xml:space="preserve">Portability: </t>
  </si>
  <si>
    <t>Member A</t>
  </si>
  <si>
    <t>(c)</t>
  </si>
  <si>
    <t>Deferred pension starting at NRA, reduced by 4% per year from age 65</t>
  </si>
  <si>
    <t xml:space="preserve">Termination benefit: </t>
  </si>
  <si>
    <t>Bridge pension: $500 annual pension multiplied by years of pensionable service payable on or after age 62 to the earlier of age 65 or death.</t>
  </si>
  <si>
    <t xml:space="preserve">Pension escalation rates: </t>
  </si>
  <si>
    <t>Unreduced at age 62, otherwise 3% reduction per year from age 62.</t>
  </si>
  <si>
    <t xml:space="preserve">Early retirement benefit: </t>
  </si>
  <si>
    <t>Indexed Rates:</t>
  </si>
  <si>
    <t xml:space="preserve">Eligibility for early retirement: </t>
  </si>
  <si>
    <t>Non-Indexed Rates:</t>
  </si>
  <si>
    <t>by pensionable service</t>
  </si>
  <si>
    <t>Ultimate</t>
  </si>
  <si>
    <t>Select</t>
  </si>
  <si>
    <t xml:space="preserve">2% of the average of the best 5 years of salary multiplied </t>
  </si>
  <si>
    <t xml:space="preserve">Normal retirement benefit: </t>
  </si>
  <si>
    <t xml:space="preserve">Normal retirement age (NRA): </t>
  </si>
  <si>
    <r>
      <t xml:space="preserve">Indexed </t>
    </r>
    <r>
      <rPr>
        <vertAlign val="subscript"/>
        <sz val="11"/>
        <color theme="1"/>
        <rFont val="Calibri"/>
        <family val="2"/>
        <scheme val="minor"/>
      </rPr>
      <t>10+</t>
    </r>
  </si>
  <si>
    <t>Plan Provisions:</t>
  </si>
  <si>
    <r>
      <t xml:space="preserve">Indexed </t>
    </r>
    <r>
      <rPr>
        <vertAlign val="subscript"/>
        <sz val="11"/>
        <color theme="1"/>
        <rFont val="Calibri"/>
        <family val="2"/>
        <scheme val="minor"/>
      </rPr>
      <t>1-10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</si>
  <si>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10+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</si>
  <si>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1-10</t>
    </r>
  </si>
  <si>
    <t>r 7</t>
  </si>
  <si>
    <t>r L</t>
  </si>
  <si>
    <r>
      <t xml:space="preserve">Non-Indexed </t>
    </r>
    <r>
      <rPr>
        <b/>
        <vertAlign val="subscript"/>
        <sz val="11"/>
        <color theme="1"/>
        <rFont val="Calibri"/>
        <family val="2"/>
        <scheme val="minor"/>
      </rPr>
      <t>10+</t>
    </r>
  </si>
  <si>
    <r>
      <t xml:space="preserve">Non-Indexed </t>
    </r>
    <r>
      <rPr>
        <b/>
        <vertAlign val="subscript"/>
        <sz val="11"/>
        <color theme="1"/>
        <rFont val="Calibri"/>
        <family val="2"/>
        <scheme val="minor"/>
      </rPr>
      <t>1-10</t>
    </r>
  </si>
  <si>
    <r>
      <t xml:space="preserve">S </t>
    </r>
    <r>
      <rPr>
        <vertAlign val="subscript"/>
        <sz val="11"/>
        <color theme="1"/>
        <rFont val="Calibri"/>
        <family val="2"/>
        <scheme val="minor"/>
      </rPr>
      <t>10+ (Last Wed)</t>
    </r>
  </si>
  <si>
    <r>
      <t xml:space="preserve">S </t>
    </r>
    <r>
      <rPr>
        <vertAlign val="subscript"/>
        <sz val="11"/>
        <color theme="1"/>
        <rFont val="Calibri"/>
        <family val="2"/>
        <scheme val="minor"/>
      </rPr>
      <t>1-10 (Last Wed)</t>
    </r>
  </si>
  <si>
    <r>
      <t xml:space="preserve">CS </t>
    </r>
    <r>
      <rPr>
        <vertAlign val="subscript"/>
        <sz val="11"/>
        <color theme="1"/>
        <rFont val="Calibri"/>
        <family val="2"/>
        <scheme val="minor"/>
      </rPr>
      <t>10+ (Last Wed)</t>
    </r>
  </si>
  <si>
    <r>
      <t xml:space="preserve">PS </t>
    </r>
    <r>
      <rPr>
        <vertAlign val="subscript"/>
        <sz val="11"/>
        <color theme="1"/>
        <rFont val="Calibri"/>
        <family val="2"/>
        <scheme val="minor"/>
      </rPr>
      <t>10+ (Last Wed)</t>
    </r>
  </si>
  <si>
    <r>
      <t xml:space="preserve">CS </t>
    </r>
    <r>
      <rPr>
        <vertAlign val="subscript"/>
        <sz val="11"/>
        <color theme="1"/>
        <rFont val="Calibri"/>
        <family val="2"/>
        <scheme val="minor"/>
      </rPr>
      <t>1-10 (Last Wed)</t>
    </r>
  </si>
  <si>
    <r>
      <t xml:space="preserve">PS </t>
    </r>
    <r>
      <rPr>
        <vertAlign val="subscript"/>
        <sz val="11"/>
        <color theme="1"/>
        <rFont val="Calibri"/>
        <family val="2"/>
        <scheme val="minor"/>
      </rPr>
      <t>1-10 (Last Wed)</t>
    </r>
  </si>
  <si>
    <t>ITA Maximum DB Pension Limit</t>
  </si>
  <si>
    <t xml:space="preserve">Contribution with interest at date of termination: </t>
  </si>
  <si>
    <t xml:space="preserve">Eligibility service (years): </t>
  </si>
  <si>
    <t>Pensionable service (years):</t>
  </si>
  <si>
    <t xml:space="preserve">Date of termination: </t>
  </si>
  <si>
    <t>Date of birth:</t>
  </si>
  <si>
    <r>
      <t xml:space="preserve">i </t>
    </r>
    <r>
      <rPr>
        <vertAlign val="subscript"/>
        <sz val="11"/>
        <color theme="1"/>
        <rFont val="Calibri"/>
        <family val="2"/>
        <scheme val="minor"/>
      </rPr>
      <t>L</t>
    </r>
  </si>
  <si>
    <r>
      <t xml:space="preserve">i </t>
    </r>
    <r>
      <rPr>
        <vertAlign val="subscript"/>
        <sz val="11"/>
        <color theme="1"/>
        <rFont val="Calibri"/>
        <family val="2"/>
        <scheme val="minor"/>
      </rPr>
      <t>7</t>
    </r>
  </si>
  <si>
    <t>Personal Information:</t>
  </si>
  <si>
    <t>Rates for January 2024 termination should use December 2023 rates to reflect the one month lag. Published rates need to be annualized.</t>
  </si>
  <si>
    <t>(a)</t>
  </si>
  <si>
    <t>a single-employer defined benefit pension plan registered in Ontario:</t>
  </si>
  <si>
    <t xml:space="preserve">You are given the following information for two members who have terminated from </t>
  </si>
  <si>
    <t xml:space="preserve">(11 points) </t>
  </si>
  <si>
    <t>Answer question here:</t>
  </si>
  <si>
    <t>Question 4</t>
  </si>
  <si>
    <t>RETFRC Spring 2024</t>
  </si>
  <si>
    <t>12/31/2023 After PfAD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</si>
</sst>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$&quot;* #,##0_-;\-&quot;$&quot;* #,##0_-;_-&quot;$&quot;* &quot;-&quot;??_-;_-@_-"/>
    <numFmt numFmtId="167" formatCode="_(* #,##0_);_(* \(#,##0\);_(* &quot;-&quot;??_);_(@_)"/>
    <numFmt numFmtId="168" formatCode="0.0"/>
    <numFmt numFmtId="169" formatCode="0.0%"/>
    <numFmt numFmtId="170" formatCode="&quot;$&quot;#,##0"/>
    <numFmt numFmtId="171" formatCode="_(* #,##0.0_);_(* \(#,##0.0\);_(* &quot;-&quot;?_);_(@_)"/>
    <numFmt numFmtId="172" formatCode="0.000%"/>
    <numFmt numFmtId="173" formatCode="_(* #,##0.000_);_(* \(#,##0.000\);_(* &quot;-&quot;?_);_(@_)"/>
    <numFmt numFmtId="174" formatCode="0.0000%"/>
    <numFmt numFmtId="175" formatCode="0.0000"/>
    <numFmt numFmtId="176" formatCode="[$-409]mmmm\ yyyy;@"/>
    <numFmt numFmtId="177" formatCode="0.000000%"/>
    <numFmt numFmtId="178" formatCode="0.00000%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i/>
      <sz val="9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9"/>
      <color rgb="FF0000FF"/>
      <name val="Arial"/>
      <family val="2"/>
    </font>
    <font>
      <sz val="9"/>
      <color theme="1"/>
      <name val="Arial"/>
      <family val="2"/>
    </font>
    <font>
      <i/>
      <sz val="12"/>
      <color rgb="FF002060"/>
      <name val="Times New Roman"/>
      <family val="1"/>
    </font>
    <font>
      <u/>
      <sz val="10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u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i/>
      <sz val="10"/>
      <color rgb="FF002060"/>
      <name val="Arial"/>
      <family val="2"/>
    </font>
    <font>
      <sz val="12"/>
      <color rgb="FF002060"/>
      <name val="Times New Roman"/>
      <family val="1"/>
    </font>
    <font>
      <sz val="10"/>
      <color rgb="FF7030A0"/>
      <name val="Arial"/>
      <family val="2"/>
    </font>
    <font>
      <u/>
      <sz val="10"/>
      <color rgb="FF7030A0"/>
      <name val="Arial"/>
      <family val="2"/>
    </font>
    <font>
      <sz val="10"/>
      <color theme="5"/>
      <name val="Arial"/>
      <family val="2"/>
    </font>
    <font>
      <b/>
      <sz val="10"/>
      <color theme="5"/>
      <name val="Arial"/>
      <family val="2"/>
    </font>
    <font>
      <sz val="10"/>
      <color rgb="FFFF0000"/>
      <name val="Arial"/>
      <family val="2"/>
    </font>
    <font>
      <sz val="9"/>
      <color rgb="FF0000FF"/>
      <name val="Arial"/>
      <family val="2"/>
    </font>
    <font>
      <b/>
      <u/>
      <sz val="9"/>
      <color rgb="FF0000FF"/>
      <name val="Arial"/>
      <family val="2"/>
    </font>
    <font>
      <u/>
      <sz val="9"/>
      <color rgb="FF0000FF"/>
      <name val="Arial"/>
      <family val="2"/>
    </font>
    <font>
      <i/>
      <sz val="9"/>
      <color rgb="FF0000FF"/>
      <name val="Arial"/>
      <family val="2"/>
    </font>
    <font>
      <i/>
      <u/>
      <sz val="9"/>
      <color rgb="FF0000FF"/>
      <name val="Arial"/>
      <family val="2"/>
    </font>
    <font>
      <u val="singleAccounting"/>
      <sz val="9"/>
      <color rgb="FF0000FF"/>
      <name val="Arial"/>
      <family val="2"/>
    </font>
    <font>
      <i/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2"/>
      <color rgb="FF002060"/>
      <name val="Times New Roman"/>
      <family val="1"/>
    </font>
    <font>
      <vertAlign val="superscript"/>
      <sz val="12"/>
      <color rgb="FF002060"/>
      <name val="Times New Roman"/>
      <family val="1"/>
    </font>
    <font>
      <vertAlign val="subscript"/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2"/>
      <color rgb="FF002060"/>
      <name val="Times New Roman"/>
      <family val="1"/>
    </font>
    <font>
      <b/>
      <u/>
      <sz val="12"/>
      <color rgb="FF002060"/>
      <name val="Times New Roman"/>
      <family val="1"/>
    </font>
    <font>
      <b/>
      <sz val="14"/>
      <color rgb="FF00206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167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7" fontId="3" fillId="0" borderId="0" xfId="0" applyNumberFormat="1" applyFont="1" applyAlignment="1">
      <alignment horizontal="right"/>
    </xf>
    <xf numFmtId="168" fontId="3" fillId="0" borderId="0" xfId="0" applyNumberFormat="1" applyFont="1" applyAlignment="1">
      <alignment horizontal="right"/>
    </xf>
    <xf numFmtId="171" fontId="3" fillId="0" borderId="0" xfId="0" applyNumberFormat="1" applyFont="1" applyAlignment="1">
      <alignment horizontal="right"/>
    </xf>
    <xf numFmtId="173" fontId="3" fillId="0" borderId="0" xfId="0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168" fontId="3" fillId="0" borderId="0" xfId="0" applyNumberFormat="1" applyFont="1"/>
    <xf numFmtId="172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3" fontId="4" fillId="0" borderId="0" xfId="0" applyNumberFormat="1" applyFont="1" applyAlignment="1">
      <alignment horizontal="right"/>
    </xf>
    <xf numFmtId="168" fontId="4" fillId="0" borderId="0" xfId="0" applyNumberFormat="1" applyFont="1" applyAlignment="1">
      <alignment horizontal="right"/>
    </xf>
    <xf numFmtId="171" fontId="4" fillId="0" borderId="0" xfId="0" applyNumberFormat="1" applyFont="1" applyAlignment="1">
      <alignment horizontal="right"/>
    </xf>
    <xf numFmtId="172" fontId="4" fillId="0" borderId="0" xfId="0" applyNumberFormat="1" applyFont="1"/>
    <xf numFmtId="0" fontId="3" fillId="0" borderId="2" xfId="0" applyFont="1" applyBorder="1" applyAlignment="1">
      <alignment horizontal="center"/>
    </xf>
    <xf numFmtId="167" fontId="3" fillId="0" borderId="2" xfId="0" applyNumberFormat="1" applyFont="1" applyBorder="1" applyAlignment="1">
      <alignment horizontal="center"/>
    </xf>
    <xf numFmtId="43" fontId="2" fillId="0" borderId="0" xfId="0" applyNumberFormat="1" applyFont="1"/>
    <xf numFmtId="167" fontId="3" fillId="0" borderId="0" xfId="0" applyNumberFormat="1" applyFont="1" applyAlignment="1">
      <alignment horizontal="center"/>
    </xf>
    <xf numFmtId="43" fontId="3" fillId="0" borderId="0" xfId="0" applyNumberFormat="1" applyFont="1"/>
    <xf numFmtId="43" fontId="3" fillId="0" borderId="0" xfId="4" applyFont="1"/>
    <xf numFmtId="0" fontId="2" fillId="0" borderId="0" xfId="0" applyFont="1"/>
    <xf numFmtId="10" fontId="3" fillId="0" borderId="0" xfId="0" applyNumberFormat="1" applyFont="1"/>
    <xf numFmtId="0" fontId="6" fillId="2" borderId="0" xfId="0" applyFont="1" applyFill="1"/>
    <xf numFmtId="0" fontId="7" fillId="2" borderId="0" xfId="0" applyFont="1" applyFill="1"/>
    <xf numFmtId="43" fontId="2" fillId="0" borderId="0" xfId="4" applyFont="1"/>
    <xf numFmtId="167" fontId="3" fillId="0" borderId="0" xfId="4" applyNumberFormat="1" applyFont="1" applyAlignment="1">
      <alignment horizontal="right"/>
    </xf>
    <xf numFmtId="167" fontId="3" fillId="0" borderId="0" xfId="4" applyNumberFormat="1" applyFont="1"/>
    <xf numFmtId="0" fontId="2" fillId="0" borderId="0" xfId="0" applyFont="1" applyAlignment="1">
      <alignment horizontal="left"/>
    </xf>
    <xf numFmtId="9" fontId="3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43" fontId="4" fillId="0" borderId="0" xfId="4" applyFont="1" applyAlignment="1">
      <alignment horizontal="right"/>
    </xf>
    <xf numFmtId="43" fontId="3" fillId="0" borderId="0" xfId="4" applyFont="1" applyAlignment="1">
      <alignment horizontal="right"/>
    </xf>
    <xf numFmtId="0" fontId="9" fillId="0" borderId="0" xfId="0" applyFont="1"/>
    <xf numFmtId="167" fontId="9" fillId="0" borderId="0" xfId="0" applyNumberFormat="1" applyFont="1"/>
    <xf numFmtId="167" fontId="4" fillId="0" borderId="0" xfId="4" applyNumberFormat="1" applyFont="1" applyAlignment="1">
      <alignment horizontal="right"/>
    </xf>
    <xf numFmtId="0" fontId="8" fillId="0" borderId="0" xfId="0" applyFont="1" applyAlignment="1">
      <alignment horizontal="center"/>
    </xf>
    <xf numFmtId="167" fontId="4" fillId="0" borderId="0" xfId="0" applyNumberFormat="1" applyFont="1" applyAlignment="1">
      <alignment horizontal="right"/>
    </xf>
    <xf numFmtId="174" fontId="3" fillId="0" borderId="0" xfId="0" applyNumberFormat="1" applyFont="1" applyAlignment="1">
      <alignment horizontal="right"/>
    </xf>
    <xf numFmtId="174" fontId="4" fillId="0" borderId="0" xfId="0" applyNumberFormat="1" applyFont="1"/>
    <xf numFmtId="175" fontId="3" fillId="0" borderId="0" xfId="0" applyNumberFormat="1" applyFont="1"/>
    <xf numFmtId="167" fontId="3" fillId="0" borderId="0" xfId="4" applyNumberFormat="1" applyFont="1" applyFill="1"/>
    <xf numFmtId="167" fontId="3" fillId="0" borderId="0" xfId="4" applyNumberFormat="1" applyFont="1" applyFill="1" applyAlignment="1">
      <alignment horizontal="right"/>
    </xf>
    <xf numFmtId="167" fontId="4" fillId="0" borderId="0" xfId="4" applyNumberFormat="1" applyFont="1" applyFill="1" applyAlignment="1">
      <alignment horizontal="right"/>
    </xf>
    <xf numFmtId="167" fontId="2" fillId="0" borderId="0" xfId="4" applyNumberFormat="1" applyFont="1" applyFill="1"/>
    <xf numFmtId="167" fontId="2" fillId="0" borderId="0" xfId="4" applyNumberFormat="1" applyFont="1"/>
    <xf numFmtId="167" fontId="2" fillId="0" borderId="0" xfId="0" applyNumberFormat="1" applyFont="1"/>
    <xf numFmtId="0" fontId="13" fillId="0" borderId="0" xfId="0" applyFont="1"/>
    <xf numFmtId="0" fontId="15" fillId="0" borderId="0" xfId="0" applyFont="1"/>
    <xf numFmtId="0" fontId="13" fillId="3" borderId="0" xfId="0" applyFont="1" applyFill="1" applyAlignment="1">
      <alignment wrapText="1"/>
    </xf>
    <xf numFmtId="0" fontId="13" fillId="3" borderId="0" xfId="0" applyFont="1" applyFill="1"/>
    <xf numFmtId="0" fontId="11" fillId="3" borderId="0" xfId="0" applyFont="1" applyFill="1"/>
    <xf numFmtId="0" fontId="14" fillId="3" borderId="0" xfId="0" applyFont="1" applyFill="1"/>
    <xf numFmtId="0" fontId="13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vertical="top"/>
    </xf>
    <xf numFmtId="0" fontId="13" fillId="3" borderId="4" xfId="0" applyFont="1" applyFill="1" applyBorder="1" applyAlignment="1">
      <alignment vertical="center"/>
    </xf>
    <xf numFmtId="0" fontId="13" fillId="3" borderId="4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vertical="top" wrapText="1"/>
    </xf>
    <xf numFmtId="0" fontId="13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left" vertical="center"/>
    </xf>
    <xf numFmtId="0" fontId="12" fillId="3" borderId="0" xfId="0" applyFont="1" applyFill="1"/>
    <xf numFmtId="166" fontId="13" fillId="3" borderId="7" xfId="2" applyNumberFormat="1" applyFont="1" applyFill="1" applyBorder="1"/>
    <xf numFmtId="166" fontId="13" fillId="3" borderId="0" xfId="2" applyNumberFormat="1" applyFont="1" applyFill="1" applyBorder="1"/>
    <xf numFmtId="0" fontId="12" fillId="3" borderId="7" xfId="0" applyFont="1" applyFill="1" applyBorder="1" applyAlignment="1">
      <alignment horizontal="right" vertical="center"/>
    </xf>
    <xf numFmtId="0" fontId="13" fillId="3" borderId="7" xfId="0" applyFont="1" applyFill="1" applyBorder="1" applyAlignment="1">
      <alignment vertical="center"/>
    </xf>
    <xf numFmtId="0" fontId="13" fillId="3" borderId="7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right" vertical="center" wrapText="1"/>
    </xf>
    <xf numFmtId="167" fontId="13" fillId="3" borderId="7" xfId="3" applyNumberFormat="1" applyFont="1" applyFill="1" applyBorder="1" applyAlignment="1">
      <alignment horizontal="right" vertical="center"/>
    </xf>
    <xf numFmtId="168" fontId="13" fillId="3" borderId="7" xfId="0" applyNumberFormat="1" applyFont="1" applyFill="1" applyBorder="1" applyAlignment="1">
      <alignment horizontal="right" vertical="center" wrapText="1"/>
    </xf>
    <xf numFmtId="6" fontId="13" fillId="3" borderId="7" xfId="0" applyNumberFormat="1" applyFont="1" applyFill="1" applyBorder="1" applyAlignment="1">
      <alignment horizontal="right" vertical="center" wrapText="1"/>
    </xf>
    <xf numFmtId="0" fontId="13" fillId="3" borderId="0" xfId="0" applyFont="1" applyFill="1" applyAlignment="1">
      <alignment horizontal="center"/>
    </xf>
    <xf numFmtId="167" fontId="13" fillId="3" borderId="0" xfId="0" applyNumberFormat="1" applyFont="1" applyFill="1" applyAlignment="1">
      <alignment horizontal="center"/>
    </xf>
    <xf numFmtId="0" fontId="15" fillId="3" borderId="0" xfId="0" applyFont="1" applyFill="1"/>
    <xf numFmtId="0" fontId="16" fillId="3" borderId="0" xfId="0" applyFont="1" applyFill="1"/>
    <xf numFmtId="0" fontId="13" fillId="3" borderId="1" xfId="0" applyFont="1" applyFill="1" applyBorder="1"/>
    <xf numFmtId="10" fontId="13" fillId="3" borderId="1" xfId="1" applyNumberFormat="1" applyFont="1" applyFill="1" applyBorder="1" applyAlignment="1">
      <alignment horizontal="center" vertical="center"/>
    </xf>
    <xf numFmtId="0" fontId="13" fillId="3" borderId="3" xfId="0" applyFont="1" applyFill="1" applyBorder="1"/>
    <xf numFmtId="9" fontId="13" fillId="3" borderId="1" xfId="1" applyFont="1" applyFill="1" applyBorder="1" applyAlignment="1">
      <alignment horizontal="center"/>
    </xf>
    <xf numFmtId="9" fontId="13" fillId="3" borderId="1" xfId="0" applyNumberFormat="1" applyFont="1" applyFill="1" applyBorder="1"/>
    <xf numFmtId="0" fontId="1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3" fillId="3" borderId="8" xfId="0" applyFont="1" applyFill="1" applyBorder="1" applyAlignment="1">
      <alignment vertical="top"/>
    </xf>
    <xf numFmtId="0" fontId="13" fillId="3" borderId="8" xfId="0" quotePrefix="1" applyFont="1" applyFill="1" applyBorder="1" applyAlignment="1">
      <alignment horizontal="center" vertical="center"/>
    </xf>
    <xf numFmtId="9" fontId="13" fillId="3" borderId="9" xfId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10" xfId="0" quotePrefix="1" applyFont="1" applyFill="1" applyBorder="1" applyAlignment="1">
      <alignment horizontal="center" vertical="center"/>
    </xf>
    <xf numFmtId="9" fontId="13" fillId="3" borderId="11" xfId="1" applyFont="1" applyFill="1" applyBorder="1" applyAlignment="1">
      <alignment horizontal="center" vertical="center"/>
    </xf>
    <xf numFmtId="169" fontId="13" fillId="3" borderId="9" xfId="1" applyNumberFormat="1" applyFont="1" applyFill="1" applyBorder="1" applyAlignment="1">
      <alignment horizontal="center" vertical="center"/>
    </xf>
    <xf numFmtId="169" fontId="13" fillId="3" borderId="11" xfId="1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vertical="center"/>
    </xf>
    <xf numFmtId="170" fontId="13" fillId="3" borderId="1" xfId="1" applyNumberFormat="1" applyFont="1" applyFill="1" applyBorder="1" applyAlignment="1">
      <alignment horizontal="left" vertical="center"/>
    </xf>
    <xf numFmtId="170" fontId="13" fillId="3" borderId="0" xfId="1" applyNumberFormat="1" applyFont="1" applyFill="1" applyBorder="1" applyAlignment="1">
      <alignment horizontal="center" vertical="center"/>
    </xf>
    <xf numFmtId="9" fontId="13" fillId="3" borderId="0" xfId="0" applyNumberFormat="1" applyFont="1" applyFill="1" applyAlignment="1">
      <alignment horizontal="center"/>
    </xf>
    <xf numFmtId="0" fontId="13" fillId="3" borderId="0" xfId="0" applyFont="1" applyFill="1" applyAlignment="1">
      <alignment vertical="center"/>
    </xf>
    <xf numFmtId="10" fontId="13" fillId="3" borderId="3" xfId="1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wrapText="1"/>
    </xf>
    <xf numFmtId="10" fontId="13" fillId="3" borderId="12" xfId="1" applyNumberFormat="1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vertical="top"/>
    </xf>
    <xf numFmtId="10" fontId="13" fillId="3" borderId="7" xfId="1" applyNumberFormat="1" applyFont="1" applyFill="1" applyBorder="1" applyAlignment="1">
      <alignment horizontal="center" vertical="center"/>
    </xf>
    <xf numFmtId="10" fontId="13" fillId="3" borderId="0" xfId="1" applyNumberFormat="1" applyFont="1" applyFill="1" applyBorder="1" applyAlignment="1">
      <alignment horizontal="left" vertical="top"/>
    </xf>
    <xf numFmtId="10" fontId="16" fillId="3" borderId="0" xfId="0" applyNumberFormat="1" applyFont="1" applyFill="1"/>
    <xf numFmtId="0" fontId="13" fillId="3" borderId="7" xfId="0" applyFont="1" applyFill="1" applyBorder="1" applyAlignment="1">
      <alignment horizontal="center" vertical="center" wrapText="1"/>
    </xf>
    <xf numFmtId="3" fontId="13" fillId="3" borderId="7" xfId="3" applyNumberFormat="1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167" fontId="13" fillId="3" borderId="0" xfId="0" applyNumberFormat="1" applyFont="1" applyFill="1"/>
    <xf numFmtId="0" fontId="12" fillId="3" borderId="1" xfId="0" applyFont="1" applyFill="1" applyBorder="1" applyAlignment="1">
      <alignment horizontal="centerContinuous"/>
    </xf>
    <xf numFmtId="0" fontId="12" fillId="3" borderId="2" xfId="0" applyFont="1" applyFill="1" applyBorder="1" applyAlignment="1">
      <alignment horizontal="centerContinuous"/>
    </xf>
    <xf numFmtId="0" fontId="12" fillId="3" borderId="3" xfId="0" applyFont="1" applyFill="1" applyBorder="1" applyAlignment="1">
      <alignment horizontal="centerContinuous"/>
    </xf>
    <xf numFmtId="0" fontId="12" fillId="3" borderId="1" xfId="0" applyFont="1" applyFill="1" applyBorder="1" applyAlignment="1">
      <alignment horizontal="center"/>
    </xf>
    <xf numFmtId="169" fontId="12" fillId="3" borderId="1" xfId="0" applyNumberFormat="1" applyFont="1" applyFill="1" applyBorder="1" applyAlignment="1">
      <alignment horizontal="center"/>
    </xf>
    <xf numFmtId="169" fontId="12" fillId="3" borderId="2" xfId="0" applyNumberFormat="1" applyFont="1" applyFill="1" applyBorder="1" applyAlignment="1">
      <alignment horizontal="center"/>
    </xf>
    <xf numFmtId="169" fontId="12" fillId="3" borderId="3" xfId="0" applyNumberFormat="1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168" fontId="13" fillId="3" borderId="8" xfId="0" applyNumberFormat="1" applyFont="1" applyFill="1" applyBorder="1" applyAlignment="1">
      <alignment horizontal="center"/>
    </xf>
    <xf numFmtId="168" fontId="13" fillId="3" borderId="0" xfId="0" applyNumberFormat="1" applyFont="1" applyFill="1" applyAlignment="1">
      <alignment horizontal="center"/>
    </xf>
    <xf numFmtId="168" fontId="13" fillId="3" borderId="9" xfId="0" applyNumberFormat="1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168" fontId="13" fillId="3" borderId="10" xfId="0" applyNumberFormat="1" applyFont="1" applyFill="1" applyBorder="1" applyAlignment="1">
      <alignment horizontal="center"/>
    </xf>
    <xf numFmtId="168" fontId="13" fillId="3" borderId="15" xfId="0" applyNumberFormat="1" applyFont="1" applyFill="1" applyBorder="1" applyAlignment="1">
      <alignment horizontal="center"/>
    </xf>
    <xf numFmtId="168" fontId="13" fillId="3" borderId="11" xfId="0" applyNumberFormat="1" applyFont="1" applyFill="1" applyBorder="1" applyAlignment="1">
      <alignment horizontal="center"/>
    </xf>
    <xf numFmtId="0" fontId="12" fillId="3" borderId="0" xfId="0" applyFont="1" applyFill="1" applyAlignment="1">
      <alignment horizontal="center" vertical="center" textRotation="90"/>
    </xf>
    <xf numFmtId="0" fontId="13" fillId="3" borderId="0" xfId="0" applyFont="1" applyFill="1" applyAlignment="1">
      <alignment horizontal="left"/>
    </xf>
    <xf numFmtId="10" fontId="12" fillId="3" borderId="1" xfId="0" applyNumberFormat="1" applyFont="1" applyFill="1" applyBorder="1"/>
    <xf numFmtId="10" fontId="12" fillId="3" borderId="3" xfId="0" applyNumberFormat="1" applyFont="1" applyFill="1" applyBorder="1"/>
    <xf numFmtId="0" fontId="13" fillId="3" borderId="8" xfId="0" applyFont="1" applyFill="1" applyBorder="1" applyAlignment="1">
      <alignment horizontal="center"/>
    </xf>
    <xf numFmtId="168" fontId="13" fillId="3" borderId="8" xfId="0" applyNumberFormat="1" applyFont="1" applyFill="1" applyBorder="1"/>
    <xf numFmtId="168" fontId="13" fillId="3" borderId="9" xfId="0" applyNumberFormat="1" applyFont="1" applyFill="1" applyBorder="1"/>
    <xf numFmtId="0" fontId="13" fillId="3" borderId="10" xfId="0" applyFont="1" applyFill="1" applyBorder="1" applyAlignment="1">
      <alignment horizontal="center"/>
    </xf>
    <xf numFmtId="168" fontId="13" fillId="3" borderId="10" xfId="0" applyNumberFormat="1" applyFont="1" applyFill="1" applyBorder="1"/>
    <xf numFmtId="168" fontId="13" fillId="3" borderId="11" xfId="0" applyNumberFormat="1" applyFont="1" applyFill="1" applyBorder="1"/>
    <xf numFmtId="43" fontId="13" fillId="3" borderId="0" xfId="4" applyFont="1" applyFill="1" applyBorder="1"/>
    <xf numFmtId="0" fontId="13" fillId="3" borderId="0" xfId="0" applyFont="1" applyFill="1" applyAlignment="1">
      <alignment horizontal="left" indent="1"/>
    </xf>
    <xf numFmtId="166" fontId="13" fillId="3" borderId="0" xfId="0" applyNumberFormat="1" applyFont="1" applyFill="1"/>
    <xf numFmtId="2" fontId="13" fillId="3" borderId="0" xfId="0" applyNumberFormat="1" applyFont="1" applyFill="1" applyAlignment="1">
      <alignment horizontal="right" vertical="center"/>
    </xf>
    <xf numFmtId="2" fontId="17" fillId="3" borderId="0" xfId="0" applyNumberFormat="1" applyFont="1" applyFill="1" applyAlignment="1">
      <alignment horizontal="left" vertical="center"/>
    </xf>
    <xf numFmtId="2" fontId="17" fillId="3" borderId="0" xfId="0" applyNumberFormat="1" applyFont="1" applyFill="1" applyAlignment="1">
      <alignment horizontal="right" vertical="center"/>
    </xf>
    <xf numFmtId="37" fontId="13" fillId="3" borderId="0" xfId="0" applyNumberFormat="1" applyFont="1" applyFill="1"/>
    <xf numFmtId="0" fontId="13" fillId="3" borderId="7" xfId="0" applyFont="1" applyFill="1" applyBorder="1" applyAlignment="1">
      <alignment horizontal="left" indent="1"/>
    </xf>
    <xf numFmtId="0" fontId="12" fillId="3" borderId="7" xfId="0" applyFont="1" applyFill="1" applyBorder="1" applyAlignment="1">
      <alignment horizontal="left" indent="1"/>
    </xf>
    <xf numFmtId="2" fontId="13" fillId="3" borderId="0" xfId="0" applyNumberFormat="1" applyFont="1" applyFill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13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vertical="center" textRotation="90"/>
    </xf>
    <xf numFmtId="0" fontId="12" fillId="3" borderId="8" xfId="0" applyFont="1" applyFill="1" applyBorder="1" applyAlignment="1">
      <alignment vertical="center" textRotation="90"/>
    </xf>
    <xf numFmtId="0" fontId="12" fillId="3" borderId="0" xfId="0" applyFont="1" applyFill="1" applyAlignment="1">
      <alignment vertical="center" textRotation="90"/>
    </xf>
    <xf numFmtId="168" fontId="13" fillId="3" borderId="6" xfId="0" applyNumberFormat="1" applyFont="1" applyFill="1" applyBorder="1" applyAlignment="1">
      <alignment horizontal="center"/>
    </xf>
    <xf numFmtId="168" fontId="13" fillId="3" borderId="5" xfId="0" applyNumberFormat="1" applyFont="1" applyFill="1" applyBorder="1" applyAlignment="1">
      <alignment horizontal="center"/>
    </xf>
    <xf numFmtId="168" fontId="13" fillId="3" borderId="4" xfId="0" applyNumberFormat="1" applyFont="1" applyFill="1" applyBorder="1" applyAlignment="1">
      <alignment horizontal="center"/>
    </xf>
    <xf numFmtId="0" fontId="11" fillId="3" borderId="0" xfId="0" applyFont="1" applyFill="1" applyAlignment="1">
      <alignment horizontal="left"/>
    </xf>
    <xf numFmtId="43" fontId="18" fillId="4" borderId="7" xfId="4" applyFont="1" applyFill="1" applyBorder="1"/>
    <xf numFmtId="43" fontId="18" fillId="3" borderId="0" xfId="4" applyFont="1" applyFill="1" applyBorder="1"/>
    <xf numFmtId="167" fontId="18" fillId="4" borderId="7" xfId="4" applyNumberFormat="1" applyFont="1" applyFill="1" applyBorder="1" applyAlignment="1">
      <alignment horizontal="left" indent="2"/>
    </xf>
    <xf numFmtId="167" fontId="18" fillId="4" borderId="7" xfId="4" applyNumberFormat="1" applyFont="1" applyFill="1" applyBorder="1"/>
    <xf numFmtId="167" fontId="13" fillId="3" borderId="0" xfId="4" applyNumberFormat="1" applyFont="1" applyFill="1"/>
    <xf numFmtId="167" fontId="13" fillId="3" borderId="15" xfId="4" applyNumberFormat="1" applyFont="1" applyFill="1" applyBorder="1"/>
    <xf numFmtId="0" fontId="12" fillId="3" borderId="0" xfId="0" applyFont="1" applyFill="1" applyAlignment="1">
      <alignment vertical="top"/>
    </xf>
    <xf numFmtId="167" fontId="19" fillId="3" borderId="0" xfId="4" applyNumberFormat="1" applyFont="1" applyFill="1" applyBorder="1" applyAlignment="1">
      <alignment horizontal="left" indent="2"/>
    </xf>
    <xf numFmtId="0" fontId="16" fillId="3" borderId="7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left"/>
    </xf>
    <xf numFmtId="0" fontId="20" fillId="3" borderId="0" xfId="0" applyFont="1" applyFill="1"/>
    <xf numFmtId="0" fontId="21" fillId="3" borderId="0" xfId="0" applyFont="1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left" indent="1"/>
    </xf>
    <xf numFmtId="0" fontId="12" fillId="3" borderId="7" xfId="0" applyFont="1" applyFill="1" applyBorder="1"/>
    <xf numFmtId="0" fontId="13" fillId="3" borderId="7" xfId="0" applyFont="1" applyFill="1" applyBorder="1"/>
    <xf numFmtId="0" fontId="22" fillId="3" borderId="0" xfId="0" applyFont="1" applyFill="1"/>
    <xf numFmtId="165" fontId="13" fillId="3" borderId="0" xfId="0" applyNumberFormat="1" applyFont="1" applyFill="1"/>
    <xf numFmtId="0" fontId="8" fillId="0" borderId="0" xfId="0" applyFont="1" applyAlignment="1">
      <alignment horizontal="left"/>
    </xf>
    <xf numFmtId="0" fontId="12" fillId="3" borderId="0" xfId="0" applyFont="1" applyFill="1" applyAlignment="1">
      <alignment wrapText="1"/>
    </xf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right"/>
    </xf>
    <xf numFmtId="0" fontId="8" fillId="0" borderId="0" xfId="0" applyFont="1"/>
    <xf numFmtId="0" fontId="26" fillId="0" borderId="0" xfId="0" applyFont="1" applyAlignment="1">
      <alignment horizontal="left" indent="1"/>
    </xf>
    <xf numFmtId="167" fontId="23" fillId="0" borderId="0" xfId="0" applyNumberFormat="1" applyFont="1"/>
    <xf numFmtId="0" fontId="27" fillId="0" borderId="0" xfId="0" applyFont="1" applyAlignment="1">
      <alignment horizontal="left" indent="1"/>
    </xf>
    <xf numFmtId="167" fontId="25" fillId="0" borderId="0" xfId="0" applyNumberFormat="1" applyFont="1"/>
    <xf numFmtId="167" fontId="23" fillId="0" borderId="0" xfId="0" applyNumberFormat="1" applyFont="1" applyAlignment="1">
      <alignment horizontal="right"/>
    </xf>
    <xf numFmtId="0" fontId="23" fillId="0" borderId="0" xfId="0" applyFont="1" applyAlignment="1">
      <alignment horizontal="right"/>
    </xf>
    <xf numFmtId="167" fontId="28" fillId="0" borderId="0" xfId="0" applyNumberFormat="1" applyFont="1" applyAlignment="1">
      <alignment horizontal="right"/>
    </xf>
    <xf numFmtId="43" fontId="23" fillId="0" borderId="0" xfId="0" applyNumberFormat="1" applyFont="1" applyAlignment="1">
      <alignment horizontal="right"/>
    </xf>
    <xf numFmtId="43" fontId="23" fillId="0" borderId="0" xfId="0" applyNumberFormat="1" applyFont="1"/>
    <xf numFmtId="10" fontId="23" fillId="0" borderId="0" xfId="0" applyNumberFormat="1" applyFont="1"/>
    <xf numFmtId="0" fontId="25" fillId="0" borderId="0" xfId="0" applyFont="1"/>
    <xf numFmtId="10" fontId="25" fillId="0" borderId="0" xfId="0" applyNumberFormat="1" applyFont="1"/>
    <xf numFmtId="0" fontId="23" fillId="0" borderId="0" xfId="0" applyFont="1" applyAlignment="1">
      <alignment horizontal="left"/>
    </xf>
    <xf numFmtId="167" fontId="23" fillId="0" borderId="0" xfId="4" applyNumberFormat="1" applyFont="1"/>
    <xf numFmtId="0" fontId="25" fillId="0" borderId="0" xfId="0" applyFont="1" applyAlignment="1">
      <alignment horizontal="left"/>
    </xf>
    <xf numFmtId="0" fontId="23" fillId="3" borderId="1" xfId="0" applyFont="1" applyFill="1" applyBorder="1" applyAlignment="1">
      <alignment horizontal="left"/>
    </xf>
    <xf numFmtId="167" fontId="23" fillId="3" borderId="3" xfId="0" applyNumberFormat="1" applyFont="1" applyFill="1" applyBorder="1"/>
    <xf numFmtId="167" fontId="25" fillId="0" borderId="0" xfId="4" applyNumberFormat="1" applyFont="1"/>
    <xf numFmtId="0" fontId="28" fillId="0" borderId="0" xfId="0" applyFont="1" applyAlignment="1">
      <alignment horizontal="left"/>
    </xf>
    <xf numFmtId="167" fontId="28" fillId="0" borderId="0" xfId="0" applyNumberFormat="1" applyFont="1"/>
    <xf numFmtId="167" fontId="23" fillId="3" borderId="2" xfId="0" applyNumberFormat="1" applyFont="1" applyFill="1" applyBorder="1"/>
    <xf numFmtId="167" fontId="23" fillId="0" borderId="0" xfId="4" applyNumberFormat="1" applyFont="1" applyBorder="1"/>
    <xf numFmtId="0" fontId="29" fillId="0" borderId="0" xfId="0" applyFont="1"/>
    <xf numFmtId="167" fontId="23" fillId="0" borderId="0" xfId="4" applyNumberFormat="1" applyFont="1" applyFill="1"/>
    <xf numFmtId="167" fontId="25" fillId="0" borderId="0" xfId="4" applyNumberFormat="1" applyFont="1" applyFill="1"/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37" fontId="23" fillId="0" borderId="0" xfId="0" applyNumberFormat="1" applyFont="1" applyAlignment="1">
      <alignment horizontal="center"/>
    </xf>
    <xf numFmtId="37" fontId="23" fillId="0" borderId="0" xfId="4" applyNumberFormat="1" applyFont="1" applyFill="1" applyAlignment="1">
      <alignment horizontal="center"/>
    </xf>
    <xf numFmtId="37" fontId="8" fillId="0" borderId="0" xfId="4" applyNumberFormat="1" applyFont="1" applyFill="1" applyAlignment="1">
      <alignment horizontal="center"/>
    </xf>
    <xf numFmtId="37" fontId="8" fillId="0" borderId="0" xfId="0" applyNumberFormat="1" applyFont="1" applyAlignment="1">
      <alignment horizontal="center"/>
    </xf>
    <xf numFmtId="37" fontId="23" fillId="0" borderId="15" xfId="0" applyNumberFormat="1" applyFont="1" applyBorder="1" applyAlignment="1">
      <alignment horizontal="center"/>
    </xf>
    <xf numFmtId="0" fontId="23" fillId="0" borderId="15" xfId="0" applyFont="1" applyBorder="1" applyAlignment="1">
      <alignment horizontal="left"/>
    </xf>
    <xf numFmtId="169" fontId="26" fillId="0" borderId="0" xfId="1" applyNumberFormat="1" applyFont="1" applyAlignment="1">
      <alignment horizontal="center"/>
    </xf>
    <xf numFmtId="37" fontId="23" fillId="0" borderId="0" xfId="0" applyNumberFormat="1" applyFont="1"/>
    <xf numFmtId="0" fontId="30" fillId="0" borderId="0" xfId="0" applyFont="1"/>
    <xf numFmtId="0" fontId="36" fillId="0" borderId="0" xfId="0" applyFont="1"/>
    <xf numFmtId="0" fontId="17" fillId="5" borderId="0" xfId="0" applyFont="1" applyFill="1"/>
    <xf numFmtId="0" fontId="0" fillId="0" borderId="0" xfId="0" applyAlignment="1">
      <alignment horizontal="center"/>
    </xf>
    <xf numFmtId="4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right"/>
    </xf>
    <xf numFmtId="3" fontId="34" fillId="0" borderId="0" xfId="0" applyNumberFormat="1" applyFont="1" applyAlignment="1">
      <alignment horizontal="center"/>
    </xf>
    <xf numFmtId="4" fontId="34" fillId="0" borderId="3" xfId="0" applyNumberFormat="1" applyFont="1" applyBorder="1" applyAlignment="1">
      <alignment horizontal="center"/>
    </xf>
    <xf numFmtId="0" fontId="34" fillId="0" borderId="1" xfId="0" applyFont="1" applyBorder="1" applyAlignment="1">
      <alignment horizontal="righ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33" fillId="0" borderId="0" xfId="0" applyFont="1" applyAlignment="1">
      <alignment horizontal="center"/>
    </xf>
    <xf numFmtId="4" fontId="34" fillId="0" borderId="0" xfId="0" applyNumberFormat="1" applyFont="1"/>
    <xf numFmtId="9" fontId="0" fillId="6" borderId="0" xfId="0" applyNumberFormat="1" applyFill="1" applyAlignment="1">
      <alignment horizontal="center"/>
    </xf>
    <xf numFmtId="9" fontId="0" fillId="0" borderId="0" xfId="0" applyNumberFormat="1" applyAlignment="1">
      <alignment horizontal="center"/>
    </xf>
    <xf numFmtId="2" fontId="3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4" fontId="0" fillId="0" borderId="0" xfId="0" applyNumberFormat="1"/>
    <xf numFmtId="167" fontId="0" fillId="0" borderId="0" xfId="0" applyNumberFormat="1"/>
    <xf numFmtId="4" fontId="0" fillId="6" borderId="0" xfId="0" applyNumberFormat="1" applyFill="1"/>
    <xf numFmtId="0" fontId="0" fillId="6" borderId="0" xfId="0" applyFill="1"/>
    <xf numFmtId="0" fontId="34" fillId="0" borderId="0" xfId="0" applyFont="1" applyAlignment="1">
      <alignment horizontal="center" wrapText="1"/>
    </xf>
    <xf numFmtId="0" fontId="32" fillId="9" borderId="0" xfId="0" applyFont="1" applyFill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3" fontId="0" fillId="6" borderId="0" xfId="0" applyNumberFormat="1" applyFill="1" applyAlignment="1">
      <alignment horizontal="center"/>
    </xf>
    <xf numFmtId="0" fontId="34" fillId="0" borderId="0" xfId="0" applyFont="1" applyAlignment="1">
      <alignment horizontal="center"/>
    </xf>
    <xf numFmtId="0" fontId="0" fillId="10" borderId="0" xfId="0" applyFill="1"/>
    <xf numFmtId="0" fontId="0" fillId="10" borderId="0" xfId="0" applyFill="1" applyAlignment="1">
      <alignment horizontal="center"/>
    </xf>
    <xf numFmtId="0" fontId="35" fillId="10" borderId="0" xfId="0" applyFont="1" applyFill="1"/>
    <xf numFmtId="0" fontId="32" fillId="10" borderId="0" xfId="0" applyFont="1" applyFill="1"/>
    <xf numFmtId="0" fontId="38" fillId="0" borderId="0" xfId="0" applyFont="1"/>
    <xf numFmtId="0" fontId="17" fillId="5" borderId="7" xfId="0" applyFont="1" applyFill="1" applyBorder="1"/>
    <xf numFmtId="0" fontId="17" fillId="5" borderId="7" xfId="0" applyFont="1" applyFill="1" applyBorder="1" applyAlignment="1">
      <alignment horizontal="right" vertical="center" wrapText="1"/>
    </xf>
    <xf numFmtId="3" fontId="0" fillId="6" borderId="0" xfId="0" applyNumberFormat="1" applyFill="1"/>
    <xf numFmtId="0" fontId="0" fillId="0" borderId="0" xfId="0" quotePrefix="1" applyAlignment="1">
      <alignment horizontal="center"/>
    </xf>
    <xf numFmtId="10" fontId="0" fillId="0" borderId="0" xfId="0" applyNumberFormat="1"/>
    <xf numFmtId="0" fontId="36" fillId="0" borderId="0" xfId="0" applyFont="1" applyAlignment="1">
      <alignment wrapText="1"/>
    </xf>
    <xf numFmtId="0" fontId="17" fillId="5" borderId="0" xfId="0" applyFont="1" applyFill="1" applyAlignment="1">
      <alignment wrapText="1"/>
    </xf>
    <xf numFmtId="0" fontId="17" fillId="5" borderId="7" xfId="0" applyFont="1" applyFill="1" applyBorder="1" applyAlignment="1">
      <alignment wrapText="1"/>
    </xf>
    <xf numFmtId="0" fontId="33" fillId="0" borderId="0" xfId="0" applyFont="1" applyAlignment="1">
      <alignment horizontal="left"/>
    </xf>
    <xf numFmtId="10" fontId="17" fillId="5" borderId="7" xfId="0" applyNumberFormat="1" applyFont="1" applyFill="1" applyBorder="1"/>
    <xf numFmtId="176" fontId="17" fillId="5" borderId="7" xfId="0" applyNumberFormat="1" applyFont="1" applyFill="1" applyBorder="1"/>
    <xf numFmtId="0" fontId="17" fillId="5" borderId="7" xfId="0" applyFont="1" applyFill="1" applyBorder="1" applyAlignment="1">
      <alignment horizontal="right" wrapText="1"/>
    </xf>
    <xf numFmtId="0" fontId="17" fillId="5" borderId="13" xfId="0" applyFont="1" applyFill="1" applyBorder="1" applyAlignment="1">
      <alignment horizontal="right"/>
    </xf>
    <xf numFmtId="0" fontId="17" fillId="5" borderId="10" xfId="0" applyFont="1" applyFill="1" applyBorder="1"/>
    <xf numFmtId="0" fontId="17" fillId="5" borderId="12" xfId="0" applyFont="1" applyFill="1" applyBorder="1" applyAlignment="1">
      <alignment horizontal="right" wrapText="1"/>
    </xf>
    <xf numFmtId="0" fontId="17" fillId="5" borderId="4" xfId="0" applyFont="1" applyFill="1" applyBorder="1" applyAlignment="1">
      <alignment horizontal="right" wrapText="1"/>
    </xf>
    <xf numFmtId="0" fontId="17" fillId="5" borderId="3" xfId="0" applyFont="1" applyFill="1" applyBorder="1"/>
    <xf numFmtId="0" fontId="17" fillId="5" borderId="2" xfId="0" applyFont="1" applyFill="1" applyBorder="1"/>
    <xf numFmtId="0" fontId="17" fillId="5" borderId="1" xfId="0" applyFont="1" applyFill="1" applyBorder="1"/>
    <xf numFmtId="0" fontId="0" fillId="0" borderId="0" xfId="0" quotePrefix="1"/>
    <xf numFmtId="0" fontId="17" fillId="5" borderId="5" xfId="0" applyFont="1" applyFill="1" applyBorder="1"/>
    <xf numFmtId="0" fontId="17" fillId="5" borderId="6" xfId="0" applyFont="1" applyFill="1" applyBorder="1"/>
    <xf numFmtId="0" fontId="17" fillId="5" borderId="4" xfId="0" applyFont="1" applyFill="1" applyBorder="1"/>
    <xf numFmtId="0" fontId="17" fillId="5" borderId="12" xfId="0" applyFont="1" applyFill="1" applyBorder="1"/>
    <xf numFmtId="0" fontId="17" fillId="5" borderId="13" xfId="0" applyFont="1" applyFill="1" applyBorder="1"/>
    <xf numFmtId="10" fontId="38" fillId="0" borderId="11" xfId="1" applyNumberFormat="1" applyFont="1" applyBorder="1" applyAlignment="1">
      <alignment horizontal="center"/>
    </xf>
    <xf numFmtId="10" fontId="38" fillId="0" borderId="15" xfId="1" applyNumberFormat="1" applyFont="1" applyBorder="1" applyAlignment="1">
      <alignment horizontal="center"/>
    </xf>
    <xf numFmtId="0" fontId="38" fillId="0" borderId="10" xfId="0" applyFont="1" applyBorder="1"/>
    <xf numFmtId="10" fontId="0" fillId="0" borderId="9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8" xfId="0" applyBorder="1"/>
    <xf numFmtId="0" fontId="17" fillId="5" borderId="11" xfId="0" applyFont="1" applyFill="1" applyBorder="1"/>
    <xf numFmtId="0" fontId="17" fillId="5" borderId="15" xfId="0" applyFont="1" applyFill="1" applyBorder="1"/>
    <xf numFmtId="4" fontId="34" fillId="0" borderId="5" xfId="0" applyNumberFormat="1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0" fillId="0" borderId="4" xfId="0" applyBorder="1"/>
    <xf numFmtId="10" fontId="0" fillId="0" borderId="0" xfId="1" applyNumberFormat="1" applyFont="1"/>
    <xf numFmtId="0" fontId="0" fillId="11" borderId="0" xfId="0" applyFill="1" applyAlignment="1">
      <alignment horizontal="right"/>
    </xf>
    <xf numFmtId="0" fontId="42" fillId="0" borderId="0" xfId="0" applyFont="1"/>
    <xf numFmtId="10" fontId="34" fillId="0" borderId="0" xfId="1" applyNumberFormat="1" applyFont="1"/>
    <xf numFmtId="0" fontId="34" fillId="11" borderId="0" xfId="0" applyFont="1" applyFill="1" applyAlignment="1">
      <alignment horizontal="right"/>
    </xf>
    <xf numFmtId="3" fontId="17" fillId="5" borderId="7" xfId="0" applyNumberFormat="1" applyFont="1" applyFill="1" applyBorder="1"/>
    <xf numFmtId="4" fontId="17" fillId="5" borderId="7" xfId="0" applyNumberFormat="1" applyFont="1" applyFill="1" applyBorder="1"/>
    <xf numFmtId="177" fontId="0" fillId="0" borderId="0" xfId="1" applyNumberFormat="1" applyFont="1"/>
    <xf numFmtId="0" fontId="0" fillId="12" borderId="0" xfId="0" applyFill="1" applyAlignment="1">
      <alignment horizontal="right"/>
    </xf>
    <xf numFmtId="10" fontId="34" fillId="0" borderId="0" xfId="0" applyNumberFormat="1" applyFont="1"/>
    <xf numFmtId="178" fontId="0" fillId="0" borderId="0" xfId="1" applyNumberFormat="1" applyFont="1"/>
    <xf numFmtId="0" fontId="0" fillId="13" borderId="0" xfId="0" applyFill="1" applyAlignment="1">
      <alignment horizontal="right"/>
    </xf>
    <xf numFmtId="178" fontId="0" fillId="0" borderId="0" xfId="0" applyNumberFormat="1"/>
    <xf numFmtId="0" fontId="44" fillId="0" borderId="0" xfId="0" applyFont="1"/>
    <xf numFmtId="0" fontId="45" fillId="5" borderId="7" xfId="0" applyFont="1" applyFill="1" applyBorder="1"/>
    <xf numFmtId="14" fontId="17" fillId="5" borderId="7" xfId="0" applyNumberFormat="1" applyFont="1" applyFill="1" applyBorder="1"/>
    <xf numFmtId="0" fontId="46" fillId="5" borderId="0" xfId="0" applyFont="1" applyFill="1"/>
    <xf numFmtId="0" fontId="10" fillId="5" borderId="0" xfId="0" applyFont="1" applyFill="1"/>
    <xf numFmtId="0" fontId="45" fillId="5" borderId="0" xfId="0" applyFont="1" applyFill="1"/>
    <xf numFmtId="0" fontId="47" fillId="5" borderId="0" xfId="0" applyFont="1" applyFill="1"/>
    <xf numFmtId="0" fontId="29" fillId="0" borderId="0" xfId="0" applyFont="1" applyAlignment="1">
      <alignment wrapText="1"/>
    </xf>
    <xf numFmtId="14" fontId="23" fillId="0" borderId="0" xfId="0" applyNumberFormat="1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26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168" fontId="12" fillId="3" borderId="1" xfId="0" applyNumberFormat="1" applyFont="1" applyFill="1" applyBorder="1" applyAlignment="1">
      <alignment horizontal="center"/>
    </xf>
    <xf numFmtId="168" fontId="12" fillId="3" borderId="2" xfId="0" applyNumberFormat="1" applyFont="1" applyFill="1" applyBorder="1" applyAlignment="1">
      <alignment horizontal="center"/>
    </xf>
    <xf numFmtId="168" fontId="12" fillId="3" borderId="3" xfId="0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3" fillId="3" borderId="7" xfId="0" quotePrefix="1" applyFont="1" applyFill="1" applyBorder="1" applyAlignment="1">
      <alignment horizontal="left" vertical="top"/>
    </xf>
    <xf numFmtId="10" fontId="13" fillId="3" borderId="1" xfId="1" applyNumberFormat="1" applyFont="1" applyFill="1" applyBorder="1" applyAlignment="1">
      <alignment horizontal="left" vertical="top"/>
    </xf>
    <xf numFmtId="10" fontId="13" fillId="3" borderId="3" xfId="1" applyNumberFormat="1" applyFont="1" applyFill="1" applyBorder="1" applyAlignment="1">
      <alignment horizontal="left" vertical="top"/>
    </xf>
    <xf numFmtId="0" fontId="16" fillId="3" borderId="1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170" fontId="13" fillId="3" borderId="1" xfId="1" applyNumberFormat="1" applyFont="1" applyFill="1" applyBorder="1" applyAlignment="1">
      <alignment horizontal="left" vertical="top"/>
    </xf>
    <xf numFmtId="170" fontId="13" fillId="3" borderId="3" xfId="1" applyNumberFormat="1" applyFont="1" applyFill="1" applyBorder="1" applyAlignment="1">
      <alignment horizontal="left" vertical="top"/>
    </xf>
    <xf numFmtId="2" fontId="13" fillId="3" borderId="7" xfId="0" applyNumberFormat="1" applyFont="1" applyFill="1" applyBorder="1" applyAlignment="1">
      <alignment horizontal="left" vertical="center"/>
    </xf>
    <xf numFmtId="3" fontId="13" fillId="3" borderId="1" xfId="3" applyNumberFormat="1" applyFont="1" applyFill="1" applyBorder="1" applyAlignment="1">
      <alignment horizontal="left"/>
    </xf>
    <xf numFmtId="3" fontId="13" fillId="3" borderId="3" xfId="3" applyNumberFormat="1" applyFont="1" applyFill="1" applyBorder="1" applyAlignment="1">
      <alignment horizontal="left"/>
    </xf>
    <xf numFmtId="0" fontId="12" fillId="3" borderId="0" xfId="0" applyFont="1" applyFill="1" applyAlignment="1">
      <alignment horizontal="left" vertical="top" wrapText="1"/>
    </xf>
    <xf numFmtId="0" fontId="13" fillId="3" borderId="4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left" vertical="top" wrapText="1"/>
    </xf>
    <xf numFmtId="0" fontId="13" fillId="3" borderId="10" xfId="0" applyFont="1" applyFill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left" vertical="top" wrapText="1"/>
    </xf>
    <xf numFmtId="0" fontId="13" fillId="3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7" fillId="5" borderId="10" xfId="0" applyFont="1" applyFill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1" xfId="0" applyBorder="1" applyAlignment="1">
      <alignment wrapText="1"/>
    </xf>
    <xf numFmtId="0" fontId="10" fillId="5" borderId="4" xfId="0" applyFont="1" applyFill="1" applyBorder="1" applyAlignment="1">
      <alignment horizontal="left" wrapText="1"/>
    </xf>
    <xf numFmtId="0" fontId="10" fillId="5" borderId="6" xfId="0" applyFont="1" applyFill="1" applyBorder="1" applyAlignment="1">
      <alignment horizontal="left" wrapText="1"/>
    </xf>
    <xf numFmtId="0" fontId="10" fillId="5" borderId="5" xfId="0" applyFont="1" applyFill="1" applyBorder="1" applyAlignment="1">
      <alignment horizontal="left" wrapText="1"/>
    </xf>
    <xf numFmtId="0" fontId="10" fillId="5" borderId="10" xfId="0" applyFont="1" applyFill="1" applyBorder="1" applyAlignment="1">
      <alignment horizontal="left" wrapText="1"/>
    </xf>
    <xf numFmtId="0" fontId="10" fillId="5" borderId="15" xfId="0" applyFont="1" applyFill="1" applyBorder="1" applyAlignment="1">
      <alignment horizontal="left" wrapText="1"/>
    </xf>
    <xf numFmtId="0" fontId="10" fillId="5" borderId="11" xfId="0" applyFont="1" applyFill="1" applyBorder="1" applyAlignment="1">
      <alignment horizontal="left" wrapText="1"/>
    </xf>
    <xf numFmtId="0" fontId="32" fillId="9" borderId="0" xfId="0" applyFont="1" applyFill="1" applyAlignment="1">
      <alignment horizontal="center"/>
    </xf>
    <xf numFmtId="0" fontId="32" fillId="8" borderId="0" xfId="0" applyFont="1" applyFill="1" applyAlignment="1">
      <alignment horizontal="center"/>
    </xf>
    <xf numFmtId="0" fontId="32" fillId="7" borderId="0" xfId="0" applyFont="1" applyFill="1" applyAlignment="1">
      <alignment horizontal="center"/>
    </xf>
  </cellXfs>
  <cellStyles count="5">
    <cellStyle name="Comma" xfId="4" builtinId="3"/>
    <cellStyle name="Comma 2" xfId="3" xr:uid="{851CECB8-06BF-48A1-84E6-6412924D31A0}"/>
    <cellStyle name="Currency 2" xfId="2" xr:uid="{F1A3DB84-BFE8-4B18-A2AB-CF48FED05854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4084D-45F0-4CE4-96DC-1AA3EA7C567B}">
  <dimension ref="A1:V305"/>
  <sheetViews>
    <sheetView tabSelected="1" topLeftCell="A118" zoomScaleNormal="100" workbookViewId="0">
      <selection activeCell="M170" sqref="M170"/>
    </sheetView>
  </sheetViews>
  <sheetFormatPr defaultColWidth="8.6640625" defaultRowHeight="13.2" outlineLevelRow="1" x14ac:dyDescent="0.25"/>
  <cols>
    <col min="1" max="1" width="6.6640625" style="56" customWidth="1"/>
    <col min="2" max="2" width="57.44140625" style="56" customWidth="1"/>
    <col min="3" max="3" width="26.5546875" style="56" customWidth="1"/>
    <col min="4" max="4" width="19.6640625" style="56" customWidth="1"/>
    <col min="5" max="5" width="32.33203125" style="56" customWidth="1"/>
    <col min="6" max="7" width="19.6640625" style="56" customWidth="1"/>
    <col min="8" max="9" width="20.44140625" style="56" customWidth="1"/>
    <col min="10" max="10" width="6" style="56" customWidth="1"/>
    <col min="11" max="11" width="8.44140625" style="53" customWidth="1"/>
    <col min="12" max="12" width="2.33203125" style="53" bestFit="1" customWidth="1"/>
    <col min="13" max="13" width="100.33203125" style="53" bestFit="1" customWidth="1"/>
    <col min="14" max="14" width="10" style="53" bestFit="1" customWidth="1"/>
    <col min="15" max="15" width="34.44140625" style="53" bestFit="1" customWidth="1"/>
    <col min="16" max="16" width="10.33203125" style="53" bestFit="1" customWidth="1"/>
    <col min="17" max="17" width="18" style="53" bestFit="1" customWidth="1"/>
    <col min="18" max="24" width="8.44140625" style="53" customWidth="1"/>
    <col min="25" max="16384" width="8.6640625" style="53"/>
  </cols>
  <sheetData>
    <row r="1" spans="1:21" ht="14.4" x14ac:dyDescent="0.3">
      <c r="L1" s="221" t="s">
        <v>283</v>
      </c>
    </row>
    <row r="3" spans="1:21" x14ac:dyDescent="0.25">
      <c r="A3" s="151">
        <v>2</v>
      </c>
      <c r="B3" s="333" t="s">
        <v>246</v>
      </c>
      <c r="C3" s="333"/>
      <c r="D3" s="333"/>
      <c r="E3" s="333"/>
      <c r="F3" s="333"/>
      <c r="G3" s="55"/>
      <c r="H3" s="55"/>
      <c r="L3" s="28"/>
      <c r="M3" s="28" t="s">
        <v>284</v>
      </c>
      <c r="N3" s="29"/>
      <c r="O3" s="29"/>
      <c r="P3" s="29"/>
      <c r="Q3" s="29"/>
      <c r="R3" s="29"/>
      <c r="S3" s="29"/>
      <c r="T3" s="29"/>
      <c r="U3" s="29"/>
    </row>
    <row r="4" spans="1:21" ht="14.4" x14ac:dyDescent="0.3">
      <c r="L4"/>
      <c r="M4" s="206"/>
      <c r="N4"/>
      <c r="O4"/>
      <c r="P4"/>
      <c r="Q4"/>
      <c r="R4"/>
      <c r="S4"/>
      <c r="T4"/>
      <c r="U4"/>
    </row>
    <row r="5" spans="1:21" ht="14.4" x14ac:dyDescent="0.3">
      <c r="B5" s="58" t="s">
        <v>0</v>
      </c>
      <c r="L5"/>
      <c r="M5" s="206"/>
      <c r="N5"/>
      <c r="O5"/>
      <c r="P5"/>
      <c r="Q5"/>
      <c r="R5"/>
      <c r="S5"/>
      <c r="T5"/>
      <c r="U5"/>
    </row>
    <row r="6" spans="1:21" x14ac:dyDescent="0.25">
      <c r="B6" s="58"/>
      <c r="L6" s="39"/>
      <c r="M6" s="180"/>
      <c r="N6" s="180"/>
      <c r="O6" s="180"/>
      <c r="P6" s="39"/>
      <c r="Q6" s="39"/>
      <c r="R6" s="39"/>
      <c r="S6" s="39"/>
      <c r="T6" s="39"/>
      <c r="U6" s="39"/>
    </row>
    <row r="7" spans="1:21" ht="16.350000000000001" customHeight="1" outlineLevel="1" x14ac:dyDescent="0.25">
      <c r="B7" s="59" t="s">
        <v>1</v>
      </c>
      <c r="C7" s="60" t="s">
        <v>247</v>
      </c>
      <c r="D7" s="61"/>
      <c r="E7" s="62"/>
      <c r="L7" s="39"/>
      <c r="M7" s="181" t="s">
        <v>206</v>
      </c>
      <c r="N7" s="182"/>
      <c r="O7" s="182"/>
      <c r="P7" s="1"/>
      <c r="Q7" s="42"/>
      <c r="R7" s="39"/>
      <c r="S7" s="39"/>
      <c r="T7" s="39"/>
      <c r="U7" s="39"/>
    </row>
    <row r="8" spans="1:21" outlineLevel="1" x14ac:dyDescent="0.25">
      <c r="B8" s="59" t="s">
        <v>200</v>
      </c>
      <c r="C8" s="60" t="s">
        <v>265</v>
      </c>
      <c r="D8" s="61"/>
      <c r="E8" s="62"/>
      <c r="L8" s="39"/>
      <c r="M8" s="180"/>
      <c r="N8" s="182" t="s">
        <v>82</v>
      </c>
      <c r="O8" s="182" t="s">
        <v>83</v>
      </c>
      <c r="P8" s="1"/>
      <c r="Q8" s="42"/>
      <c r="R8" s="39"/>
      <c r="S8" s="39"/>
      <c r="T8" s="39"/>
      <c r="U8" s="39"/>
    </row>
    <row r="9" spans="1:21" outlineLevel="1" x14ac:dyDescent="0.25">
      <c r="B9" s="59" t="s">
        <v>266</v>
      </c>
      <c r="C9" s="60" t="s">
        <v>2</v>
      </c>
      <c r="D9" s="61"/>
      <c r="E9" s="62"/>
      <c r="L9" s="39"/>
      <c r="M9" s="183" t="s">
        <v>84</v>
      </c>
      <c r="N9" s="180"/>
      <c r="O9" s="180"/>
      <c r="P9" s="1"/>
      <c r="Q9" s="42"/>
      <c r="R9" s="39"/>
      <c r="S9" s="39"/>
      <c r="T9" s="39"/>
      <c r="U9" s="39"/>
    </row>
    <row r="10" spans="1:21" outlineLevel="1" x14ac:dyDescent="0.25">
      <c r="B10" s="59" t="s">
        <v>267</v>
      </c>
      <c r="C10" s="60" t="s">
        <v>3</v>
      </c>
      <c r="D10" s="61"/>
      <c r="E10" s="62"/>
      <c r="L10" s="39"/>
      <c r="M10" s="184" t="s">
        <v>85</v>
      </c>
      <c r="N10" s="185">
        <f>'Liability Calculation'!J12+'Liability Calculation'!J81</f>
        <v>561560.3359327272</v>
      </c>
      <c r="O10" s="185">
        <f>'Liability Calculation'!M12+'Liability Calculation'!M81</f>
        <v>457857.90919882065</v>
      </c>
      <c r="P10" s="1"/>
      <c r="Q10" s="42"/>
      <c r="R10" s="39"/>
      <c r="S10" s="39"/>
      <c r="T10" s="39"/>
      <c r="U10" s="39"/>
    </row>
    <row r="11" spans="1:21" outlineLevel="1" x14ac:dyDescent="0.25">
      <c r="B11" s="59" t="s">
        <v>268</v>
      </c>
      <c r="C11" s="60" t="s">
        <v>248</v>
      </c>
      <c r="D11" s="61"/>
      <c r="E11" s="62"/>
      <c r="L11" s="39"/>
      <c r="M11" s="186" t="s">
        <v>86</v>
      </c>
      <c r="N11" s="187">
        <f>'Liability Calculation'!B128+'Liability Calculation'!B146</f>
        <v>1145038.7779764058</v>
      </c>
      <c r="O11" s="187">
        <f>'Liability Calculation'!C128+'Liability Calculation'!C146</f>
        <v>953964.36289916933</v>
      </c>
      <c r="P11" s="1"/>
      <c r="Q11" s="42"/>
      <c r="R11" s="39"/>
      <c r="S11" s="39"/>
      <c r="T11" s="39"/>
      <c r="U11" s="39"/>
    </row>
    <row r="12" spans="1:21" outlineLevel="1" x14ac:dyDescent="0.25">
      <c r="B12" s="63" t="s">
        <v>4</v>
      </c>
      <c r="C12" s="60" t="s">
        <v>281</v>
      </c>
      <c r="D12" s="61"/>
      <c r="E12" s="62"/>
      <c r="L12" s="39"/>
      <c r="M12" s="184" t="s">
        <v>87</v>
      </c>
      <c r="N12" s="185">
        <f>N10+N11</f>
        <v>1706599.113909133</v>
      </c>
      <c r="O12" s="185">
        <f>O10+O11</f>
        <v>1411822.2720979899</v>
      </c>
      <c r="P12" s="1"/>
      <c r="Q12" s="42"/>
      <c r="R12" s="39"/>
      <c r="S12" s="39"/>
      <c r="T12" s="39"/>
      <c r="U12" s="39"/>
    </row>
    <row r="13" spans="1:21" outlineLevel="1" x14ac:dyDescent="0.25">
      <c r="B13" s="64" t="s">
        <v>5</v>
      </c>
      <c r="C13" s="65" t="s">
        <v>6</v>
      </c>
      <c r="D13" s="66"/>
      <c r="E13" s="67"/>
      <c r="L13" s="39"/>
      <c r="M13" s="184"/>
      <c r="N13" s="185"/>
      <c r="O13" s="185"/>
      <c r="P13" s="1"/>
      <c r="Q13" s="42"/>
      <c r="R13" s="39"/>
      <c r="S13" s="39"/>
      <c r="T13" s="39"/>
      <c r="U13" s="39"/>
    </row>
    <row r="14" spans="1:21" outlineLevel="1" x14ac:dyDescent="0.25">
      <c r="B14" s="60" t="s">
        <v>199</v>
      </c>
      <c r="C14" s="60" t="s">
        <v>7</v>
      </c>
      <c r="D14" s="61"/>
      <c r="E14" s="62"/>
      <c r="L14" s="39"/>
      <c r="M14" s="183" t="s">
        <v>88</v>
      </c>
      <c r="N14" s="185">
        <f>'Liability Calculation'!K12+'Liability Calculation'!K81</f>
        <v>53346.460258808038</v>
      </c>
      <c r="O14" s="185">
        <f>'Liability Calculation'!N12+'Liability Calculation'!N81</f>
        <v>43579.150668732342</v>
      </c>
      <c r="P14" s="1"/>
      <c r="Q14" s="42"/>
      <c r="R14" s="39"/>
      <c r="S14" s="39"/>
      <c r="T14" s="39"/>
      <c r="U14" s="39"/>
    </row>
    <row r="15" spans="1:21" outlineLevel="1" x14ac:dyDescent="0.25">
      <c r="B15" s="59" t="s">
        <v>8</v>
      </c>
      <c r="C15" s="60" t="s">
        <v>9</v>
      </c>
      <c r="D15" s="61"/>
      <c r="E15" s="62"/>
      <c r="L15" s="39"/>
      <c r="M15" s="183"/>
      <c r="N15" s="180"/>
      <c r="O15" s="180"/>
      <c r="P15" s="1"/>
      <c r="Q15" s="42"/>
      <c r="R15" s="39"/>
      <c r="S15" s="39"/>
      <c r="T15" s="39"/>
      <c r="U15" s="39"/>
    </row>
    <row r="16" spans="1:21" outlineLevel="1" x14ac:dyDescent="0.25">
      <c r="B16" s="68" t="s">
        <v>10</v>
      </c>
      <c r="C16" s="60" t="s">
        <v>11</v>
      </c>
      <c r="D16" s="61"/>
      <c r="E16" s="62"/>
      <c r="L16" s="39"/>
      <c r="M16" s="183" t="s">
        <v>89</v>
      </c>
      <c r="N16" s="180"/>
      <c r="O16" s="180"/>
      <c r="P16" s="1"/>
      <c r="Q16" s="42"/>
      <c r="R16" s="39"/>
      <c r="S16" s="39"/>
      <c r="T16" s="39"/>
      <c r="U16" s="39"/>
    </row>
    <row r="17" spans="2:21" x14ac:dyDescent="0.25">
      <c r="B17" s="69"/>
      <c r="C17" s="69"/>
      <c r="D17" s="70"/>
      <c r="E17" s="70"/>
      <c r="F17" s="70"/>
      <c r="L17" s="39"/>
      <c r="M17" s="184" t="s">
        <v>85</v>
      </c>
      <c r="N17" s="188">
        <f>'Liability Calculation'!H31+'Liability Calculation'!H95</f>
        <v>563545.31481419399</v>
      </c>
      <c r="O17" s="189" t="s">
        <v>23</v>
      </c>
      <c r="P17" s="1"/>
      <c r="Q17" s="42"/>
      <c r="R17" s="39"/>
      <c r="S17" s="39"/>
      <c r="T17" s="39"/>
      <c r="U17" s="39"/>
    </row>
    <row r="18" spans="2:21" ht="14.4" x14ac:dyDescent="0.35">
      <c r="B18" s="71" t="s">
        <v>201</v>
      </c>
      <c r="L18" s="39"/>
      <c r="M18" s="186" t="s">
        <v>86</v>
      </c>
      <c r="N18" s="190">
        <f>'Liability Calculation'!B133+'Liability Calculation'!B151</f>
        <v>1305726.2985195147</v>
      </c>
      <c r="O18" s="182" t="s">
        <v>23</v>
      </c>
      <c r="P18" s="1"/>
      <c r="Q18" s="42"/>
      <c r="R18" s="39"/>
      <c r="S18" s="39"/>
      <c r="T18" s="39"/>
      <c r="U18" s="39"/>
    </row>
    <row r="19" spans="2:21" x14ac:dyDescent="0.25">
      <c r="L19" s="39"/>
      <c r="M19" s="184" t="s">
        <v>87</v>
      </c>
      <c r="N19" s="185">
        <f>N17+N18</f>
        <v>1869271.6133337086</v>
      </c>
      <c r="O19" s="189" t="s">
        <v>23</v>
      </c>
      <c r="P19" s="1"/>
      <c r="Q19" s="42"/>
      <c r="R19" s="39"/>
      <c r="S19" s="39"/>
      <c r="T19" s="39"/>
      <c r="U19" s="39"/>
    </row>
    <row r="20" spans="2:21" x14ac:dyDescent="0.25">
      <c r="B20" s="58" t="s">
        <v>12</v>
      </c>
      <c r="L20" s="39"/>
      <c r="M20" s="184"/>
      <c r="N20" s="191"/>
      <c r="O20" s="189"/>
      <c r="P20" s="1"/>
      <c r="Q20" s="42"/>
      <c r="R20" s="39"/>
      <c r="S20" s="39"/>
      <c r="T20" s="39"/>
      <c r="U20" s="39"/>
    </row>
    <row r="21" spans="2:21" x14ac:dyDescent="0.25">
      <c r="B21" s="56" t="s">
        <v>13</v>
      </c>
      <c r="D21" s="72">
        <v>1875870</v>
      </c>
      <c r="L21" s="39"/>
      <c r="M21" s="184"/>
      <c r="N21" s="191"/>
      <c r="O21" s="189"/>
      <c r="P21" s="1"/>
      <c r="Q21" s="42"/>
      <c r="R21" s="39"/>
      <c r="S21" s="39"/>
      <c r="T21" s="39"/>
      <c r="U21" s="39"/>
    </row>
    <row r="22" spans="2:21" x14ac:dyDescent="0.25">
      <c r="D22" s="73"/>
      <c r="L22" s="39"/>
      <c r="M22" s="183" t="s">
        <v>90</v>
      </c>
      <c r="N22" s="180"/>
      <c r="O22" s="180"/>
      <c r="P22" s="1"/>
      <c r="Q22" s="42"/>
      <c r="R22" s="39"/>
      <c r="S22" s="39"/>
      <c r="T22" s="39"/>
      <c r="U22" s="39"/>
    </row>
    <row r="23" spans="2:21" x14ac:dyDescent="0.25">
      <c r="D23" s="73"/>
      <c r="L23" s="39"/>
      <c r="M23" s="184" t="s">
        <v>85</v>
      </c>
      <c r="N23" s="189" t="s">
        <v>23</v>
      </c>
      <c r="O23" s="188">
        <f>'Liability Calculation'!J31+'Liability Calculation'!J95</f>
        <v>401888.05182327674</v>
      </c>
      <c r="P23" s="1"/>
      <c r="Q23" s="42"/>
      <c r="R23" s="39"/>
      <c r="S23" s="39"/>
      <c r="T23" s="39"/>
      <c r="U23" s="39"/>
    </row>
    <row r="24" spans="2:21" ht="14.4" x14ac:dyDescent="0.35">
      <c r="B24" s="58" t="s">
        <v>14</v>
      </c>
      <c r="L24" s="39"/>
      <c r="M24" s="186" t="s">
        <v>86</v>
      </c>
      <c r="N24" s="182" t="s">
        <v>23</v>
      </c>
      <c r="O24" s="190">
        <f>'Liability Calculation'!C133+'Liability Calculation'!C151</f>
        <v>1061537.6555816359</v>
      </c>
      <c r="P24" s="1"/>
      <c r="Q24" s="42"/>
      <c r="R24" s="39"/>
      <c r="S24" s="39"/>
      <c r="T24" s="39"/>
      <c r="U24" s="39"/>
    </row>
    <row r="25" spans="2:21" ht="12.6" customHeight="1" outlineLevel="1" x14ac:dyDescent="0.25">
      <c r="B25" s="58"/>
      <c r="L25" s="39"/>
      <c r="M25" s="184" t="s">
        <v>87</v>
      </c>
      <c r="N25" s="189" t="s">
        <v>23</v>
      </c>
      <c r="O25" s="185">
        <f>O23+O24</f>
        <v>1463425.7074049127</v>
      </c>
      <c r="P25" s="1"/>
      <c r="Q25" s="42"/>
      <c r="R25" s="39"/>
      <c r="S25" s="39"/>
      <c r="T25" s="39"/>
      <c r="U25" s="39"/>
    </row>
    <row r="26" spans="2:21" outlineLevel="1" x14ac:dyDescent="0.25">
      <c r="C26" s="74" t="s">
        <v>15</v>
      </c>
      <c r="D26" s="74" t="s">
        <v>16</v>
      </c>
      <c r="E26" s="74" t="s">
        <v>17</v>
      </c>
      <c r="F26" s="74" t="s">
        <v>18</v>
      </c>
      <c r="L26" s="39"/>
      <c r="M26" s="184"/>
      <c r="N26" s="189"/>
      <c r="O26" s="192"/>
      <c r="P26" s="1"/>
      <c r="Q26" s="42"/>
      <c r="R26" s="39"/>
      <c r="S26" s="39"/>
      <c r="T26" s="39"/>
      <c r="U26" s="39"/>
    </row>
    <row r="27" spans="2:21" outlineLevel="1" x14ac:dyDescent="0.25">
      <c r="B27" s="75" t="s">
        <v>19</v>
      </c>
      <c r="C27" s="74" t="s">
        <v>20</v>
      </c>
      <c r="D27" s="74" t="s">
        <v>20</v>
      </c>
      <c r="E27" s="74" t="s">
        <v>21</v>
      </c>
      <c r="F27" s="74" t="s">
        <v>21</v>
      </c>
      <c r="L27" s="39"/>
      <c r="M27" s="183" t="s">
        <v>91</v>
      </c>
      <c r="N27" s="180"/>
      <c r="O27" s="192"/>
      <c r="P27" s="1"/>
      <c r="Q27" s="42"/>
      <c r="R27" s="39"/>
      <c r="S27" s="39"/>
      <c r="T27" s="39"/>
      <c r="U27" s="39"/>
    </row>
    <row r="28" spans="2:21" outlineLevel="1" x14ac:dyDescent="0.25">
      <c r="B28" s="76" t="s">
        <v>171</v>
      </c>
      <c r="C28" s="77">
        <v>49</v>
      </c>
      <c r="D28" s="77">
        <v>60</v>
      </c>
      <c r="E28" s="77">
        <v>66</v>
      </c>
      <c r="F28" s="77">
        <v>70</v>
      </c>
      <c r="L28" s="39"/>
      <c r="M28" s="180" t="str">
        <f>'Question 2'!B63</f>
        <v>Plan type (Closed):</v>
      </c>
      <c r="N28" s="193">
        <f>'Question 2'!C63</f>
        <v>0.05</v>
      </c>
      <c r="O28" s="191"/>
      <c r="P28" s="1"/>
      <c r="Q28" s="42"/>
      <c r="R28" s="39"/>
      <c r="S28" s="39"/>
      <c r="T28" s="39"/>
      <c r="U28" s="39"/>
    </row>
    <row r="29" spans="2:21" outlineLevel="1" x14ac:dyDescent="0.25">
      <c r="B29" s="76" t="s">
        <v>22</v>
      </c>
      <c r="C29" s="78">
        <v>63000</v>
      </c>
      <c r="D29" s="78">
        <v>96000</v>
      </c>
      <c r="E29" s="79" t="s">
        <v>23</v>
      </c>
      <c r="F29" s="79" t="s">
        <v>23</v>
      </c>
      <c r="L29" s="39"/>
      <c r="M29" s="180" t="str">
        <f>'Question 2'!B64</f>
        <v>PfAD Asset mix component:</v>
      </c>
      <c r="N29" s="193">
        <f>'Question 2'!C64</f>
        <v>0.04</v>
      </c>
      <c r="O29" s="191"/>
      <c r="P29" s="1"/>
      <c r="Q29" s="42"/>
      <c r="R29" s="39"/>
      <c r="S29" s="39"/>
      <c r="T29" s="39"/>
      <c r="U29" s="39"/>
    </row>
    <row r="30" spans="2:21" outlineLevel="1" x14ac:dyDescent="0.25">
      <c r="B30" s="76" t="s">
        <v>24</v>
      </c>
      <c r="C30" s="78">
        <v>65000</v>
      </c>
      <c r="D30" s="78">
        <v>97000</v>
      </c>
      <c r="E30" s="79" t="s">
        <v>23</v>
      </c>
      <c r="F30" s="79" t="s">
        <v>23</v>
      </c>
      <c r="L30" s="39"/>
      <c r="M30" s="194" t="str">
        <f>'Question 2'!B65</f>
        <v>Benchmark discount rate (BDR):</v>
      </c>
      <c r="N30" s="195">
        <f>MAX('Question 2'!C44-'Question 2'!$C$65,0)</f>
        <v>0</v>
      </c>
      <c r="O30" s="191"/>
      <c r="P30" s="1"/>
      <c r="Q30" s="42"/>
      <c r="R30" s="39"/>
      <c r="S30" s="39"/>
      <c r="T30" s="39"/>
      <c r="U30" s="39"/>
    </row>
    <row r="31" spans="2:21" outlineLevel="1" x14ac:dyDescent="0.25">
      <c r="B31" s="76" t="s">
        <v>25</v>
      </c>
      <c r="C31" s="78">
        <v>67000</v>
      </c>
      <c r="D31" s="78">
        <v>105000</v>
      </c>
      <c r="E31" s="79" t="s">
        <v>23</v>
      </c>
      <c r="F31" s="79" t="s">
        <v>23</v>
      </c>
      <c r="L31" s="39"/>
      <c r="M31" s="180" t="s">
        <v>92</v>
      </c>
      <c r="N31" s="193">
        <f>SUM(N28:N30)</f>
        <v>0.09</v>
      </c>
      <c r="O31" s="180"/>
      <c r="P31" s="39"/>
      <c r="Q31" s="42"/>
      <c r="R31" s="39"/>
      <c r="S31" s="39"/>
      <c r="T31" s="39"/>
      <c r="U31" s="39"/>
    </row>
    <row r="32" spans="2:21" outlineLevel="1" x14ac:dyDescent="0.25">
      <c r="B32" s="76" t="s">
        <v>26</v>
      </c>
      <c r="C32" s="78">
        <v>70000</v>
      </c>
      <c r="D32" s="78">
        <v>110000</v>
      </c>
      <c r="E32" s="79" t="s">
        <v>23</v>
      </c>
      <c r="F32" s="79" t="s">
        <v>23</v>
      </c>
      <c r="L32" s="39"/>
      <c r="M32" s="180" t="s">
        <v>93</v>
      </c>
      <c r="N32" s="185">
        <f>N31*O12</f>
        <v>127064.00448881909</v>
      </c>
      <c r="O32" s="180"/>
      <c r="P32" s="39"/>
      <c r="Q32" s="42"/>
      <c r="R32" s="39"/>
      <c r="S32" s="39"/>
      <c r="T32" s="39"/>
      <c r="U32" s="39"/>
    </row>
    <row r="33" spans="1:22" outlineLevel="1" x14ac:dyDescent="0.25">
      <c r="B33" s="76" t="s">
        <v>27</v>
      </c>
      <c r="C33" s="78">
        <v>75000</v>
      </c>
      <c r="D33" s="78">
        <v>120000</v>
      </c>
      <c r="E33" s="79" t="s">
        <v>23</v>
      </c>
      <c r="F33" s="79" t="s">
        <v>23</v>
      </c>
      <c r="L33" s="39"/>
      <c r="M33" s="180"/>
      <c r="N33" s="180"/>
      <c r="O33" s="180"/>
      <c r="P33" s="39"/>
      <c r="Q33" s="42"/>
      <c r="R33" s="39"/>
      <c r="S33" s="39"/>
      <c r="T33" s="39"/>
      <c r="U33" s="39"/>
    </row>
    <row r="34" spans="1:22" outlineLevel="1" x14ac:dyDescent="0.25">
      <c r="B34" s="76" t="s">
        <v>175</v>
      </c>
      <c r="C34" s="79">
        <v>15</v>
      </c>
      <c r="D34" s="79">
        <v>8</v>
      </c>
      <c r="E34" s="79" t="s">
        <v>23</v>
      </c>
      <c r="F34" s="79" t="s">
        <v>23</v>
      </c>
      <c r="L34" s="39"/>
      <c r="M34" s="183" t="s">
        <v>94</v>
      </c>
      <c r="N34" s="180"/>
      <c r="O34" s="180"/>
      <c r="P34" s="39"/>
      <c r="Q34" s="42"/>
      <c r="R34" s="39"/>
      <c r="S34" s="39"/>
      <c r="T34" s="39"/>
      <c r="U34" s="39"/>
    </row>
    <row r="35" spans="1:22" outlineLevel="1" x14ac:dyDescent="0.25">
      <c r="B35" s="76" t="s">
        <v>172</v>
      </c>
      <c r="C35" s="79" t="s">
        <v>23</v>
      </c>
      <c r="D35" s="79" t="s">
        <v>23</v>
      </c>
      <c r="E35" s="78">
        <v>42000</v>
      </c>
      <c r="F35" s="78">
        <v>36000</v>
      </c>
      <c r="L35" s="39"/>
      <c r="M35" s="196" t="s">
        <v>95</v>
      </c>
      <c r="N35" s="197">
        <f>'Question 2'!D21</f>
        <v>1875870</v>
      </c>
      <c r="O35" s="180"/>
      <c r="P35" s="39"/>
      <c r="Q35" s="42"/>
      <c r="R35" s="39"/>
      <c r="S35" s="39"/>
      <c r="T35" s="39"/>
      <c r="U35" s="39"/>
    </row>
    <row r="36" spans="1:22" outlineLevel="1" x14ac:dyDescent="0.25">
      <c r="B36" s="76" t="s">
        <v>173</v>
      </c>
      <c r="C36" s="79" t="s">
        <v>23</v>
      </c>
      <c r="D36" s="79" t="s">
        <v>23</v>
      </c>
      <c r="E36" s="78">
        <v>60</v>
      </c>
      <c r="F36" s="78">
        <v>65</v>
      </c>
      <c r="L36" s="39"/>
      <c r="M36" s="196" t="s">
        <v>96</v>
      </c>
      <c r="N36" s="185">
        <f>N12</f>
        <v>1706599.113909133</v>
      </c>
      <c r="O36" s="180"/>
      <c r="P36" s="39"/>
      <c r="Q36" s="42"/>
      <c r="R36" s="39"/>
      <c r="S36" s="39"/>
      <c r="T36" s="39"/>
      <c r="U36" s="39"/>
    </row>
    <row r="37" spans="1:22" ht="26.4" outlineLevel="1" x14ac:dyDescent="0.25">
      <c r="B37" s="76" t="s">
        <v>174</v>
      </c>
      <c r="C37" s="79" t="s">
        <v>23</v>
      </c>
      <c r="D37" s="79" t="s">
        <v>23</v>
      </c>
      <c r="E37" s="80" t="s">
        <v>28</v>
      </c>
      <c r="F37" s="80" t="s">
        <v>28</v>
      </c>
      <c r="L37" s="39"/>
      <c r="M37" s="198" t="s">
        <v>97</v>
      </c>
      <c r="N37" s="187">
        <f>N32</f>
        <v>127064.00448881909</v>
      </c>
      <c r="O37" s="180"/>
      <c r="P37" s="39"/>
      <c r="Q37" s="42"/>
      <c r="R37" s="39"/>
      <c r="S37" s="39"/>
      <c r="T37" s="39"/>
      <c r="U37" s="39"/>
    </row>
    <row r="38" spans="1:22" x14ac:dyDescent="0.25">
      <c r="L38" s="39"/>
      <c r="M38" s="199" t="s">
        <v>98</v>
      </c>
      <c r="N38" s="200">
        <f>N35-N36-N37</f>
        <v>42206.881602047899</v>
      </c>
      <c r="O38" s="180"/>
      <c r="P38" s="39"/>
      <c r="Q38" s="42"/>
      <c r="R38" s="39"/>
      <c r="S38" s="39"/>
      <c r="T38" s="39"/>
      <c r="U38" s="39"/>
    </row>
    <row r="39" spans="1:22" x14ac:dyDescent="0.25">
      <c r="B39" s="71"/>
      <c r="L39" s="39"/>
      <c r="M39" s="180"/>
      <c r="N39" s="193"/>
      <c r="O39" s="180"/>
      <c r="P39" s="39"/>
      <c r="Q39" s="42"/>
      <c r="R39" s="39"/>
      <c r="S39" s="39"/>
      <c r="T39" s="39"/>
      <c r="U39" s="39"/>
    </row>
    <row r="40" spans="1:22" x14ac:dyDescent="0.25">
      <c r="B40" s="58" t="s">
        <v>269</v>
      </c>
      <c r="L40" s="39"/>
      <c r="M40" s="180"/>
      <c r="N40" s="180"/>
      <c r="O40" s="180"/>
      <c r="P40" s="39"/>
      <c r="Q40" s="42"/>
      <c r="R40" s="39"/>
      <c r="S40" s="39"/>
      <c r="T40" s="39"/>
      <c r="U40" s="39"/>
    </row>
    <row r="41" spans="1:22" ht="14.4" x14ac:dyDescent="0.3">
      <c r="B41" s="57"/>
      <c r="H41" s="81"/>
      <c r="I41" s="82"/>
      <c r="J41" s="83"/>
      <c r="K41" s="54"/>
      <c r="L41" s="1"/>
      <c r="M41" s="183" t="s">
        <v>99</v>
      </c>
      <c r="N41" s="182" t="s">
        <v>100</v>
      </c>
      <c r="O41" s="182" t="s">
        <v>64</v>
      </c>
      <c r="P41" s="39"/>
      <c r="Q41" s="42"/>
      <c r="R41" s="39"/>
      <c r="S41" s="39"/>
      <c r="T41" s="39"/>
      <c r="U41" s="39"/>
      <c r="V41" s="54"/>
    </row>
    <row r="42" spans="1:22" ht="14.4" outlineLevel="1" x14ac:dyDescent="0.3">
      <c r="A42" s="57"/>
      <c r="B42" s="71" t="s">
        <v>29</v>
      </c>
      <c r="H42" s="81"/>
      <c r="I42" s="82"/>
      <c r="J42" s="83"/>
      <c r="K42" s="54"/>
      <c r="L42" s="39"/>
      <c r="M42" s="196" t="s">
        <v>101</v>
      </c>
      <c r="N42" s="197">
        <f>'Question 2'!D21</f>
        <v>1875870</v>
      </c>
      <c r="O42" s="185">
        <f>N42</f>
        <v>1875870</v>
      </c>
      <c r="P42" s="39"/>
      <c r="Q42" s="42"/>
      <c r="R42" s="39"/>
      <c r="S42" s="39"/>
      <c r="T42" s="39"/>
      <c r="U42" s="39"/>
      <c r="V42" s="54"/>
    </row>
    <row r="43" spans="1:22" ht="14.4" outlineLevel="1" x14ac:dyDescent="0.3">
      <c r="A43" s="57"/>
      <c r="B43" s="57"/>
      <c r="H43" s="81"/>
      <c r="I43" s="82"/>
      <c r="J43" s="83"/>
      <c r="K43" s="54"/>
      <c r="L43" s="39"/>
      <c r="M43" s="198" t="s">
        <v>102</v>
      </c>
      <c r="N43" s="201">
        <f>'Question 2'!D79</f>
        <v>200000</v>
      </c>
      <c r="O43" s="187">
        <f>N43</f>
        <v>200000</v>
      </c>
      <c r="P43" s="39"/>
      <c r="Q43" s="42"/>
      <c r="R43" s="39"/>
      <c r="S43" s="39"/>
      <c r="T43" s="39"/>
      <c r="U43" s="39"/>
      <c r="V43" s="54"/>
    </row>
    <row r="44" spans="1:22" ht="14.4" outlineLevel="1" x14ac:dyDescent="0.3">
      <c r="B44" s="85" t="s">
        <v>176</v>
      </c>
      <c r="C44" s="86">
        <v>0.05</v>
      </c>
      <c r="D44" s="87" t="s">
        <v>30</v>
      </c>
      <c r="H44" s="81"/>
      <c r="I44" s="82"/>
      <c r="J44" s="83"/>
      <c r="K44" s="54"/>
      <c r="L44" s="39"/>
      <c r="M44" s="196" t="s">
        <v>103</v>
      </c>
      <c r="N44" s="197">
        <f>N42-N43</f>
        <v>1675870</v>
      </c>
      <c r="O44" s="197">
        <f>O42-O43</f>
        <v>1675870</v>
      </c>
      <c r="P44" s="39"/>
      <c r="Q44" s="42"/>
      <c r="R44" s="39"/>
      <c r="S44" s="39"/>
      <c r="T44" s="39"/>
      <c r="U44" s="39"/>
      <c r="V44" s="54"/>
    </row>
    <row r="45" spans="1:22" ht="15" outlineLevel="1" x14ac:dyDescent="0.35">
      <c r="B45" s="85" t="s">
        <v>185</v>
      </c>
      <c r="C45" s="86">
        <v>0.02</v>
      </c>
      <c r="D45" s="87" t="s">
        <v>30</v>
      </c>
      <c r="H45" s="81"/>
      <c r="I45" s="82"/>
      <c r="J45" s="83"/>
      <c r="K45" s="54"/>
      <c r="L45" s="39"/>
      <c r="M45" s="202" t="s">
        <v>104</v>
      </c>
      <c r="N45" s="203">
        <f>N19</f>
        <v>1869271.6133337086</v>
      </c>
      <c r="O45" s="203">
        <f>O25</f>
        <v>1463425.7074049127</v>
      </c>
      <c r="P45" s="39"/>
      <c r="Q45" s="42"/>
      <c r="R45" s="39"/>
      <c r="S45" s="39"/>
      <c r="T45" s="39"/>
      <c r="U45" s="39"/>
      <c r="V45" s="54"/>
    </row>
    <row r="46" spans="1:22" ht="14.4" outlineLevel="1" x14ac:dyDescent="0.3">
      <c r="B46" s="85" t="s">
        <v>177</v>
      </c>
      <c r="C46" s="86">
        <v>0.04</v>
      </c>
      <c r="D46" s="87" t="s">
        <v>30</v>
      </c>
      <c r="H46" s="81"/>
      <c r="I46" s="82"/>
      <c r="J46" s="83"/>
      <c r="K46" s="54"/>
      <c r="L46" s="39"/>
      <c r="M46" s="199" t="s">
        <v>98</v>
      </c>
      <c r="N46" s="204">
        <f>N44-N45</f>
        <v>-193401.61333370861</v>
      </c>
      <c r="O46" s="200">
        <f>O44-O45</f>
        <v>212444.29259508732</v>
      </c>
      <c r="P46" s="39"/>
      <c r="Q46" s="42"/>
      <c r="R46" s="39"/>
      <c r="S46" s="39"/>
      <c r="T46" s="39"/>
      <c r="U46" s="39"/>
      <c r="V46" s="54"/>
    </row>
    <row r="47" spans="1:22" ht="14.4" outlineLevel="1" x14ac:dyDescent="0.3">
      <c r="B47" s="85" t="s">
        <v>31</v>
      </c>
      <c r="C47" s="88" t="s">
        <v>32</v>
      </c>
      <c r="D47" s="87"/>
      <c r="H47" s="81"/>
      <c r="I47" s="82"/>
      <c r="J47" s="83"/>
      <c r="K47" s="54"/>
      <c r="L47" s="39"/>
      <c r="M47" s="196" t="s">
        <v>105</v>
      </c>
      <c r="N47" s="193">
        <f>N44/N45</f>
        <v>0.89653637708177092</v>
      </c>
      <c r="O47" s="193">
        <f>O44/O45</f>
        <v>1.1451691681512237</v>
      </c>
      <c r="P47" s="39"/>
      <c r="Q47" s="42"/>
      <c r="R47" s="39"/>
      <c r="S47" s="39"/>
      <c r="T47" s="39"/>
      <c r="U47" s="39"/>
      <c r="V47" s="54"/>
    </row>
    <row r="48" spans="1:22" outlineLevel="1" x14ac:dyDescent="0.25">
      <c r="B48" s="85" t="s">
        <v>178</v>
      </c>
      <c r="C48" s="89" t="s">
        <v>179</v>
      </c>
      <c r="D48" s="87"/>
      <c r="L48" s="39"/>
      <c r="M48" s="196" t="s">
        <v>106</v>
      </c>
      <c r="N48" s="185"/>
      <c r="O48" s="205">
        <f>(O47-105%)*O45</f>
        <v>139273.0072248416</v>
      </c>
      <c r="P48" s="39"/>
      <c r="Q48" s="42"/>
      <c r="R48" s="39"/>
      <c r="S48" s="39"/>
      <c r="T48" s="39"/>
      <c r="U48" s="39"/>
    </row>
    <row r="49" spans="2:21" outlineLevel="1" x14ac:dyDescent="0.25">
      <c r="B49" s="63" t="s">
        <v>33</v>
      </c>
      <c r="C49" s="90" t="s">
        <v>34</v>
      </c>
      <c r="D49" s="91" t="s">
        <v>35</v>
      </c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2:21" outlineLevel="1" x14ac:dyDescent="0.25">
      <c r="B50" s="92"/>
      <c r="C50" s="93" t="s">
        <v>180</v>
      </c>
      <c r="D50" s="94">
        <v>0</v>
      </c>
      <c r="L50" s="28"/>
      <c r="M50" s="28" t="s">
        <v>285</v>
      </c>
      <c r="N50" s="28"/>
      <c r="O50" s="28"/>
      <c r="P50" s="28"/>
      <c r="Q50" s="28"/>
      <c r="R50" s="28"/>
      <c r="S50" s="28"/>
      <c r="T50" s="28"/>
      <c r="U50" s="28"/>
    </row>
    <row r="51" spans="2:21" ht="90" customHeight="1" outlineLevel="1" x14ac:dyDescent="0.3">
      <c r="B51" s="92"/>
      <c r="C51" s="95" t="s">
        <v>181</v>
      </c>
      <c r="D51" s="94">
        <v>0.5</v>
      </c>
      <c r="L51"/>
      <c r="M51" s="309"/>
      <c r="N51"/>
      <c r="O51"/>
      <c r="P51"/>
      <c r="Q51"/>
      <c r="R51"/>
      <c r="S51"/>
      <c r="T51"/>
      <c r="U51"/>
    </row>
    <row r="52" spans="2:21" outlineLevel="1" x14ac:dyDescent="0.25">
      <c r="B52" s="92"/>
      <c r="C52" s="96" t="s">
        <v>36</v>
      </c>
      <c r="D52" s="97">
        <v>1</v>
      </c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2:21" outlineLevel="1" x14ac:dyDescent="0.25">
      <c r="B53" s="63" t="s">
        <v>37</v>
      </c>
      <c r="C53" s="90" t="s">
        <v>34</v>
      </c>
      <c r="D53" s="91" t="s">
        <v>35</v>
      </c>
      <c r="L53" s="39"/>
      <c r="M53" s="196" t="s">
        <v>107</v>
      </c>
      <c r="N53" s="185">
        <f>'Question 2'!N14</f>
        <v>53346.460258808038</v>
      </c>
      <c r="O53" s="180"/>
      <c r="P53" s="39"/>
      <c r="Q53" s="39"/>
      <c r="R53" s="39"/>
      <c r="S53" s="39"/>
      <c r="T53" s="39"/>
      <c r="U53" s="39"/>
    </row>
    <row r="54" spans="2:21" outlineLevel="1" x14ac:dyDescent="0.25">
      <c r="B54" s="92"/>
      <c r="C54" s="95" t="s">
        <v>38</v>
      </c>
      <c r="D54" s="98">
        <v>0.05</v>
      </c>
      <c r="L54" s="39"/>
      <c r="M54" s="196" t="s">
        <v>108</v>
      </c>
      <c r="N54" s="185">
        <f>'Question 2'!N31*'Question 2'!O14</f>
        <v>3922.1235601859107</v>
      </c>
      <c r="O54" s="180"/>
      <c r="P54" s="39"/>
      <c r="Q54" s="39"/>
      <c r="R54" s="39"/>
      <c r="S54" s="39"/>
      <c r="T54" s="39"/>
      <c r="U54" s="39"/>
    </row>
    <row r="55" spans="2:21" outlineLevel="1" x14ac:dyDescent="0.25">
      <c r="B55" s="92"/>
      <c r="C55" s="96" t="s">
        <v>39</v>
      </c>
      <c r="D55" s="99">
        <v>0</v>
      </c>
      <c r="L55" s="39"/>
      <c r="M55" s="196" t="s">
        <v>109</v>
      </c>
      <c r="N55" s="185">
        <f>N53+N54</f>
        <v>57268.583818993946</v>
      </c>
      <c r="O55" s="180"/>
      <c r="P55" s="39"/>
      <c r="Q55" s="39"/>
      <c r="R55" s="39"/>
      <c r="S55" s="39"/>
      <c r="T55" s="39"/>
      <c r="U55" s="39"/>
    </row>
    <row r="56" spans="2:21" ht="14.4" outlineLevel="1" x14ac:dyDescent="0.35">
      <c r="B56" s="64" t="s">
        <v>40</v>
      </c>
      <c r="C56" s="334" t="s">
        <v>182</v>
      </c>
      <c r="D56" s="335"/>
      <c r="L56" s="39"/>
      <c r="M56" s="202" t="s">
        <v>110</v>
      </c>
      <c r="N56" s="203">
        <f>8%*('Liability Calculation'!R14+'Liability Calculation'!R85)</f>
        <v>15600</v>
      </c>
      <c r="O56" s="180"/>
      <c r="P56" s="39"/>
      <c r="Q56" s="39"/>
      <c r="R56" s="39"/>
      <c r="S56" s="39"/>
      <c r="T56" s="39"/>
      <c r="U56" s="39"/>
    </row>
    <row r="57" spans="2:21" outlineLevel="1" x14ac:dyDescent="0.25">
      <c r="B57" s="100"/>
      <c r="C57" s="336"/>
      <c r="D57" s="337"/>
      <c r="L57" s="39"/>
      <c r="M57" s="196" t="s">
        <v>111</v>
      </c>
      <c r="N57" s="185">
        <f>N55-N56</f>
        <v>41668.583818993946</v>
      </c>
      <c r="O57" s="180"/>
      <c r="P57" s="39"/>
      <c r="Q57" s="39"/>
      <c r="R57" s="39"/>
      <c r="S57" s="39"/>
      <c r="T57" s="39"/>
      <c r="U57" s="39"/>
    </row>
    <row r="58" spans="2:21" outlineLevel="1" x14ac:dyDescent="0.25">
      <c r="B58" s="60" t="s">
        <v>41</v>
      </c>
      <c r="C58" s="338" t="s">
        <v>42</v>
      </c>
      <c r="D58" s="339"/>
      <c r="L58" s="39"/>
      <c r="M58" s="196" t="s">
        <v>112</v>
      </c>
      <c r="N58" s="207">
        <f>'Question 2'!C59</f>
        <v>10000</v>
      </c>
      <c r="O58" s="180"/>
      <c r="P58" s="39"/>
      <c r="Q58" s="39"/>
      <c r="R58" s="39"/>
      <c r="S58" s="39"/>
      <c r="T58" s="39"/>
      <c r="U58" s="39"/>
    </row>
    <row r="59" spans="2:21" outlineLevel="1" x14ac:dyDescent="0.25">
      <c r="B59" s="85" t="s">
        <v>43</v>
      </c>
      <c r="C59" s="101">
        <v>10000</v>
      </c>
      <c r="D59" s="87"/>
      <c r="L59" s="39"/>
      <c r="M59" s="198" t="s">
        <v>113</v>
      </c>
      <c r="N59" s="208">
        <f>N58*'Question 2'!N31</f>
        <v>900</v>
      </c>
      <c r="O59" s="180"/>
      <c r="P59" s="39"/>
      <c r="Q59" s="39"/>
      <c r="R59" s="39"/>
      <c r="S59" s="39"/>
      <c r="T59" s="39"/>
      <c r="U59" s="39"/>
    </row>
    <row r="60" spans="2:21" outlineLevel="1" x14ac:dyDescent="0.25">
      <c r="D60" s="102"/>
      <c r="L60" s="39"/>
      <c r="M60" s="196" t="s">
        <v>114</v>
      </c>
      <c r="N60" s="207">
        <f>N58+N59</f>
        <v>10900</v>
      </c>
      <c r="O60" s="180"/>
      <c r="P60" s="39"/>
      <c r="Q60" s="39"/>
      <c r="R60" s="39"/>
      <c r="S60" s="39"/>
      <c r="T60" s="39"/>
      <c r="U60" s="39"/>
    </row>
    <row r="61" spans="2:21" outlineLevel="1" x14ac:dyDescent="0.25">
      <c r="B61" s="172" t="s">
        <v>44</v>
      </c>
      <c r="E61" s="103"/>
      <c r="L61" s="39"/>
      <c r="M61" s="196" t="s">
        <v>115</v>
      </c>
      <c r="N61" s="207">
        <f>N57+N60</f>
        <v>52568.583818993946</v>
      </c>
      <c r="O61" s="180"/>
      <c r="P61" s="39"/>
      <c r="Q61" s="39"/>
      <c r="R61" s="39"/>
      <c r="S61" s="39"/>
      <c r="T61" s="39"/>
      <c r="U61" s="39"/>
    </row>
    <row r="62" spans="2:21" outlineLevel="1" x14ac:dyDescent="0.25">
      <c r="B62" s="104"/>
      <c r="E62" s="103"/>
      <c r="L62" s="39"/>
      <c r="M62" s="196" t="s">
        <v>116</v>
      </c>
      <c r="N62" s="185">
        <v>0</v>
      </c>
      <c r="O62" s="180" t="s">
        <v>117</v>
      </c>
      <c r="P62" s="39"/>
      <c r="Q62" s="39"/>
      <c r="R62" s="39"/>
      <c r="S62" s="39"/>
      <c r="T62" s="39"/>
      <c r="U62" s="39"/>
    </row>
    <row r="63" spans="2:21" outlineLevel="1" x14ac:dyDescent="0.25">
      <c r="B63" s="59" t="s">
        <v>183</v>
      </c>
      <c r="C63" s="105">
        <v>0.05</v>
      </c>
      <c r="L63" s="39"/>
      <c r="M63" s="198" t="s">
        <v>118</v>
      </c>
      <c r="N63" s="187">
        <f>MIN('Question 2'!N38,'Question 2'!O48)</f>
        <v>42206.881602047899</v>
      </c>
      <c r="O63" s="180"/>
      <c r="P63" s="39"/>
      <c r="Q63" s="39"/>
      <c r="R63" s="39"/>
      <c r="S63" s="39"/>
      <c r="T63" s="39"/>
      <c r="U63" s="39"/>
    </row>
    <row r="64" spans="2:21" ht="13.35" customHeight="1" outlineLevel="1" x14ac:dyDescent="0.25">
      <c r="B64" s="106" t="s">
        <v>184</v>
      </c>
      <c r="C64" s="107">
        <v>0.04</v>
      </c>
      <c r="L64" s="39"/>
      <c r="M64" s="199" t="s">
        <v>119</v>
      </c>
      <c r="N64" s="200">
        <f>N61+N62-N63</f>
        <v>10361.702216946047</v>
      </c>
      <c r="O64" s="180"/>
      <c r="P64" s="39"/>
      <c r="Q64" s="42"/>
      <c r="R64" s="39"/>
      <c r="S64" s="39"/>
      <c r="T64" s="39"/>
      <c r="U64" s="39"/>
    </row>
    <row r="65" spans="2:21" outlineLevel="1" x14ac:dyDescent="0.25">
      <c r="B65" s="108" t="s">
        <v>45</v>
      </c>
      <c r="C65" s="109">
        <v>6.5000000000000002E-2</v>
      </c>
      <c r="L65" s="39"/>
      <c r="M65" s="196"/>
      <c r="N65" s="185"/>
      <c r="O65" s="180"/>
      <c r="P65" s="39"/>
      <c r="Q65" s="42"/>
      <c r="R65" s="39"/>
      <c r="S65" s="39"/>
      <c r="T65" s="39"/>
      <c r="U65" s="39"/>
    </row>
    <row r="66" spans="2:21" outlineLevel="1" x14ac:dyDescent="0.25">
      <c r="B66" s="104"/>
      <c r="D66" s="110"/>
      <c r="E66" s="103"/>
      <c r="L66" s="39"/>
      <c r="M66" s="196" t="s">
        <v>210</v>
      </c>
      <c r="N66" s="185"/>
      <c r="O66" s="180"/>
      <c r="P66" s="39"/>
      <c r="Q66" s="42"/>
      <c r="R66" s="39"/>
      <c r="S66" s="39"/>
      <c r="T66" s="39"/>
      <c r="U66" s="39"/>
    </row>
    <row r="67" spans="2:21" outlineLevel="1" x14ac:dyDescent="0.25">
      <c r="B67" s="58" t="s">
        <v>46</v>
      </c>
      <c r="D67" s="110"/>
      <c r="E67" s="103"/>
      <c r="L67" s="39"/>
      <c r="M67" s="196" t="s">
        <v>211</v>
      </c>
      <c r="N67" s="185">
        <f>N61</f>
        <v>52568.583818993946</v>
      </c>
      <c r="O67" s="180"/>
      <c r="P67" s="39"/>
      <c r="Q67" s="42"/>
      <c r="R67" s="39"/>
      <c r="S67" s="39"/>
      <c r="T67" s="39"/>
      <c r="U67" s="39"/>
    </row>
    <row r="68" spans="2:21" outlineLevel="1" x14ac:dyDescent="0.25">
      <c r="D68" s="110"/>
      <c r="E68" s="103"/>
      <c r="L68" s="39"/>
      <c r="M68" s="196" t="s">
        <v>212</v>
      </c>
      <c r="N68" s="185">
        <f>-N46</f>
        <v>193401.61333370861</v>
      </c>
      <c r="O68" s="180"/>
      <c r="P68" s="39"/>
      <c r="Q68" s="42"/>
      <c r="R68" s="39"/>
      <c r="S68" s="39"/>
      <c r="T68" s="39"/>
      <c r="U68" s="39"/>
    </row>
    <row r="69" spans="2:21" outlineLevel="1" x14ac:dyDescent="0.25">
      <c r="B69" s="340" t="s">
        <v>47</v>
      </c>
      <c r="C69" s="340"/>
      <c r="D69" s="323" t="s">
        <v>48</v>
      </c>
      <c r="E69" s="324"/>
      <c r="L69" s="39"/>
      <c r="M69" s="199" t="s">
        <v>87</v>
      </c>
      <c r="N69" s="200">
        <f>N68+N67</f>
        <v>245970.19715270255</v>
      </c>
      <c r="O69" s="180"/>
      <c r="P69" s="39"/>
      <c r="Q69" s="42"/>
      <c r="R69" s="39"/>
      <c r="S69" s="39"/>
      <c r="T69" s="39"/>
      <c r="U69" s="39"/>
    </row>
    <row r="70" spans="2:21" outlineLevel="1" x14ac:dyDescent="0.25">
      <c r="B70" s="325" t="s">
        <v>49</v>
      </c>
      <c r="C70" s="326"/>
      <c r="D70" s="326"/>
      <c r="E70" s="327"/>
      <c r="L70" s="39"/>
      <c r="M70" s="39"/>
      <c r="N70" s="39"/>
      <c r="O70" s="39"/>
      <c r="P70" s="39"/>
      <c r="Q70" s="42"/>
      <c r="R70" s="39"/>
      <c r="S70" s="39"/>
      <c r="T70" s="39"/>
      <c r="U70" s="39"/>
    </row>
    <row r="71" spans="2:21" outlineLevel="1" x14ac:dyDescent="0.25">
      <c r="B71" s="322" t="s">
        <v>50</v>
      </c>
      <c r="C71" s="322"/>
      <c r="D71" s="323" t="s">
        <v>51</v>
      </c>
      <c r="E71" s="324"/>
      <c r="L71" s="28"/>
      <c r="M71" s="28" t="s">
        <v>286</v>
      </c>
      <c r="N71" s="28"/>
      <c r="O71" s="28"/>
      <c r="P71" s="28"/>
      <c r="Q71" s="28"/>
      <c r="R71" s="28"/>
      <c r="S71" s="28"/>
      <c r="T71" s="28"/>
      <c r="U71" s="28"/>
    </row>
    <row r="72" spans="2:21" ht="14.4" outlineLevel="1" x14ac:dyDescent="0.3">
      <c r="B72" s="322" t="s">
        <v>52</v>
      </c>
      <c r="C72" s="322"/>
      <c r="D72" s="323" t="s">
        <v>53</v>
      </c>
      <c r="E72" s="324"/>
      <c r="L72"/>
      <c r="M72" s="206"/>
      <c r="N72"/>
      <c r="O72"/>
      <c r="P72"/>
      <c r="Q72"/>
      <c r="R72"/>
      <c r="S72"/>
      <c r="T72"/>
      <c r="U72"/>
    </row>
    <row r="73" spans="2:21" ht="14.4" outlineLevel="1" x14ac:dyDescent="0.3">
      <c r="B73" s="325" t="s">
        <v>54</v>
      </c>
      <c r="C73" s="326"/>
      <c r="D73" s="326"/>
      <c r="E73" s="327"/>
      <c r="L73"/>
      <c r="M73" s="206"/>
      <c r="N73"/>
      <c r="O73"/>
      <c r="P73"/>
      <c r="Q73"/>
      <c r="R73"/>
      <c r="S73"/>
      <c r="T73"/>
      <c r="U73"/>
    </row>
    <row r="74" spans="2:21" outlineLevel="1" x14ac:dyDescent="0.25">
      <c r="B74" s="322" t="s">
        <v>55</v>
      </c>
      <c r="C74" s="322"/>
      <c r="D74" s="323" t="s">
        <v>186</v>
      </c>
      <c r="E74" s="324"/>
      <c r="F74" s="84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2:21" outlineLevel="1" x14ac:dyDescent="0.25">
      <c r="B75" s="322" t="s">
        <v>58</v>
      </c>
      <c r="C75" s="322"/>
      <c r="D75" s="323" t="s">
        <v>187</v>
      </c>
      <c r="E75" s="324"/>
      <c r="F75" s="111"/>
      <c r="L75" s="39"/>
      <c r="M75" s="181" t="s">
        <v>213</v>
      </c>
      <c r="N75" s="180"/>
      <c r="O75" s="180"/>
      <c r="P75" s="1"/>
      <c r="Q75" s="1"/>
      <c r="R75" s="39"/>
      <c r="S75" s="39"/>
      <c r="T75" s="39"/>
      <c r="U75" s="39"/>
    </row>
    <row r="76" spans="2:21" outlineLevel="1" x14ac:dyDescent="0.25">
      <c r="B76" s="325" t="s">
        <v>56</v>
      </c>
      <c r="C76" s="326"/>
      <c r="D76" s="326"/>
      <c r="E76" s="327"/>
      <c r="L76" s="39"/>
      <c r="M76" s="180"/>
      <c r="N76" s="180"/>
      <c r="O76" s="180"/>
      <c r="P76" s="1"/>
      <c r="Q76" s="42"/>
      <c r="R76" s="39"/>
      <c r="S76" s="39"/>
      <c r="T76" s="39"/>
      <c r="U76" s="39"/>
    </row>
    <row r="77" spans="2:21" outlineLevel="1" x14ac:dyDescent="0.25">
      <c r="B77" s="322" t="s">
        <v>57</v>
      </c>
      <c r="C77" s="322"/>
      <c r="D77" s="323" t="s">
        <v>188</v>
      </c>
      <c r="E77" s="324"/>
      <c r="L77" s="39"/>
      <c r="M77" s="180"/>
      <c r="N77" s="182" t="s">
        <v>82</v>
      </c>
      <c r="O77" s="182" t="s">
        <v>83</v>
      </c>
      <c r="P77" s="1"/>
      <c r="Q77" s="42"/>
      <c r="R77" s="39"/>
      <c r="S77" s="39"/>
      <c r="T77" s="39"/>
      <c r="U77" s="39"/>
    </row>
    <row r="78" spans="2:21" outlineLevel="1" x14ac:dyDescent="0.25">
      <c r="B78" s="322" t="s">
        <v>58</v>
      </c>
      <c r="C78" s="322"/>
      <c r="D78" s="323" t="s">
        <v>189</v>
      </c>
      <c r="E78" s="324"/>
      <c r="F78" s="111"/>
      <c r="L78" s="39"/>
      <c r="M78" s="183" t="s">
        <v>84</v>
      </c>
      <c r="N78" s="180"/>
      <c r="O78" s="180"/>
      <c r="P78" s="1"/>
      <c r="Q78" s="42"/>
      <c r="R78" s="39"/>
      <c r="S78" s="39"/>
      <c r="T78" s="39"/>
      <c r="U78" s="39"/>
    </row>
    <row r="79" spans="2:21" outlineLevel="1" x14ac:dyDescent="0.25">
      <c r="B79" s="322" t="s">
        <v>191</v>
      </c>
      <c r="C79" s="322"/>
      <c r="D79" s="328">
        <v>200000</v>
      </c>
      <c r="E79" s="329"/>
      <c r="L79" s="39"/>
      <c r="M79" s="184" t="s">
        <v>85</v>
      </c>
      <c r="N79" s="185">
        <f>'Liability Calculation'!J43+'Liability Calculation'!J103</f>
        <v>653479.91668756725</v>
      </c>
      <c r="O79" s="185">
        <f>'Liability Calculation'!M43+'Liability Calculation'!M103</f>
        <v>535467.48103131191</v>
      </c>
      <c r="P79" s="1"/>
      <c r="Q79" s="42"/>
      <c r="R79" s="39"/>
      <c r="S79" s="39"/>
      <c r="T79" s="39"/>
      <c r="U79" s="39"/>
    </row>
    <row r="80" spans="2:21" outlineLevel="1" x14ac:dyDescent="0.25">
      <c r="B80" s="330" t="s">
        <v>59</v>
      </c>
      <c r="C80" s="330"/>
      <c r="D80" s="331" t="s">
        <v>60</v>
      </c>
      <c r="E80" s="332"/>
      <c r="L80" s="39"/>
      <c r="M80" s="186" t="s">
        <v>86</v>
      </c>
      <c r="N80" s="187">
        <f>'Liability Calculation'!G128</f>
        <v>678321.03747005109</v>
      </c>
      <c r="O80" s="187">
        <f>'Liability Calculation'!H128</f>
        <v>562701.14031702362</v>
      </c>
      <c r="P80" s="1"/>
      <c r="Q80" s="42"/>
      <c r="R80" s="39"/>
      <c r="S80" s="39"/>
      <c r="T80" s="39"/>
      <c r="U80" s="39"/>
    </row>
    <row r="81" spans="1:21" x14ac:dyDescent="0.25">
      <c r="L81" s="39"/>
      <c r="M81" s="184" t="s">
        <v>87</v>
      </c>
      <c r="N81" s="185">
        <f>N79+N80</f>
        <v>1331800.9541576183</v>
      </c>
      <c r="O81" s="185">
        <f>O79+O80</f>
        <v>1098168.6213483354</v>
      </c>
      <c r="P81" s="1"/>
      <c r="Q81" s="42"/>
      <c r="R81" s="39"/>
      <c r="S81" s="39"/>
      <c r="T81" s="39"/>
      <c r="U81" s="39"/>
    </row>
    <row r="82" spans="1:21" x14ac:dyDescent="0.25">
      <c r="L82" s="39"/>
      <c r="M82" s="184"/>
      <c r="N82" s="185"/>
      <c r="O82" s="185"/>
      <c r="P82" s="1"/>
      <c r="Q82" s="42"/>
      <c r="R82" s="39"/>
      <c r="S82" s="39"/>
      <c r="T82" s="39"/>
      <c r="U82" s="39"/>
    </row>
    <row r="83" spans="1:21" x14ac:dyDescent="0.25">
      <c r="A83" s="57"/>
      <c r="B83" s="71" t="s">
        <v>190</v>
      </c>
      <c r="L83" s="39"/>
      <c r="M83" s="183" t="s">
        <v>88</v>
      </c>
      <c r="N83" s="185">
        <f>'Liability Calculation'!K43+'Liability Calculation'!K103</f>
        <v>56503.019564651891</v>
      </c>
      <c r="O83" s="185">
        <f>'Liability Calculation'!N43+'Liability Calculation'!N81</f>
        <v>44919.237635445184</v>
      </c>
      <c r="P83" s="1"/>
      <c r="Q83" s="42"/>
      <c r="R83" s="39"/>
      <c r="S83" s="39"/>
      <c r="T83" s="39"/>
      <c r="U83" s="39"/>
    </row>
    <row r="84" spans="1:21" x14ac:dyDescent="0.25">
      <c r="A84" s="57"/>
      <c r="B84" s="58"/>
      <c r="L84" s="39"/>
      <c r="M84" s="183"/>
      <c r="N84" s="180"/>
      <c r="O84" s="180"/>
      <c r="P84" s="1"/>
      <c r="Q84" s="42"/>
      <c r="R84" s="39"/>
      <c r="S84" s="39"/>
      <c r="T84" s="39"/>
      <c r="U84" s="39"/>
    </row>
    <row r="85" spans="1:21" ht="26.4" outlineLevel="1" x14ac:dyDescent="0.25">
      <c r="B85" s="75" t="s">
        <v>61</v>
      </c>
      <c r="C85" s="112" t="s">
        <v>62</v>
      </c>
      <c r="D85" s="112" t="s">
        <v>192</v>
      </c>
      <c r="L85" s="39"/>
      <c r="M85" s="183" t="s">
        <v>89</v>
      </c>
      <c r="N85" s="180"/>
      <c r="O85" s="180"/>
      <c r="P85" s="1"/>
      <c r="Q85" s="42"/>
      <c r="R85" s="39"/>
      <c r="S85" s="39"/>
      <c r="T85" s="39"/>
      <c r="U85" s="39"/>
    </row>
    <row r="86" spans="1:21" outlineLevel="1" x14ac:dyDescent="0.25">
      <c r="B86" s="75" t="s">
        <v>63</v>
      </c>
      <c r="C86" s="113">
        <v>5000</v>
      </c>
      <c r="D86" s="114">
        <v>7</v>
      </c>
      <c r="F86" s="115"/>
      <c r="L86" s="39"/>
      <c r="M86" s="184" t="s">
        <v>85</v>
      </c>
      <c r="N86" s="188">
        <f>'Liability Calculation'!H69+'Liability Calculation'!H116</f>
        <v>660011.74722767994</v>
      </c>
      <c r="O86" s="189" t="s">
        <v>23</v>
      </c>
      <c r="P86" s="1"/>
      <c r="Q86" s="42"/>
      <c r="R86" s="39"/>
      <c r="S86" s="39"/>
      <c r="T86" s="39"/>
      <c r="U86" s="39"/>
    </row>
    <row r="87" spans="1:21" ht="14.4" outlineLevel="1" x14ac:dyDescent="0.35">
      <c r="B87" s="75" t="s">
        <v>64</v>
      </c>
      <c r="C87" s="113">
        <v>2500</v>
      </c>
      <c r="D87" s="114">
        <v>2</v>
      </c>
      <c r="F87" s="115"/>
      <c r="L87" s="39"/>
      <c r="M87" s="186" t="s">
        <v>86</v>
      </c>
      <c r="N87" s="190">
        <f>'Liability Calculation'!G133</f>
        <v>775994.04237660021</v>
      </c>
      <c r="O87" s="182" t="s">
        <v>23</v>
      </c>
      <c r="P87" s="1"/>
      <c r="Q87" s="42"/>
      <c r="R87" s="39"/>
      <c r="S87" s="39"/>
      <c r="T87" s="39"/>
      <c r="U87" s="39"/>
    </row>
    <row r="88" spans="1:21" x14ac:dyDescent="0.25">
      <c r="L88" s="39"/>
      <c r="M88" s="184" t="s">
        <v>87</v>
      </c>
      <c r="N88" s="185">
        <f>N86+N87</f>
        <v>1436005.7896042801</v>
      </c>
      <c r="O88" s="189" t="s">
        <v>23</v>
      </c>
      <c r="P88" s="1"/>
      <c r="Q88" s="42"/>
      <c r="R88" s="39"/>
      <c r="S88" s="39"/>
      <c r="T88" s="39"/>
      <c r="U88" s="39"/>
    </row>
    <row r="89" spans="1:21" x14ac:dyDescent="0.25">
      <c r="B89" s="71" t="s">
        <v>249</v>
      </c>
      <c r="L89" s="39"/>
      <c r="M89" s="184"/>
      <c r="N89" s="191"/>
      <c r="O89" s="189"/>
      <c r="P89" s="1"/>
      <c r="Q89" s="42"/>
      <c r="R89" s="39"/>
      <c r="S89" s="39"/>
      <c r="T89" s="39"/>
      <c r="U89" s="39"/>
    </row>
    <row r="90" spans="1:21" x14ac:dyDescent="0.25">
      <c r="A90" s="58"/>
      <c r="L90" s="39"/>
      <c r="M90" s="184"/>
      <c r="N90" s="191"/>
      <c r="O90" s="189"/>
      <c r="P90" s="1"/>
      <c r="Q90" s="42"/>
      <c r="R90" s="39"/>
      <c r="S90" s="39"/>
      <c r="T90" s="39"/>
      <c r="U90" s="39"/>
    </row>
    <row r="91" spans="1:21" outlineLevel="1" x14ac:dyDescent="0.25">
      <c r="A91" s="58"/>
      <c r="C91" s="313" t="s">
        <v>65</v>
      </c>
      <c r="D91" s="321"/>
      <c r="E91" s="321"/>
      <c r="F91" s="321"/>
      <c r="G91" s="321"/>
      <c r="H91" s="314"/>
      <c r="L91" s="39"/>
      <c r="M91" s="183" t="s">
        <v>90</v>
      </c>
      <c r="N91" s="180"/>
      <c r="O91" s="180"/>
      <c r="P91" s="1"/>
      <c r="Q91" s="42"/>
      <c r="R91" s="39"/>
      <c r="S91" s="39"/>
      <c r="T91" s="39"/>
      <c r="U91" s="39"/>
    </row>
    <row r="92" spans="1:21" outlineLevel="1" x14ac:dyDescent="0.25">
      <c r="A92" s="58"/>
      <c r="C92" s="116" t="s">
        <v>66</v>
      </c>
      <c r="D92" s="117"/>
      <c r="E92" s="117"/>
      <c r="F92" s="117"/>
      <c r="G92" s="117"/>
      <c r="H92" s="118"/>
      <c r="L92" s="39"/>
      <c r="M92" s="184" t="s">
        <v>85</v>
      </c>
      <c r="N92" s="189" t="s">
        <v>23</v>
      </c>
      <c r="O92" s="188">
        <f>'Liability Calculation'!J69+'Liability Calculation'!J116</f>
        <v>478825.89622480806</v>
      </c>
      <c r="P92" s="1"/>
      <c r="Q92" s="42"/>
      <c r="R92" s="39"/>
      <c r="S92" s="39"/>
      <c r="T92" s="39"/>
      <c r="U92" s="39"/>
    </row>
    <row r="93" spans="1:21" ht="14.4" outlineLevel="1" x14ac:dyDescent="0.35">
      <c r="A93" s="58"/>
      <c r="B93" s="119" t="s">
        <v>34</v>
      </c>
      <c r="C93" s="120">
        <v>1.7000000000000001E-2</v>
      </c>
      <c r="D93" s="121">
        <v>2.1999999999999999E-2</v>
      </c>
      <c r="E93" s="121">
        <v>0.03</v>
      </c>
      <c r="F93" s="121">
        <v>3.7999999999999999E-2</v>
      </c>
      <c r="G93" s="121">
        <v>4.1000000000000002E-2</v>
      </c>
      <c r="H93" s="122">
        <v>0.05</v>
      </c>
      <c r="L93" s="39"/>
      <c r="M93" s="186" t="s">
        <v>86</v>
      </c>
      <c r="N93" s="182" t="s">
        <v>23</v>
      </c>
      <c r="O93" s="190">
        <f>'Liability Calculation'!H133</f>
        <v>627717.5259670231</v>
      </c>
      <c r="P93" s="1"/>
      <c r="Q93" s="42"/>
      <c r="R93" s="39"/>
      <c r="S93" s="39"/>
      <c r="T93" s="39"/>
      <c r="U93" s="39"/>
    </row>
    <row r="94" spans="1:21" outlineLevel="1" x14ac:dyDescent="0.25">
      <c r="A94" s="58"/>
      <c r="B94" s="123">
        <v>45</v>
      </c>
      <c r="C94" s="124">
        <v>29.364535265271972</v>
      </c>
      <c r="D94" s="125">
        <v>26.781986820290058</v>
      </c>
      <c r="E94" s="125">
        <v>23.330386896933494</v>
      </c>
      <c r="F94" s="125">
        <v>20.542477598891519</v>
      </c>
      <c r="G94" s="125">
        <v>19.63581048020772</v>
      </c>
      <c r="H94" s="126">
        <v>17.284066443782475</v>
      </c>
      <c r="L94" s="39"/>
      <c r="M94" s="209" t="s">
        <v>87</v>
      </c>
      <c r="N94" s="189" t="s">
        <v>23</v>
      </c>
      <c r="O94" s="185">
        <f>O92+O93</f>
        <v>1106543.4221918313</v>
      </c>
      <c r="P94" s="1"/>
      <c r="Q94" s="42"/>
      <c r="R94" s="39"/>
      <c r="S94" s="39"/>
      <c r="T94" s="39"/>
      <c r="U94" s="39"/>
    </row>
    <row r="95" spans="1:21" outlineLevel="1" x14ac:dyDescent="0.25">
      <c r="A95" s="58"/>
      <c r="B95" s="123">
        <v>46</v>
      </c>
      <c r="C95" s="124">
        <v>28.871694569472933</v>
      </c>
      <c r="D95" s="125">
        <v>26.377371171323819</v>
      </c>
      <c r="E95" s="125">
        <v>23.032887248037966</v>
      </c>
      <c r="F95" s="125">
        <v>20.321473803160348</v>
      </c>
      <c r="G95" s="125">
        <v>19.437575432038059</v>
      </c>
      <c r="H95" s="126">
        <v>17.1396783962863</v>
      </c>
      <c r="L95" s="39"/>
      <c r="M95" s="209"/>
      <c r="N95" s="189"/>
      <c r="O95" s="192"/>
      <c r="P95" s="1"/>
      <c r="Q95" s="42"/>
      <c r="R95" s="39"/>
      <c r="S95" s="39"/>
      <c r="T95" s="39"/>
      <c r="U95" s="39"/>
    </row>
    <row r="96" spans="1:21" outlineLevel="1" x14ac:dyDescent="0.25">
      <c r="A96" s="58"/>
      <c r="B96" s="123">
        <v>47</v>
      </c>
      <c r="C96" s="124">
        <v>28.373717265946578</v>
      </c>
      <c r="D96" s="125">
        <v>25.966817395373873</v>
      </c>
      <c r="E96" s="125">
        <v>22.72907254479054</v>
      </c>
      <c r="F96" s="125">
        <v>20.094410013804655</v>
      </c>
      <c r="G96" s="125">
        <v>19.233464733514758</v>
      </c>
      <c r="H96" s="126">
        <v>16.990103249555695</v>
      </c>
      <c r="L96" s="39"/>
      <c r="M96" s="178" t="s">
        <v>91</v>
      </c>
      <c r="N96" s="180"/>
      <c r="O96" s="180"/>
      <c r="P96" s="1"/>
      <c r="Q96" s="42"/>
      <c r="R96" s="39"/>
      <c r="S96" s="39"/>
      <c r="T96" s="39"/>
      <c r="U96" s="39"/>
    </row>
    <row r="97" spans="1:21" outlineLevel="1" x14ac:dyDescent="0.25">
      <c r="A97" s="58"/>
      <c r="B97" s="123">
        <v>48</v>
      </c>
      <c r="C97" s="124">
        <v>27.87015779144388</v>
      </c>
      <c r="D97" s="125">
        <v>25.549875139168538</v>
      </c>
      <c r="E97" s="125">
        <v>22.41848321618286</v>
      </c>
      <c r="F97" s="125">
        <v>19.860824372696694</v>
      </c>
      <c r="G97" s="125">
        <v>19.023018158842167</v>
      </c>
      <c r="H97" s="126">
        <v>16.834893495193004</v>
      </c>
      <c r="L97" s="39"/>
      <c r="M97" s="196" t="str">
        <f>'Question 2'!M28</f>
        <v>Plan type (Closed):</v>
      </c>
      <c r="N97" s="193">
        <f>'Question 2'!N28</f>
        <v>0.05</v>
      </c>
      <c r="O97" s="180"/>
      <c r="P97" s="1"/>
      <c r="Q97" s="42"/>
      <c r="R97" s="39"/>
      <c r="S97" s="39"/>
      <c r="T97" s="39"/>
      <c r="U97" s="39"/>
    </row>
    <row r="98" spans="1:21" outlineLevel="1" x14ac:dyDescent="0.25">
      <c r="A98" s="58"/>
      <c r="B98" s="123">
        <v>49</v>
      </c>
      <c r="C98" s="124">
        <v>27.360468910772411</v>
      </c>
      <c r="D98" s="125">
        <v>25.125995919421467</v>
      </c>
      <c r="E98" s="125">
        <v>22.100566112594031</v>
      </c>
      <c r="F98" s="125">
        <v>19.620165011987648</v>
      </c>
      <c r="G98" s="125">
        <v>18.80568664644343</v>
      </c>
      <c r="H98" s="126">
        <v>16.67351601214429</v>
      </c>
      <c r="L98" s="39"/>
      <c r="M98" s="196" t="str">
        <f>'Question 2'!M29</f>
        <v>PfAD Asset mix component:</v>
      </c>
      <c r="N98" s="193">
        <f>'Question 2'!N29</f>
        <v>0.04</v>
      </c>
      <c r="O98" s="180"/>
      <c r="P98" s="1"/>
      <c r="Q98" s="42"/>
      <c r="R98" s="39"/>
      <c r="S98" s="39"/>
      <c r="T98" s="39"/>
      <c r="U98" s="39"/>
    </row>
    <row r="99" spans="1:21" outlineLevel="1" x14ac:dyDescent="0.25">
      <c r="A99" s="58"/>
      <c r="B99" s="123">
        <v>50</v>
      </c>
      <c r="C99" s="124">
        <v>26.844627631743879</v>
      </c>
      <c r="D99" s="125">
        <v>24.695108634174709</v>
      </c>
      <c r="E99" s="125">
        <v>21.775181595086554</v>
      </c>
      <c r="F99" s="125">
        <v>19.372240868256743</v>
      </c>
      <c r="G99" s="125">
        <v>18.581264594057448</v>
      </c>
      <c r="H99" s="126">
        <v>16.505735778057524</v>
      </c>
      <c r="L99" s="39"/>
      <c r="M99" s="198" t="str">
        <f>'Question 2'!M30</f>
        <v>Benchmark discount rate (BDR):</v>
      </c>
      <c r="N99" s="195">
        <f>'Question 2'!N30</f>
        <v>0</v>
      </c>
      <c r="O99" s="180"/>
      <c r="P99" s="39"/>
      <c r="Q99" s="42"/>
      <c r="R99" s="39"/>
      <c r="S99" s="39"/>
      <c r="T99" s="39"/>
      <c r="U99" s="39"/>
    </row>
    <row r="100" spans="1:21" outlineLevel="1" x14ac:dyDescent="0.25">
      <c r="A100" s="58"/>
      <c r="B100" s="123">
        <v>51</v>
      </c>
      <c r="C100" s="124">
        <v>26.322342838109563</v>
      </c>
      <c r="D100" s="125">
        <v>24.256893981089732</v>
      </c>
      <c r="E100" s="125">
        <v>21.441967920775511</v>
      </c>
      <c r="F100" s="125">
        <v>19.116659379186114</v>
      </c>
      <c r="G100" s="125">
        <v>18.349351530434397</v>
      </c>
      <c r="H100" s="126">
        <v>16.33114005435397</v>
      </c>
      <c r="L100" s="39"/>
      <c r="M100" s="196" t="s">
        <v>92</v>
      </c>
      <c r="N100" s="193">
        <f>SUM(N97:N99)</f>
        <v>0.09</v>
      </c>
      <c r="O100" s="180"/>
      <c r="P100" s="39"/>
      <c r="Q100" s="42"/>
      <c r="R100" s="39"/>
      <c r="S100" s="39"/>
      <c r="T100" s="39"/>
      <c r="U100" s="39"/>
    </row>
    <row r="101" spans="1:21" outlineLevel="1" x14ac:dyDescent="0.25">
      <c r="A101" s="58"/>
      <c r="B101" s="123">
        <v>52</v>
      </c>
      <c r="C101" s="124">
        <v>25.793642759280303</v>
      </c>
      <c r="D101" s="125">
        <v>23.811324530236096</v>
      </c>
      <c r="E101" s="125">
        <v>21.100816919996888</v>
      </c>
      <c r="F101" s="125">
        <v>18.853249130241075</v>
      </c>
      <c r="G101" s="125">
        <v>18.109757293477639</v>
      </c>
      <c r="H101" s="126">
        <v>16.149497685680711</v>
      </c>
      <c r="L101" s="39"/>
      <c r="M101" s="196" t="s">
        <v>93</v>
      </c>
      <c r="N101" s="185">
        <f>N100*O81</f>
        <v>98835.175921350179</v>
      </c>
      <c r="O101" s="180"/>
      <c r="P101" s="39"/>
      <c r="Q101" s="42"/>
      <c r="R101" s="39"/>
      <c r="S101" s="39"/>
      <c r="T101" s="39"/>
      <c r="U101" s="39"/>
    </row>
    <row r="102" spans="1:21" outlineLevel="1" x14ac:dyDescent="0.25">
      <c r="A102" s="58"/>
      <c r="B102" s="123">
        <v>53</v>
      </c>
      <c r="C102" s="124">
        <v>25.25886894776799</v>
      </c>
      <c r="D102" s="125">
        <v>23.358662703354284</v>
      </c>
      <c r="E102" s="125">
        <v>20.751876830854947</v>
      </c>
      <c r="F102" s="125">
        <v>18.582066101991039</v>
      </c>
      <c r="G102" s="125">
        <v>17.862509270437055</v>
      </c>
      <c r="H102" s="126">
        <v>15.96076860298937</v>
      </c>
      <c r="L102" s="39"/>
      <c r="M102" s="196"/>
      <c r="N102" s="180"/>
      <c r="O102" s="180"/>
      <c r="P102" s="39"/>
      <c r="Q102" s="42"/>
      <c r="R102" s="39"/>
      <c r="S102" s="39"/>
      <c r="T102" s="39"/>
      <c r="U102" s="39"/>
    </row>
    <row r="103" spans="1:21" outlineLevel="1" x14ac:dyDescent="0.25">
      <c r="A103" s="58"/>
      <c r="B103" s="123">
        <v>54</v>
      </c>
      <c r="C103" s="124">
        <v>24.718542448071592</v>
      </c>
      <c r="D103" s="125">
        <v>22.899340109915116</v>
      </c>
      <c r="E103" s="125">
        <v>20.395449218385622</v>
      </c>
      <c r="F103" s="125">
        <v>18.3033047324028</v>
      </c>
      <c r="G103" s="125">
        <v>17.607768038445073</v>
      </c>
      <c r="H103" s="126">
        <v>15.765031265787227</v>
      </c>
      <c r="L103" s="39"/>
      <c r="M103" s="178" t="s">
        <v>94</v>
      </c>
      <c r="N103" s="180"/>
      <c r="O103" s="180"/>
      <c r="P103" s="39"/>
      <c r="Q103" s="42"/>
      <c r="R103" s="39"/>
      <c r="S103" s="39"/>
      <c r="T103" s="39"/>
      <c r="U103" s="39"/>
    </row>
    <row r="104" spans="1:21" outlineLevel="1" x14ac:dyDescent="0.25">
      <c r="A104" s="58"/>
      <c r="B104" s="123">
        <v>55</v>
      </c>
      <c r="C104" s="124">
        <v>24.17356647811339</v>
      </c>
      <c r="D104" s="125">
        <v>22.434147952462105</v>
      </c>
      <c r="E104" s="125">
        <v>20.032162188064984</v>
      </c>
      <c r="F104" s="125">
        <v>18.017456442883258</v>
      </c>
      <c r="G104" s="125">
        <v>17.345980930857955</v>
      </c>
      <c r="H104" s="126">
        <v>15.562622875667785</v>
      </c>
      <c r="L104" s="39"/>
      <c r="M104" s="196" t="s">
        <v>95</v>
      </c>
      <c r="N104" s="197">
        <f>'Question 2'!C254</f>
        <v>1425170</v>
      </c>
      <c r="O104" s="180"/>
      <c r="P104" s="39"/>
      <c r="Q104" s="42"/>
      <c r="R104" s="39"/>
      <c r="S104" s="39"/>
      <c r="T104" s="39"/>
      <c r="U104" s="39"/>
    </row>
    <row r="105" spans="1:21" outlineLevel="1" x14ac:dyDescent="0.25">
      <c r="A105" s="58"/>
      <c r="B105" s="123">
        <v>56</v>
      </c>
      <c r="C105" s="124">
        <v>23.624764449836331</v>
      </c>
      <c r="D105" s="125">
        <v>21.963811375519231</v>
      </c>
      <c r="E105" s="125">
        <v>19.662594558474193</v>
      </c>
      <c r="F105" s="125">
        <v>17.724975229631575</v>
      </c>
      <c r="G105" s="125">
        <v>17.077561344778527</v>
      </c>
      <c r="H105" s="126">
        <v>15.353854868554128</v>
      </c>
      <c r="L105" s="39"/>
      <c r="M105" s="196" t="s">
        <v>96</v>
      </c>
      <c r="N105" s="185">
        <f>N81</f>
        <v>1331800.9541576183</v>
      </c>
      <c r="O105" s="180"/>
      <c r="P105" s="39"/>
      <c r="Q105" s="42"/>
      <c r="R105" s="39"/>
      <c r="S105" s="39"/>
      <c r="T105" s="39"/>
      <c r="U105" s="39"/>
    </row>
    <row r="106" spans="1:21" outlineLevel="1" x14ac:dyDescent="0.25">
      <c r="A106" s="58"/>
      <c r="B106" s="123">
        <v>57</v>
      </c>
      <c r="C106" s="124">
        <v>23.073093178650634</v>
      </c>
      <c r="D106" s="125">
        <v>21.489187496165496</v>
      </c>
      <c r="E106" s="125">
        <v>19.287453114624139</v>
      </c>
      <c r="F106" s="125">
        <v>17.426437627352765</v>
      </c>
      <c r="G106" s="125">
        <v>16.803042964593278</v>
      </c>
      <c r="H106" s="126">
        <v>15.139151933435613</v>
      </c>
      <c r="L106" s="39"/>
      <c r="M106" s="198" t="s">
        <v>97</v>
      </c>
      <c r="N106" s="187">
        <f>N101</f>
        <v>98835.175921350179</v>
      </c>
      <c r="O106" s="180"/>
      <c r="P106" s="39"/>
      <c r="Q106" s="42"/>
      <c r="R106" s="39"/>
      <c r="S106" s="39"/>
      <c r="T106" s="39"/>
      <c r="U106" s="39"/>
    </row>
    <row r="107" spans="1:21" outlineLevel="1" x14ac:dyDescent="0.25">
      <c r="A107" s="58"/>
      <c r="B107" s="123">
        <v>58</v>
      </c>
      <c r="C107" s="124">
        <v>22.518417038759807</v>
      </c>
      <c r="D107" s="125">
        <v>21.010121791708464</v>
      </c>
      <c r="E107" s="125">
        <v>18.906543664081809</v>
      </c>
      <c r="F107" s="125">
        <v>17.121611007438073</v>
      </c>
      <c r="G107" s="125">
        <v>16.52218069712989</v>
      </c>
      <c r="H107" s="126">
        <v>14.918240209714543</v>
      </c>
      <c r="L107" s="39"/>
      <c r="M107" s="199" t="s">
        <v>98</v>
      </c>
      <c r="N107" s="200">
        <f>N104-N105-N106</f>
        <v>-5466.1300789685192</v>
      </c>
      <c r="O107" s="180"/>
      <c r="P107" s="39"/>
      <c r="Q107" s="42"/>
      <c r="R107" s="39"/>
      <c r="S107" s="39"/>
      <c r="T107" s="39"/>
      <c r="U107" s="39"/>
    </row>
    <row r="108" spans="1:21" outlineLevel="1" x14ac:dyDescent="0.25">
      <c r="A108" s="58"/>
      <c r="B108" s="123">
        <v>59</v>
      </c>
      <c r="C108" s="124">
        <v>21.960182301070173</v>
      </c>
      <c r="D108" s="125">
        <v>20.526066959264355</v>
      </c>
      <c r="E108" s="125">
        <v>18.519314108316902</v>
      </c>
      <c r="F108" s="125">
        <v>16.809933874908872</v>
      </c>
      <c r="G108" s="125">
        <v>16.234410218423481</v>
      </c>
      <c r="H108" s="126">
        <v>14.690552167552021</v>
      </c>
      <c r="L108" s="39"/>
      <c r="M108" s="196"/>
      <c r="N108" s="193"/>
      <c r="O108" s="180"/>
      <c r="P108" s="39"/>
      <c r="Q108" s="42"/>
      <c r="R108" s="39"/>
      <c r="S108" s="39"/>
      <c r="T108" s="39"/>
      <c r="U108" s="39"/>
    </row>
    <row r="109" spans="1:21" outlineLevel="1" x14ac:dyDescent="0.25">
      <c r="A109" s="58"/>
      <c r="B109" s="123">
        <v>60</v>
      </c>
      <c r="C109" s="124">
        <v>21.397443905723811</v>
      </c>
      <c r="D109" s="125">
        <v>20.03610323705848</v>
      </c>
      <c r="E109" s="125">
        <v>18.124866264461854</v>
      </c>
      <c r="F109" s="125">
        <v>16.490520959927597</v>
      </c>
      <c r="G109" s="125">
        <v>15.93885090896006</v>
      </c>
      <c r="H109" s="126">
        <v>14.455224042583259</v>
      </c>
      <c r="L109" s="39"/>
      <c r="M109" s="196"/>
      <c r="N109" s="180"/>
      <c r="O109" s="180"/>
      <c r="P109" s="39"/>
      <c r="Q109" s="42"/>
      <c r="R109" s="39"/>
      <c r="S109" s="39"/>
      <c r="T109" s="39"/>
      <c r="U109" s="39"/>
    </row>
    <row r="110" spans="1:21" outlineLevel="1" x14ac:dyDescent="0.25">
      <c r="A110" s="58"/>
      <c r="B110" s="123">
        <v>61</v>
      </c>
      <c r="C110" s="124">
        <v>20.828909218084185</v>
      </c>
      <c r="D110" s="125">
        <v>19.538974792267769</v>
      </c>
      <c r="E110" s="125">
        <v>17.721982273003821</v>
      </c>
      <c r="F110" s="125">
        <v>16.162181445512346</v>
      </c>
      <c r="G110" s="125">
        <v>15.634321396697604</v>
      </c>
      <c r="H110" s="126">
        <v>14.21110435724176</v>
      </c>
      <c r="L110" s="39"/>
      <c r="M110" s="178" t="s">
        <v>99</v>
      </c>
      <c r="N110" s="182" t="s">
        <v>100</v>
      </c>
      <c r="O110" s="182" t="s">
        <v>64</v>
      </c>
      <c r="P110" s="39"/>
      <c r="Q110" s="42"/>
      <c r="R110" s="39"/>
      <c r="S110" s="39"/>
      <c r="T110" s="39"/>
      <c r="U110" s="39"/>
    </row>
    <row r="111" spans="1:21" outlineLevel="1" x14ac:dyDescent="0.25">
      <c r="A111" s="58"/>
      <c r="B111" s="123">
        <v>62</v>
      </c>
      <c r="C111" s="124">
        <v>20.253492346625027</v>
      </c>
      <c r="D111" s="125">
        <v>19.033607198228015</v>
      </c>
      <c r="E111" s="125">
        <v>17.309590212928146</v>
      </c>
      <c r="F111" s="125">
        <v>15.823840082711806</v>
      </c>
      <c r="G111" s="125">
        <v>15.319745614847244</v>
      </c>
      <c r="H111" s="126">
        <v>13.957119379423707</v>
      </c>
      <c r="L111" s="39"/>
      <c r="M111" s="196" t="s">
        <v>101</v>
      </c>
      <c r="N111" s="197">
        <f>N104</f>
        <v>1425170</v>
      </c>
      <c r="O111" s="185">
        <f>N111</f>
        <v>1425170</v>
      </c>
      <c r="P111" s="39"/>
      <c r="Q111" s="42"/>
      <c r="R111" s="39"/>
      <c r="S111" s="39"/>
      <c r="T111" s="39"/>
      <c r="U111" s="39"/>
    </row>
    <row r="112" spans="1:21" outlineLevel="1" x14ac:dyDescent="0.25">
      <c r="A112" s="58"/>
      <c r="B112" s="123">
        <v>63</v>
      </c>
      <c r="C112" s="124">
        <v>19.670303656891125</v>
      </c>
      <c r="D112" s="125">
        <v>18.51909973287755</v>
      </c>
      <c r="E112" s="125">
        <v>16.886759693242809</v>
      </c>
      <c r="F112" s="125">
        <v>15.474534958693274</v>
      </c>
      <c r="G112" s="125">
        <v>14.994151157110824</v>
      </c>
      <c r="H112" s="126">
        <v>13.692272649016862</v>
      </c>
      <c r="L112" s="39"/>
      <c r="M112" s="198" t="s">
        <v>102</v>
      </c>
      <c r="N112" s="201">
        <f>'Question 2'!N43</f>
        <v>200000</v>
      </c>
      <c r="O112" s="187">
        <f>N112</f>
        <v>200000</v>
      </c>
      <c r="P112" s="39"/>
      <c r="Q112" s="42"/>
      <c r="R112" s="39"/>
      <c r="S112" s="39"/>
      <c r="T112" s="39"/>
      <c r="U112" s="39"/>
    </row>
    <row r="113" spans="1:21" outlineLevel="1" x14ac:dyDescent="0.25">
      <c r="A113" s="58"/>
      <c r="B113" s="123">
        <v>64</v>
      </c>
      <c r="C113" s="124">
        <v>19.079614319659594</v>
      </c>
      <c r="D113" s="125">
        <v>17.995638470496466</v>
      </c>
      <c r="E113" s="125">
        <v>16.453541149116447</v>
      </c>
      <c r="F113" s="125">
        <v>15.114192075727177</v>
      </c>
      <c r="G113" s="125">
        <v>14.65742164014638</v>
      </c>
      <c r="H113" s="126">
        <v>13.416336567835957</v>
      </c>
      <c r="L113" s="39"/>
      <c r="M113" s="196" t="s">
        <v>103</v>
      </c>
      <c r="N113" s="197">
        <f>N111-N112</f>
        <v>1225170</v>
      </c>
      <c r="O113" s="197">
        <f>O111-O112</f>
        <v>1225170</v>
      </c>
      <c r="P113" s="39"/>
      <c r="Q113" s="42"/>
      <c r="R113" s="39"/>
      <c r="S113" s="39"/>
      <c r="T113" s="39"/>
      <c r="U113" s="39"/>
    </row>
    <row r="114" spans="1:21" ht="14.4" outlineLevel="1" x14ac:dyDescent="0.35">
      <c r="A114" s="58"/>
      <c r="B114" s="123">
        <v>65</v>
      </c>
      <c r="C114" s="124">
        <v>18.481781835427832</v>
      </c>
      <c r="D114" s="125">
        <v>17.463492974786053</v>
      </c>
      <c r="E114" s="125">
        <v>16.010062356980765</v>
      </c>
      <c r="F114" s="125">
        <v>14.74280707493377</v>
      </c>
      <c r="G114" s="125">
        <v>14.309507142920319</v>
      </c>
      <c r="H114" s="126">
        <v>13.129139905515039</v>
      </c>
      <c r="L114" s="39"/>
      <c r="M114" s="202" t="s">
        <v>104</v>
      </c>
      <c r="N114" s="203">
        <f>N88</f>
        <v>1436005.7896042801</v>
      </c>
      <c r="O114" s="203">
        <f>O94</f>
        <v>1106543.4221918313</v>
      </c>
      <c r="P114" s="39"/>
      <c r="Q114" s="42"/>
      <c r="R114" s="39"/>
      <c r="S114" s="39"/>
      <c r="T114" s="39"/>
      <c r="U114" s="39"/>
    </row>
    <row r="115" spans="1:21" outlineLevel="1" x14ac:dyDescent="0.25">
      <c r="A115" s="58"/>
      <c r="B115" s="123">
        <v>66</v>
      </c>
      <c r="C115" s="124">
        <v>17.877230840256168</v>
      </c>
      <c r="D115" s="125">
        <v>16.92299913797072</v>
      </c>
      <c r="E115" s="125">
        <v>15.556514096649394</v>
      </c>
      <c r="F115" s="125">
        <v>14.360433222609943</v>
      </c>
      <c r="G115" s="125">
        <v>13.9504129443909</v>
      </c>
      <c r="H115" s="126">
        <v>12.830558431202119</v>
      </c>
      <c r="L115" s="39"/>
      <c r="M115" s="199" t="s">
        <v>98</v>
      </c>
      <c r="N115" s="204">
        <f>N113-N114</f>
        <v>-210835.78960428014</v>
      </c>
      <c r="O115" s="200">
        <f>O113-O114</f>
        <v>118626.57780816872</v>
      </c>
      <c r="P115" s="39"/>
      <c r="Q115" s="42"/>
      <c r="R115" s="39"/>
      <c r="S115" s="39"/>
      <c r="T115" s="39"/>
      <c r="U115" s="39"/>
    </row>
    <row r="116" spans="1:21" outlineLevel="1" x14ac:dyDescent="0.25">
      <c r="A116" s="58"/>
      <c r="B116" s="123">
        <v>67</v>
      </c>
      <c r="C116" s="124">
        <v>17.267335166368497</v>
      </c>
      <c r="D116" s="125">
        <v>16.375397696389477</v>
      </c>
      <c r="E116" s="125">
        <v>15.093926067424368</v>
      </c>
      <c r="F116" s="125">
        <v>13.967902224455344</v>
      </c>
      <c r="G116" s="125">
        <v>13.580901365305456</v>
      </c>
      <c r="H116" s="126">
        <v>12.521164671050814</v>
      </c>
      <c r="L116" s="39"/>
      <c r="M116" s="196" t="s">
        <v>105</v>
      </c>
      <c r="N116" s="193">
        <f>N113/N114</f>
        <v>0.85317901144230057</v>
      </c>
      <c r="O116" s="193">
        <f>O113/O114</f>
        <v>1.1072046296865552</v>
      </c>
      <c r="P116" s="39"/>
      <c r="Q116" s="42"/>
      <c r="R116" s="39"/>
      <c r="S116" s="39"/>
      <c r="T116" s="39"/>
      <c r="U116" s="39"/>
    </row>
    <row r="117" spans="1:21" outlineLevel="1" x14ac:dyDescent="0.25">
      <c r="A117" s="58"/>
      <c r="B117" s="123">
        <v>68</v>
      </c>
      <c r="C117" s="124">
        <v>16.652900734239655</v>
      </c>
      <c r="D117" s="125">
        <v>15.821401863237178</v>
      </c>
      <c r="E117" s="125">
        <v>14.622855651627868</v>
      </c>
      <c r="F117" s="125">
        <v>13.565618727929735</v>
      </c>
      <c r="G117" s="125">
        <v>13.201322439590781</v>
      </c>
      <c r="H117" s="126">
        <v>12.201157110476938</v>
      </c>
      <c r="L117" s="39"/>
      <c r="M117" s="39"/>
      <c r="N117" s="39"/>
      <c r="O117" s="39"/>
      <c r="P117" s="39"/>
      <c r="Q117" s="42"/>
      <c r="R117" s="39"/>
      <c r="S117" s="39"/>
      <c r="T117" s="39"/>
      <c r="U117" s="39"/>
    </row>
    <row r="118" spans="1:21" outlineLevel="1" x14ac:dyDescent="0.25">
      <c r="A118" s="58"/>
      <c r="B118" s="123">
        <v>69</v>
      </c>
      <c r="C118" s="124">
        <v>16.034579725179839</v>
      </c>
      <c r="D118" s="125">
        <v>15.261585618024741</v>
      </c>
      <c r="E118" s="125">
        <v>14.143739724801888</v>
      </c>
      <c r="F118" s="125">
        <v>13.153880750010879</v>
      </c>
      <c r="G118" s="125">
        <v>12.811923695462886</v>
      </c>
      <c r="H118" s="126">
        <v>11.87064116295787</v>
      </c>
      <c r="L118" s="28"/>
      <c r="M118" s="28" t="s">
        <v>287</v>
      </c>
      <c r="N118" s="28"/>
      <c r="O118" s="28"/>
      <c r="P118" s="28"/>
      <c r="Q118" s="28"/>
      <c r="R118" s="28"/>
      <c r="S118" s="28"/>
      <c r="T118" s="28"/>
      <c r="U118" s="28"/>
    </row>
    <row r="119" spans="1:21" ht="14.4" outlineLevel="1" x14ac:dyDescent="0.3">
      <c r="A119" s="58"/>
      <c r="B119" s="123">
        <v>70</v>
      </c>
      <c r="C119" s="124">
        <v>15.413405645243213</v>
      </c>
      <c r="D119" s="125">
        <v>14.696892743136599</v>
      </c>
      <c r="E119" s="125">
        <v>13.657366275475866</v>
      </c>
      <c r="F119" s="125">
        <v>12.733318339778284</v>
      </c>
      <c r="G119" s="125">
        <v>12.413277459696335</v>
      </c>
      <c r="H119" s="126">
        <v>11.530025244130009</v>
      </c>
      <c r="L119"/>
      <c r="M119" s="206"/>
      <c r="N119"/>
      <c r="O119"/>
      <c r="P119"/>
      <c r="Q119"/>
      <c r="R119"/>
      <c r="S119"/>
      <c r="T119"/>
      <c r="U119"/>
    </row>
    <row r="120" spans="1:21" outlineLevel="1" x14ac:dyDescent="0.25">
      <c r="A120" s="58"/>
      <c r="B120" s="127">
        <v>71</v>
      </c>
      <c r="C120" s="128">
        <v>14.79033101116876</v>
      </c>
      <c r="D120" s="129">
        <v>14.128199186702426</v>
      </c>
      <c r="E120" s="129">
        <v>13.164472432957739</v>
      </c>
      <c r="F120" s="129">
        <v>12.304523113232241</v>
      </c>
      <c r="G120" s="129">
        <v>12.005921247124158</v>
      </c>
      <c r="H120" s="130">
        <v>11.179690917753776</v>
      </c>
      <c r="L120" s="39"/>
      <c r="M120" s="1"/>
      <c r="N120" s="1"/>
      <c r="O120" s="39"/>
      <c r="P120" s="39"/>
      <c r="Q120" s="39"/>
      <c r="R120" s="39"/>
      <c r="S120" s="39"/>
      <c r="T120" s="39"/>
      <c r="U120" s="39"/>
    </row>
    <row r="121" spans="1:21" outlineLevel="1" x14ac:dyDescent="0.25">
      <c r="A121" s="58"/>
      <c r="B121" s="81"/>
      <c r="C121" s="125"/>
      <c r="D121" s="125"/>
      <c r="E121" s="125"/>
      <c r="F121" s="125"/>
      <c r="G121" s="125"/>
      <c r="H121" s="125"/>
      <c r="L121" s="39"/>
      <c r="M121" s="196" t="s">
        <v>120</v>
      </c>
      <c r="N121" s="197">
        <f>'Liability Calculation'!J49-'Liability Calculation'!J43</f>
        <v>-3155.4338091037353</v>
      </c>
      <c r="O121" s="180"/>
      <c r="P121" s="180"/>
      <c r="Q121" s="42"/>
      <c r="R121" s="39"/>
      <c r="S121" s="39"/>
      <c r="T121" s="39"/>
      <c r="U121" s="39"/>
    </row>
    <row r="122" spans="1:21" outlineLevel="1" x14ac:dyDescent="0.25">
      <c r="A122" s="58"/>
      <c r="L122" s="39"/>
      <c r="M122" s="196" t="s">
        <v>121</v>
      </c>
      <c r="N122" s="197">
        <f>'Liability Calculation'!L128-'Liability Calculation'!G128</f>
        <v>-31697.244741591159</v>
      </c>
      <c r="O122" s="180"/>
      <c r="P122" s="180"/>
      <c r="Q122" s="42"/>
      <c r="R122" s="39"/>
      <c r="S122" s="39"/>
      <c r="T122" s="39"/>
      <c r="U122" s="39"/>
    </row>
    <row r="123" spans="1:21" outlineLevel="1" x14ac:dyDescent="0.25">
      <c r="C123" s="313" t="s">
        <v>67</v>
      </c>
      <c r="D123" s="321"/>
      <c r="E123" s="321"/>
      <c r="F123" s="321"/>
      <c r="G123" s="321"/>
      <c r="H123" s="314"/>
      <c r="L123" s="39"/>
      <c r="M123" s="196" t="s">
        <v>122</v>
      </c>
      <c r="N123" s="197">
        <f>'Liability Calculation'!Q146+('Liability Calculation'!Q128-'Liability Calculation'!L128)</f>
        <v>475740.70817228133</v>
      </c>
      <c r="O123" s="180"/>
      <c r="P123" s="180"/>
      <c r="Q123" s="42"/>
      <c r="R123" s="39"/>
      <c r="S123" s="39"/>
      <c r="T123" s="39"/>
      <c r="U123" s="39"/>
    </row>
    <row r="124" spans="1:21" outlineLevel="1" x14ac:dyDescent="0.25">
      <c r="C124" s="116" t="s">
        <v>66</v>
      </c>
      <c r="D124" s="117"/>
      <c r="E124" s="117"/>
      <c r="F124" s="117"/>
      <c r="G124" s="117"/>
      <c r="H124" s="118"/>
      <c r="L124" s="39"/>
      <c r="M124" s="180"/>
      <c r="N124" s="180"/>
      <c r="O124" s="180"/>
      <c r="P124" s="180"/>
      <c r="Q124" s="42"/>
      <c r="R124" s="39"/>
      <c r="S124" s="39"/>
      <c r="T124" s="39"/>
      <c r="U124" s="39"/>
    </row>
    <row r="125" spans="1:21" outlineLevel="1" x14ac:dyDescent="0.25">
      <c r="B125" s="119" t="s">
        <v>34</v>
      </c>
      <c r="C125" s="120">
        <v>1.7000000000000001E-2</v>
      </c>
      <c r="D125" s="121">
        <v>2.1999999999999999E-2</v>
      </c>
      <c r="E125" s="121">
        <v>0.03</v>
      </c>
      <c r="F125" s="121">
        <v>3.7999999999999999E-2</v>
      </c>
      <c r="G125" s="121">
        <v>4.1000000000000002E-2</v>
      </c>
      <c r="H125" s="122">
        <v>0.05</v>
      </c>
      <c r="L125" s="39"/>
      <c r="M125" s="180" t="s">
        <v>66</v>
      </c>
      <c r="N125" s="193">
        <f>'Question 2'!C44</f>
        <v>0.05</v>
      </c>
      <c r="O125" s="180"/>
      <c r="P125" s="180"/>
      <c r="Q125" s="42"/>
      <c r="R125" s="39"/>
      <c r="S125" s="39"/>
      <c r="T125" s="39"/>
      <c r="U125" s="39"/>
    </row>
    <row r="126" spans="1:21" outlineLevel="1" x14ac:dyDescent="0.25">
      <c r="A126" s="154"/>
      <c r="B126" s="152">
        <v>45</v>
      </c>
      <c r="C126" s="156">
        <v>29.385474656227597</v>
      </c>
      <c r="D126" s="156">
        <v>26.802505919054351</v>
      </c>
      <c r="E126" s="156">
        <v>23.350216454590011</v>
      </c>
      <c r="F126" s="156">
        <v>20.561598757236027</v>
      </c>
      <c r="G126" s="156">
        <v>19.654661597289788</v>
      </c>
      <c r="H126" s="157">
        <v>17.302094563960353</v>
      </c>
      <c r="L126" s="39"/>
      <c r="M126" s="180"/>
      <c r="N126" s="180"/>
      <c r="O126" s="180"/>
      <c r="P126" s="180"/>
      <c r="Q126" s="42"/>
      <c r="R126" s="39"/>
      <c r="S126" s="39"/>
      <c r="T126" s="39"/>
      <c r="U126" s="39"/>
    </row>
    <row r="127" spans="1:21" outlineLevel="1" x14ac:dyDescent="0.25">
      <c r="A127" s="154"/>
      <c r="B127" s="123">
        <v>46</v>
      </c>
      <c r="C127" s="125">
        <v>28.894292500802926</v>
      </c>
      <c r="D127" s="125">
        <v>26.399522038646786</v>
      </c>
      <c r="E127" s="125">
        <v>23.054307012154606</v>
      </c>
      <c r="F127" s="125">
        <v>20.342145109912359</v>
      </c>
      <c r="G127" s="125">
        <v>19.457962049538001</v>
      </c>
      <c r="H127" s="126">
        <v>17.159199250289724</v>
      </c>
      <c r="L127" s="39"/>
      <c r="M127" s="180"/>
      <c r="N127" s="185"/>
      <c r="O127" s="185"/>
      <c r="P127" s="180"/>
      <c r="Q127" s="42"/>
      <c r="R127" s="39"/>
      <c r="S127" s="39"/>
      <c r="T127" s="39"/>
      <c r="U127" s="39"/>
    </row>
    <row r="128" spans="1:21" outlineLevel="1" x14ac:dyDescent="0.25">
      <c r="A128" s="154"/>
      <c r="B128" s="123">
        <v>47</v>
      </c>
      <c r="C128" s="125">
        <v>28.397934540424913</v>
      </c>
      <c r="D128" s="125">
        <v>25.990561308920434</v>
      </c>
      <c r="E128" s="125">
        <v>22.752044534373173</v>
      </c>
      <c r="F128" s="125">
        <v>20.116594207339972</v>
      </c>
      <c r="G128" s="125">
        <v>19.255349854082866</v>
      </c>
      <c r="H128" s="126">
        <v>17.011080615472515</v>
      </c>
      <c r="L128" s="39"/>
      <c r="M128" s="180"/>
      <c r="N128" s="211" t="s">
        <v>218</v>
      </c>
      <c r="O128" s="211" t="s">
        <v>95</v>
      </c>
      <c r="P128" s="211" t="s">
        <v>219</v>
      </c>
      <c r="Q128" s="212" t="s">
        <v>220</v>
      </c>
      <c r="R128" s="39"/>
      <c r="S128" s="39"/>
      <c r="T128" s="39"/>
      <c r="U128" s="39"/>
    </row>
    <row r="129" spans="1:21" outlineLevel="1" x14ac:dyDescent="0.25">
      <c r="A129" s="154"/>
      <c r="B129" s="123">
        <v>48</v>
      </c>
      <c r="C129" s="125">
        <v>27.896000942849273</v>
      </c>
      <c r="D129" s="125">
        <v>25.575218275849178</v>
      </c>
      <c r="E129" s="125">
        <v>22.443013059981617</v>
      </c>
      <c r="F129" s="125">
        <v>19.884526560391457</v>
      </c>
      <c r="G129" s="125">
        <v>19.046406700953348</v>
      </c>
      <c r="H129" s="126">
        <v>16.85733174548686</v>
      </c>
      <c r="L129" s="39"/>
      <c r="M129" s="310">
        <v>44927</v>
      </c>
      <c r="N129" s="213">
        <f>ROUND(N36+N37,0)</f>
        <v>1833663</v>
      </c>
      <c r="O129" s="213">
        <f>ROUND(N35,0)</f>
        <v>1875870</v>
      </c>
      <c r="P129" s="213">
        <f>ROUND(O129-N129,0)</f>
        <v>42207</v>
      </c>
      <c r="Q129" s="185"/>
      <c r="R129" s="39"/>
      <c r="S129" s="39"/>
      <c r="T129" s="39"/>
      <c r="U129" s="39"/>
    </row>
    <row r="130" spans="1:21" outlineLevel="1" x14ac:dyDescent="0.25">
      <c r="A130" s="154"/>
      <c r="B130" s="123">
        <v>49</v>
      </c>
      <c r="C130" s="125">
        <v>27.388042593693303</v>
      </c>
      <c r="D130" s="125">
        <v>25.15304105083684</v>
      </c>
      <c r="E130" s="125">
        <v>22.12675366527678</v>
      </c>
      <c r="F130" s="125">
        <v>19.645482244613866</v>
      </c>
      <c r="G130" s="125">
        <v>18.830674637449619</v>
      </c>
      <c r="H130" s="126">
        <v>16.697508192067218</v>
      </c>
      <c r="L130" s="39"/>
      <c r="M130" s="196" t="s">
        <v>222</v>
      </c>
      <c r="N130" s="214">
        <f>ROUND(N129*N125,0)</f>
        <v>91683</v>
      </c>
      <c r="O130" s="214">
        <f>ROUND(O129*N125,0)</f>
        <v>93794</v>
      </c>
      <c r="P130" s="213">
        <f>ROUND(O130-N130,0)</f>
        <v>2111</v>
      </c>
      <c r="Q130" s="180"/>
      <c r="R130" s="39"/>
      <c r="S130" s="39"/>
      <c r="T130" s="39"/>
      <c r="U130" s="39"/>
    </row>
    <row r="131" spans="1:21" outlineLevel="1" x14ac:dyDescent="0.25">
      <c r="A131" s="154"/>
      <c r="B131" s="123">
        <v>50</v>
      </c>
      <c r="C131" s="125">
        <v>26.8740828314595</v>
      </c>
      <c r="D131" s="125">
        <v>24.724003842598723</v>
      </c>
      <c r="E131" s="125">
        <v>21.803170443692121</v>
      </c>
      <c r="F131" s="125">
        <v>19.399312413997322</v>
      </c>
      <c r="G131" s="125">
        <v>18.607989726320444</v>
      </c>
      <c r="H131" s="126">
        <v>16.531414990042283</v>
      </c>
      <c r="L131" s="39"/>
      <c r="M131" s="196" t="s">
        <v>224</v>
      </c>
      <c r="N131" s="213">
        <f>ROUND(0,0)</f>
        <v>0</v>
      </c>
      <c r="O131" s="213">
        <f>ROUND(0,0)</f>
        <v>0</v>
      </c>
      <c r="P131" s="213">
        <f>ROUND(O131-N131,0)</f>
        <v>0</v>
      </c>
      <c r="Q131" s="180"/>
      <c r="R131" s="39"/>
      <c r="S131" s="39"/>
      <c r="T131" s="39"/>
      <c r="U131" s="39"/>
    </row>
    <row r="132" spans="1:21" outlineLevel="1" x14ac:dyDescent="0.25">
      <c r="A132" s="154"/>
      <c r="B132" s="123">
        <v>51</v>
      </c>
      <c r="C132" s="125">
        <v>26.353964035564374</v>
      </c>
      <c r="D132" s="125">
        <v>24.287918708990436</v>
      </c>
      <c r="E132" s="125">
        <v>21.472029696361105</v>
      </c>
      <c r="F132" s="125">
        <v>19.145749352959378</v>
      </c>
      <c r="G132" s="125">
        <v>18.378075173626478</v>
      </c>
      <c r="H132" s="126">
        <v>16.358759662999887</v>
      </c>
      <c r="L132" s="39"/>
      <c r="M132" s="196" t="s">
        <v>270</v>
      </c>
      <c r="N132" s="215">
        <f>ROUND(SUM(N129:N131),0)</f>
        <v>1925346</v>
      </c>
      <c r="O132" s="215">
        <f>ROUND(SUM(O129:O131),0)</f>
        <v>1969664</v>
      </c>
      <c r="P132" s="216">
        <f>ROUND(O132-N132,0)</f>
        <v>44318</v>
      </c>
      <c r="Q132" s="180"/>
      <c r="R132" s="39"/>
      <c r="S132" s="39"/>
      <c r="T132" s="39"/>
      <c r="U132" s="39"/>
    </row>
    <row r="133" spans="1:21" outlineLevel="1" x14ac:dyDescent="0.25">
      <c r="A133" s="154"/>
      <c r="B133" s="123">
        <v>52</v>
      </c>
      <c r="C133" s="125">
        <v>25.827834766089861</v>
      </c>
      <c r="D133" s="125">
        <v>23.844876678843864</v>
      </c>
      <c r="E133" s="125">
        <v>21.133338804262319</v>
      </c>
      <c r="F133" s="125">
        <v>18.884734392288038</v>
      </c>
      <c r="G133" s="125">
        <v>18.14085253616247</v>
      </c>
      <c r="H133" s="126">
        <v>16.179419775760568</v>
      </c>
      <c r="L133" s="39"/>
      <c r="M133" s="180"/>
      <c r="N133" s="180"/>
      <c r="O133" s="180"/>
      <c r="P133" s="180"/>
      <c r="Q133" s="180"/>
      <c r="R133" s="39"/>
      <c r="S133" s="39"/>
      <c r="T133" s="39"/>
      <c r="U133" s="39"/>
    </row>
    <row r="134" spans="1:21" outlineLevel="1" x14ac:dyDescent="0.25">
      <c r="A134" s="154"/>
      <c r="B134" s="123">
        <v>53</v>
      </c>
      <c r="C134" s="125">
        <v>25.296115465123382</v>
      </c>
      <c r="D134" s="125">
        <v>23.395218015580877</v>
      </c>
      <c r="E134" s="125">
        <v>20.787322212673683</v>
      </c>
      <c r="F134" s="125">
        <v>18.616398135283905</v>
      </c>
      <c r="G134" s="125">
        <v>17.896423242250933</v>
      </c>
      <c r="H134" s="126">
        <v>15.993427594984109</v>
      </c>
      <c r="L134" s="39"/>
      <c r="M134" s="196" t="s">
        <v>271</v>
      </c>
      <c r="N134" s="213">
        <f>ROUND('Question 2'!N53*(1+'Question 2'!$N$125),0)+1</f>
        <v>56015</v>
      </c>
      <c r="O134" s="213">
        <f>ROUND(('Question 2'!C249+'Question 2'!C250)*(1+$N$125)^0.5-O136-N154,0)</f>
        <v>243342</v>
      </c>
      <c r="P134" s="213">
        <f>ROUND(O134-N134,0)</f>
        <v>187327</v>
      </c>
      <c r="Q134" s="212" t="s">
        <v>223</v>
      </c>
      <c r="R134" s="39"/>
      <c r="S134" s="39"/>
      <c r="T134" s="39"/>
      <c r="U134" s="39"/>
    </row>
    <row r="135" spans="1:21" outlineLevel="1" x14ac:dyDescent="0.25">
      <c r="A135" s="154"/>
      <c r="B135" s="123">
        <v>54</v>
      </c>
      <c r="C135" s="125">
        <v>24.759347589372194</v>
      </c>
      <c r="D135" s="125">
        <v>22.939394912272569</v>
      </c>
      <c r="E135" s="125">
        <v>20.434302323765522</v>
      </c>
      <c r="F135" s="125">
        <v>18.340956086525477</v>
      </c>
      <c r="G135" s="125">
        <v>17.644969015800953</v>
      </c>
      <c r="H135" s="126">
        <v>15.800882949194282</v>
      </c>
      <c r="L135" s="39"/>
      <c r="M135" s="196"/>
      <c r="N135" s="213"/>
      <c r="O135" s="213"/>
      <c r="P135" s="213"/>
      <c r="Q135" s="180"/>
      <c r="R135" s="39"/>
      <c r="S135" s="39"/>
      <c r="T135" s="39"/>
      <c r="U135" s="39"/>
    </row>
    <row r="136" spans="1:21" outlineLevel="1" x14ac:dyDescent="0.25">
      <c r="A136" s="154"/>
      <c r="B136" s="123">
        <v>55</v>
      </c>
      <c r="C136" s="125">
        <v>24.218326636900361</v>
      </c>
      <c r="D136" s="125">
        <v>22.478092965221148</v>
      </c>
      <c r="E136" s="125">
        <v>20.074804909938123</v>
      </c>
      <c r="F136" s="125">
        <v>18.058800479373215</v>
      </c>
      <c r="G136" s="125">
        <v>17.386839149714298</v>
      </c>
      <c r="H136" s="126">
        <v>15.602028342322026</v>
      </c>
      <c r="L136" s="39"/>
      <c r="M136" s="196" t="s">
        <v>225</v>
      </c>
      <c r="N136" s="213">
        <f>ROUND(0,0)</f>
        <v>0</v>
      </c>
      <c r="O136" s="213">
        <f>ROUND(('Question 2'!C59)*(1+'Question 2'!$N$125)^0.5,0)</f>
        <v>10247</v>
      </c>
      <c r="P136" s="213"/>
      <c r="Q136" s="212"/>
      <c r="R136" s="39"/>
      <c r="S136" s="39"/>
      <c r="T136" s="39"/>
      <c r="U136" s="39"/>
    </row>
    <row r="137" spans="1:21" outlineLevel="1" x14ac:dyDescent="0.25">
      <c r="A137" s="154"/>
      <c r="B137" s="123">
        <v>56</v>
      </c>
      <c r="C137" s="125">
        <v>23.673699741305192</v>
      </c>
      <c r="D137" s="125">
        <v>22.011864168085975</v>
      </c>
      <c r="E137" s="125">
        <v>19.709240491032084</v>
      </c>
      <c r="F137" s="125">
        <v>17.770221684027334</v>
      </c>
      <c r="G137" s="125">
        <v>17.12228512280489</v>
      </c>
      <c r="H137" s="126">
        <v>15.397018274784546</v>
      </c>
      <c r="L137" s="39"/>
      <c r="M137" s="196" t="s">
        <v>227</v>
      </c>
      <c r="N137" s="213">
        <f>ROUND(0,0)</f>
        <v>0</v>
      </c>
      <c r="O137" s="217">
        <f>ROUND('Question 2'!C252*(1+'Question 2'!$N$125)^0.5,0)</f>
        <v>-25617</v>
      </c>
      <c r="P137" s="213"/>
      <c r="Q137" s="180"/>
      <c r="R137" s="39"/>
      <c r="S137" s="39"/>
      <c r="T137" s="39"/>
      <c r="U137" s="39"/>
    </row>
    <row r="138" spans="1:21" outlineLevel="1" x14ac:dyDescent="0.25">
      <c r="A138" s="154"/>
      <c r="B138" s="123">
        <v>57</v>
      </c>
      <c r="C138" s="125">
        <v>23.126126681303937</v>
      </c>
      <c r="D138" s="125">
        <v>21.541272987149959</v>
      </c>
      <c r="E138" s="125">
        <v>19.338030019435969</v>
      </c>
      <c r="F138" s="125">
        <v>17.475516984991486</v>
      </c>
      <c r="G138" s="125">
        <v>16.851563779011563</v>
      </c>
      <c r="H138" s="126">
        <v>15.186007639412828</v>
      </c>
      <c r="L138" s="39"/>
      <c r="M138" s="196" t="s">
        <v>272</v>
      </c>
      <c r="N138" s="213"/>
      <c r="O138" s="213"/>
      <c r="P138" s="213">
        <f>O137+O136</f>
        <v>-15370</v>
      </c>
      <c r="Q138" s="212" t="s">
        <v>226</v>
      </c>
      <c r="R138" s="39"/>
      <c r="S138" s="39"/>
      <c r="T138" s="39"/>
      <c r="U138" s="39"/>
    </row>
    <row r="139" spans="1:21" outlineLevel="1" x14ac:dyDescent="0.25">
      <c r="A139" s="154"/>
      <c r="B139" s="123">
        <v>58</v>
      </c>
      <c r="C139" s="125">
        <v>22.575323419872888</v>
      </c>
      <c r="D139" s="125">
        <v>21.066018643993814</v>
      </c>
      <c r="E139" s="125">
        <v>18.960836400504753</v>
      </c>
      <c r="F139" s="125">
        <v>17.17431409211358</v>
      </c>
      <c r="G139" s="125">
        <v>16.574291550769235</v>
      </c>
      <c r="H139" s="126">
        <v>14.96858757396949</v>
      </c>
      <c r="L139" s="39"/>
      <c r="M139" s="196"/>
      <c r="N139" s="213"/>
      <c r="O139" s="213"/>
      <c r="P139" s="213"/>
      <c r="Q139" s="212"/>
      <c r="R139" s="39"/>
      <c r="S139" s="39"/>
      <c r="T139" s="39"/>
      <c r="U139" s="39"/>
    </row>
    <row r="140" spans="1:21" outlineLevel="1" x14ac:dyDescent="0.25">
      <c r="A140" s="154"/>
      <c r="B140" s="123">
        <v>59</v>
      </c>
      <c r="C140" s="125">
        <v>22.02066682913318</v>
      </c>
      <c r="D140" s="125">
        <v>20.585485043453275</v>
      </c>
      <c r="E140" s="125">
        <v>18.577039699349719</v>
      </c>
      <c r="F140" s="125">
        <v>16.865984612372241</v>
      </c>
      <c r="G140" s="125">
        <v>16.289837563452423</v>
      </c>
      <c r="H140" s="126">
        <v>14.744125025607438</v>
      </c>
      <c r="L140" s="39"/>
      <c r="M140" s="180" t="s">
        <v>221</v>
      </c>
      <c r="N140" s="213">
        <f>ROUND(-N158,0)</f>
        <v>-34582</v>
      </c>
      <c r="O140" s="213">
        <f>ROUND(N154,0)</f>
        <v>4941</v>
      </c>
      <c r="P140" s="213">
        <f t="shared" ref="P140:P150" si="0">ROUND(O140-N140,0)</f>
        <v>39523</v>
      </c>
      <c r="Q140" s="212"/>
      <c r="R140" s="39"/>
      <c r="S140" s="39"/>
      <c r="T140" s="39"/>
      <c r="U140" s="39"/>
    </row>
    <row r="141" spans="1:21" outlineLevel="1" x14ac:dyDescent="0.25">
      <c r="A141" s="154"/>
      <c r="B141" s="123">
        <v>60</v>
      </c>
      <c r="C141" s="125">
        <v>21.46126915298268</v>
      </c>
      <c r="D141" s="125">
        <v>20.098808188076372</v>
      </c>
      <c r="E141" s="125">
        <v>18.185795121136564</v>
      </c>
      <c r="F141" s="125">
        <v>16.549694389856938</v>
      </c>
      <c r="G141" s="125">
        <v>15.997371483990086</v>
      </c>
      <c r="H141" s="126">
        <v>14.511804113371721</v>
      </c>
      <c r="L141" s="39"/>
      <c r="M141" s="196" t="s">
        <v>228</v>
      </c>
      <c r="N141" s="213">
        <f>ROUND(-('Liability Calculation'!B123+'Liability Calculation'!B141)*(1+$N$125)^0.5,0)</f>
        <v>-79926</v>
      </c>
      <c r="O141" s="213">
        <f>ROUND('Question 2'!C251*(1+'Question 2'!$N$125)^0.5,0)</f>
        <v>-79926</v>
      </c>
      <c r="P141" s="213">
        <f t="shared" si="0"/>
        <v>0</v>
      </c>
      <c r="Q141" s="212"/>
      <c r="R141" s="39"/>
      <c r="S141" s="39"/>
      <c r="T141" s="39"/>
      <c r="U141" s="39"/>
    </row>
    <row r="142" spans="1:21" outlineLevel="1" x14ac:dyDescent="0.25">
      <c r="A142" s="154"/>
      <c r="B142" s="123">
        <v>61</v>
      </c>
      <c r="C142" s="125">
        <v>20.896044968821148</v>
      </c>
      <c r="D142" s="125">
        <v>19.604935886325752</v>
      </c>
      <c r="E142" s="125">
        <v>17.786082906837979</v>
      </c>
      <c r="F142" s="125">
        <v>16.224445370976749</v>
      </c>
      <c r="G142" s="125">
        <v>15.695902752940864</v>
      </c>
      <c r="H142" s="126">
        <v>14.270658479359774</v>
      </c>
      <c r="L142" s="39"/>
      <c r="M142" s="196" t="s">
        <v>127</v>
      </c>
      <c r="N142" s="213">
        <f>ROUND(-N121,0)</f>
        <v>3155</v>
      </c>
      <c r="O142" s="213">
        <f>ROUND(0,0)</f>
        <v>0</v>
      </c>
      <c r="P142" s="213">
        <f t="shared" si="0"/>
        <v>-3155</v>
      </c>
      <c r="Q142" s="212" t="s">
        <v>230</v>
      </c>
      <c r="R142" s="39"/>
      <c r="S142" s="39"/>
      <c r="T142" s="39"/>
      <c r="U142" s="39"/>
    </row>
    <row r="143" spans="1:21" outlineLevel="1" x14ac:dyDescent="0.25">
      <c r="A143" s="154"/>
      <c r="B143" s="123">
        <v>62</v>
      </c>
      <c r="C143" s="125">
        <v>20.32418381566281</v>
      </c>
      <c r="D143" s="125">
        <v>19.103064588838784</v>
      </c>
      <c r="E143" s="125">
        <v>17.377094945555285</v>
      </c>
      <c r="F143" s="125">
        <v>15.889419307240663</v>
      </c>
      <c r="G143" s="125">
        <v>15.384609814339793</v>
      </c>
      <c r="H143" s="126">
        <v>14.019861634877124</v>
      </c>
      <c r="L143" s="39"/>
      <c r="M143" s="196" t="s">
        <v>128</v>
      </c>
      <c r="N143" s="213">
        <f>ROUND(-N122,0)</f>
        <v>31697</v>
      </c>
      <c r="O143" s="213"/>
      <c r="P143" s="213">
        <f t="shared" si="0"/>
        <v>-31697</v>
      </c>
      <c r="Q143" s="212" t="s">
        <v>231</v>
      </c>
      <c r="R143" s="39"/>
      <c r="S143" s="39"/>
      <c r="T143" s="39"/>
      <c r="U143" s="39"/>
    </row>
    <row r="144" spans="1:21" outlineLevel="1" x14ac:dyDescent="0.25">
      <c r="A144" s="154"/>
      <c r="B144" s="123">
        <v>63</v>
      </c>
      <c r="C144" s="125">
        <v>19.745153017148731</v>
      </c>
      <c r="D144" s="125">
        <v>18.5926451547708</v>
      </c>
      <c r="E144" s="125">
        <v>16.958244073332803</v>
      </c>
      <c r="F144" s="125">
        <v>15.543989452912088</v>
      </c>
      <c r="G144" s="125">
        <v>15.062852479677764</v>
      </c>
      <c r="H144" s="126">
        <v>13.758740720314552</v>
      </c>
      <c r="L144" s="39"/>
      <c r="M144" s="196" t="s">
        <v>129</v>
      </c>
      <c r="N144" s="213">
        <f>ROUND(-N123,0)</f>
        <v>-475741</v>
      </c>
      <c r="O144" s="213">
        <f>ROUND(0,0)</f>
        <v>0</v>
      </c>
      <c r="P144" s="213">
        <f t="shared" si="0"/>
        <v>475741</v>
      </c>
      <c r="Q144" s="212" t="s">
        <v>229</v>
      </c>
      <c r="R144" s="39"/>
      <c r="S144" s="39"/>
      <c r="T144" s="39"/>
      <c r="U144" s="39"/>
    </row>
    <row r="145" spans="1:21" outlineLevel="1" x14ac:dyDescent="0.25">
      <c r="A145" s="154"/>
      <c r="B145" s="123">
        <v>64</v>
      </c>
      <c r="C145" s="125">
        <v>19.15938312259085</v>
      </c>
      <c r="D145" s="125">
        <v>18.074020441484301</v>
      </c>
      <c r="E145" s="125">
        <v>16.529733475817888</v>
      </c>
      <c r="F145" s="125">
        <v>15.188230670258092</v>
      </c>
      <c r="G145" s="125">
        <v>14.730661802038313</v>
      </c>
      <c r="H145" s="126">
        <v>13.487211414709467</v>
      </c>
      <c r="L145" s="39"/>
      <c r="M145" s="196" t="s">
        <v>153</v>
      </c>
      <c r="N145" s="213">
        <f>ROUND('Liability Calculation'!J49-('Liability Calculation'!J12+'Liability Calculation'!K12)*(1+'Question 2'!$N$125),0)</f>
        <v>4672</v>
      </c>
      <c r="O145" s="213"/>
      <c r="P145" s="213">
        <f t="shared" si="0"/>
        <v>-4672</v>
      </c>
      <c r="Q145" s="212" t="s">
        <v>232</v>
      </c>
      <c r="R145" s="39"/>
      <c r="S145" s="39"/>
      <c r="T145" s="39"/>
      <c r="U145" s="39"/>
    </row>
    <row r="146" spans="1:21" outlineLevel="1" x14ac:dyDescent="0.25">
      <c r="A146" s="154"/>
      <c r="B146" s="123">
        <v>65</v>
      </c>
      <c r="C146" s="125">
        <v>18.567411580420128</v>
      </c>
      <c r="D146" s="125">
        <v>17.547637260766546</v>
      </c>
      <c r="E146" s="125">
        <v>16.091863980080912</v>
      </c>
      <c r="F146" s="125">
        <v>14.822307598280929</v>
      </c>
      <c r="G146" s="125">
        <v>14.388155374480753</v>
      </c>
      <c r="H146" s="126">
        <v>13.205265663923768</v>
      </c>
      <c r="L146" s="39"/>
      <c r="M146" s="180" t="s">
        <v>233</v>
      </c>
      <c r="N146" s="213"/>
      <c r="O146" s="213"/>
      <c r="P146" s="213">
        <f t="shared" si="0"/>
        <v>0</v>
      </c>
      <c r="Q146" s="180"/>
      <c r="R146" s="39"/>
      <c r="S146" s="39"/>
      <c r="T146" s="39"/>
      <c r="U146" s="39"/>
    </row>
    <row r="147" spans="1:21" outlineLevel="1" x14ac:dyDescent="0.25">
      <c r="A147" s="154"/>
      <c r="B147" s="123">
        <v>66</v>
      </c>
      <c r="C147" s="125">
        <v>17.969875808164304</v>
      </c>
      <c r="D147" s="125">
        <v>17.014041350136015</v>
      </c>
      <c r="E147" s="125">
        <v>15.645031647244632</v>
      </c>
      <c r="F147" s="125">
        <v>14.446474378915033</v>
      </c>
      <c r="G147" s="125">
        <v>14.03553773883954</v>
      </c>
      <c r="H147" s="126">
        <v>12.912973785768713</v>
      </c>
      <c r="L147" s="39"/>
      <c r="M147" s="180" t="s">
        <v>234</v>
      </c>
      <c r="N147" s="213"/>
      <c r="O147" s="213"/>
      <c r="P147" s="213">
        <f t="shared" si="0"/>
        <v>0</v>
      </c>
      <c r="Q147" s="180"/>
      <c r="R147" s="39"/>
      <c r="S147" s="39"/>
      <c r="T147" s="39"/>
      <c r="U147" s="39"/>
    </row>
    <row r="148" spans="1:21" outlineLevel="1" x14ac:dyDescent="0.25">
      <c r="A148" s="154"/>
      <c r="B148" s="123">
        <v>67</v>
      </c>
      <c r="C148" s="125">
        <v>17.368145843808879</v>
      </c>
      <c r="D148" s="125">
        <v>16.474469124858778</v>
      </c>
      <c r="E148" s="125">
        <v>15.190261050173021</v>
      </c>
      <c r="F148" s="125">
        <v>14.061556830088911</v>
      </c>
      <c r="G148" s="125">
        <v>13.673565053451171</v>
      </c>
      <c r="H148" s="126">
        <v>12.610901354005371</v>
      </c>
      <c r="L148" s="39"/>
      <c r="M148" s="180" t="s">
        <v>235</v>
      </c>
      <c r="N148" s="213">
        <f>ROUND(0,0)</f>
        <v>0</v>
      </c>
      <c r="O148" s="213">
        <f>ROUND(O150-SUM(O132:O147),0)</f>
        <v>-697481</v>
      </c>
      <c r="P148" s="213">
        <f t="shared" si="0"/>
        <v>-697481</v>
      </c>
      <c r="Q148" s="212" t="s">
        <v>236</v>
      </c>
      <c r="R148" s="39"/>
      <c r="S148" s="39"/>
      <c r="T148" s="39"/>
      <c r="U148" s="39"/>
    </row>
    <row r="149" spans="1:21" outlineLevel="1" x14ac:dyDescent="0.25">
      <c r="A149" s="154"/>
      <c r="B149" s="123">
        <v>68</v>
      </c>
      <c r="C149" s="125">
        <v>16.76318681915161</v>
      </c>
      <c r="D149" s="125">
        <v>15.929790269368048</v>
      </c>
      <c r="E149" s="125">
        <v>14.728261789917905</v>
      </c>
      <c r="F149" s="125">
        <v>13.668107721033428</v>
      </c>
      <c r="G149" s="125">
        <v>13.302733976312924</v>
      </c>
      <c r="H149" s="126">
        <v>12.299389106795655</v>
      </c>
      <c r="L149" s="39"/>
      <c r="M149" s="218" t="s">
        <v>237</v>
      </c>
      <c r="N149" s="217">
        <f>ROUND(N150-SUM(N132:N148),0)</f>
        <v>0</v>
      </c>
      <c r="O149" s="217">
        <f>ROUND(0,0)</f>
        <v>0</v>
      </c>
      <c r="P149" s="217">
        <f t="shared" si="0"/>
        <v>0</v>
      </c>
      <c r="Q149" s="219"/>
      <c r="R149" s="39"/>
      <c r="S149" s="39"/>
      <c r="T149" s="39"/>
      <c r="U149" s="39"/>
    </row>
    <row r="150" spans="1:21" outlineLevel="1" x14ac:dyDescent="0.25">
      <c r="A150" s="154"/>
      <c r="B150" s="123">
        <v>69</v>
      </c>
      <c r="C150" s="125">
        <v>16.155890363367256</v>
      </c>
      <c r="D150" s="125">
        <v>15.380814551806299</v>
      </c>
      <c r="E150" s="125">
        <v>14.259700845853541</v>
      </c>
      <c r="F150" s="125">
        <v>13.266649688717552</v>
      </c>
      <c r="G150" s="125">
        <v>12.923514649156763</v>
      </c>
      <c r="H150" s="126">
        <v>11.978759209172248</v>
      </c>
      <c r="L150" s="39"/>
      <c r="M150" s="311" t="s">
        <v>437</v>
      </c>
      <c r="N150" s="216">
        <f>ROUND(N105+N106,0)</f>
        <v>1430636</v>
      </c>
      <c r="O150" s="216">
        <f>ROUND(N104,0)</f>
        <v>1425170</v>
      </c>
      <c r="P150" s="216">
        <f t="shared" si="0"/>
        <v>-5466</v>
      </c>
      <c r="Q150" s="185"/>
      <c r="R150" s="39"/>
      <c r="S150" s="39"/>
      <c r="T150" s="39"/>
      <c r="U150" s="39"/>
    </row>
    <row r="151" spans="1:21" outlineLevel="1" x14ac:dyDescent="0.25">
      <c r="A151" s="155"/>
      <c r="B151" s="127">
        <v>70</v>
      </c>
      <c r="C151" s="129">
        <v>15.547462697979583</v>
      </c>
      <c r="D151" s="129">
        <v>14.828655649068057</v>
      </c>
      <c r="E151" s="129">
        <v>13.785531721641973</v>
      </c>
      <c r="F151" s="129">
        <v>12.85797407651053</v>
      </c>
      <c r="G151" s="129">
        <v>12.53663914963019</v>
      </c>
      <c r="H151" s="130">
        <v>11.649575321501109</v>
      </c>
      <c r="L151" s="39"/>
      <c r="M151" s="180"/>
      <c r="N151" s="185"/>
      <c r="O151" s="185"/>
      <c r="P151" s="180"/>
      <c r="Q151" s="42"/>
      <c r="R151" s="39"/>
      <c r="S151" s="39"/>
      <c r="T151" s="39"/>
      <c r="U151" s="39"/>
    </row>
    <row r="152" spans="1:21" outlineLevel="1" x14ac:dyDescent="0.25">
      <c r="A152" s="155"/>
      <c r="B152" s="81"/>
      <c r="C152" s="125"/>
      <c r="D152" s="125"/>
      <c r="E152" s="125"/>
      <c r="F152" s="125"/>
      <c r="G152" s="125"/>
      <c r="H152" s="125"/>
      <c r="L152" s="39"/>
      <c r="M152" s="180"/>
      <c r="N152" s="185"/>
      <c r="O152" s="185"/>
      <c r="P152" s="220">
        <f>SUM(P132:P149)</f>
        <v>-5466</v>
      </c>
      <c r="Q152" s="42"/>
      <c r="R152" s="39"/>
      <c r="S152" s="39"/>
      <c r="T152" s="39"/>
      <c r="U152" s="39"/>
    </row>
    <row r="153" spans="1:21" outlineLevel="1" x14ac:dyDescent="0.25">
      <c r="L153" s="39"/>
      <c r="M153" s="180" t="s">
        <v>273</v>
      </c>
      <c r="N153" s="213">
        <f>'Question 2'!N37</f>
        <v>127064.00448881909</v>
      </c>
      <c r="O153" s="185"/>
      <c r="P153" s="180"/>
      <c r="Q153" s="42"/>
      <c r="R153" s="39"/>
      <c r="S153" s="39"/>
      <c r="T153" s="39"/>
      <c r="U153" s="39"/>
    </row>
    <row r="154" spans="1:21" outlineLevel="1" x14ac:dyDescent="0.25">
      <c r="C154" s="313" t="s">
        <v>68</v>
      </c>
      <c r="D154" s="321"/>
      <c r="E154" s="321"/>
      <c r="F154" s="321"/>
      <c r="G154" s="321"/>
      <c r="H154" s="314"/>
      <c r="L154" s="39"/>
      <c r="M154" s="196" t="s">
        <v>277</v>
      </c>
      <c r="N154" s="213">
        <f>('Question 2'!N54+'Question 2'!N59)*(1+$N$125)^0.5</f>
        <v>4941.2062708598851</v>
      </c>
      <c r="O154" s="185"/>
      <c r="P154" s="180"/>
      <c r="Q154" s="42"/>
      <c r="R154" s="39"/>
      <c r="S154" s="39"/>
      <c r="T154" s="39"/>
      <c r="U154" s="39"/>
    </row>
    <row r="155" spans="1:21" outlineLevel="1" x14ac:dyDescent="0.25">
      <c r="C155" s="313" t="s">
        <v>66</v>
      </c>
      <c r="D155" s="321"/>
      <c r="E155" s="321"/>
      <c r="F155" s="321"/>
      <c r="G155" s="321"/>
      <c r="H155" s="314"/>
      <c r="L155" s="39"/>
      <c r="M155" s="180" t="s">
        <v>274</v>
      </c>
      <c r="N155" s="213">
        <f>N153*N125</f>
        <v>6353.200224440955</v>
      </c>
      <c r="O155" s="180"/>
      <c r="P155" s="180"/>
      <c r="Q155" s="178"/>
      <c r="R155" s="39"/>
      <c r="S155" s="39"/>
      <c r="T155" s="39"/>
      <c r="U155" s="39"/>
    </row>
    <row r="156" spans="1:21" outlineLevel="1" x14ac:dyDescent="0.25">
      <c r="B156" s="119" t="s">
        <v>34</v>
      </c>
      <c r="C156" s="120">
        <v>1.7000000000000001E-2</v>
      </c>
      <c r="D156" s="121">
        <v>2.1999999999999999E-2</v>
      </c>
      <c r="E156" s="121">
        <v>0.03</v>
      </c>
      <c r="F156" s="121">
        <v>3.7999999999999999E-2</v>
      </c>
      <c r="G156" s="121">
        <v>4.1000000000000002E-2</v>
      </c>
      <c r="H156" s="122">
        <v>0.05</v>
      </c>
      <c r="L156" s="39"/>
      <c r="M156" s="180" t="s">
        <v>275</v>
      </c>
      <c r="N156" s="213">
        <f>N153+N155</f>
        <v>133417.20471326006</v>
      </c>
      <c r="O156" s="185"/>
      <c r="P156" s="180"/>
      <c r="Q156" s="42"/>
      <c r="R156" s="39"/>
      <c r="S156" s="39"/>
      <c r="T156" s="39"/>
      <c r="U156" s="39"/>
    </row>
    <row r="157" spans="1:21" outlineLevel="1" x14ac:dyDescent="0.25">
      <c r="A157" s="153"/>
      <c r="B157" s="152">
        <v>45</v>
      </c>
      <c r="C157" s="158">
        <v>13.711843252457847</v>
      </c>
      <c r="D157" s="156">
        <v>11.728488989884527</v>
      </c>
      <c r="E157" s="156">
        <v>9.179525541275833</v>
      </c>
      <c r="F157" s="156">
        <v>7.2265215491819541</v>
      </c>
      <c r="G157" s="156">
        <v>6.6160355707200775</v>
      </c>
      <c r="H157" s="157">
        <v>5.1000409883490931</v>
      </c>
      <c r="L157" s="39"/>
      <c r="M157" s="180" t="s">
        <v>276</v>
      </c>
      <c r="N157" s="213">
        <f>N101</f>
        <v>98835.175921350179</v>
      </c>
      <c r="O157" s="185"/>
      <c r="P157" s="180"/>
      <c r="Q157" s="42"/>
      <c r="R157" s="39"/>
      <c r="S157" s="39"/>
      <c r="T157" s="39"/>
      <c r="U157" s="39"/>
    </row>
    <row r="158" spans="1:21" outlineLevel="1" x14ac:dyDescent="0.25">
      <c r="A158" s="153"/>
      <c r="B158" s="123">
        <v>46</v>
      </c>
      <c r="C158" s="124">
        <v>13.922446147679846</v>
      </c>
      <c r="D158" s="125">
        <v>11.968143572603882</v>
      </c>
      <c r="E158" s="125">
        <v>9.4415615932248222</v>
      </c>
      <c r="F158" s="125">
        <v>7.4913721168144738</v>
      </c>
      <c r="G158" s="125">
        <v>6.8786050253717486</v>
      </c>
      <c r="H158" s="126">
        <v>5.3488801927308547</v>
      </c>
      <c r="L158" s="39"/>
      <c r="M158" s="180" t="s">
        <v>278</v>
      </c>
      <c r="N158" s="213">
        <f>N156-N157</f>
        <v>34582.028791909877</v>
      </c>
      <c r="O158" s="185"/>
      <c r="P158" s="180"/>
      <c r="Q158" s="42"/>
      <c r="R158" s="39"/>
      <c r="S158" s="39"/>
      <c r="T158" s="39"/>
      <c r="U158" s="39"/>
    </row>
    <row r="159" spans="1:21" outlineLevel="1" x14ac:dyDescent="0.25">
      <c r="A159" s="153"/>
      <c r="B159" s="123">
        <v>47</v>
      </c>
      <c r="C159" s="124">
        <v>14.136189073211638</v>
      </c>
      <c r="D159" s="125">
        <v>12.2126159648883</v>
      </c>
      <c r="E159" s="125">
        <v>9.7110178820674644</v>
      </c>
      <c r="F159" s="125">
        <v>7.765884057183607</v>
      </c>
      <c r="G159" s="125">
        <v>7.1515540884490836</v>
      </c>
      <c r="H159" s="126">
        <v>5.6098304142700961</v>
      </c>
      <c r="L159" s="39"/>
      <c r="M159" s="39"/>
      <c r="N159" s="40"/>
      <c r="O159" s="40"/>
      <c r="P159" s="39"/>
      <c r="Q159" s="42"/>
      <c r="R159" s="39"/>
      <c r="S159" s="39"/>
      <c r="T159" s="39"/>
      <c r="U159" s="39"/>
    </row>
    <row r="160" spans="1:21" outlineLevel="1" x14ac:dyDescent="0.25">
      <c r="A160" s="153"/>
      <c r="B160" s="123">
        <v>48</v>
      </c>
      <c r="C160" s="124">
        <v>14.353116950183525</v>
      </c>
      <c r="D160" s="125">
        <v>12.46200103863811</v>
      </c>
      <c r="E160" s="125">
        <v>9.9881025528982761</v>
      </c>
      <c r="F160" s="125">
        <v>8.0504079338141032</v>
      </c>
      <c r="G160" s="125">
        <v>7.4352912622934753</v>
      </c>
      <c r="H160" s="126">
        <v>5.8834794796954775</v>
      </c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outlineLevel="1" x14ac:dyDescent="0.25">
      <c r="A161" s="153"/>
      <c r="B161" s="123">
        <v>49</v>
      </c>
      <c r="C161" s="124">
        <v>14.57327530666316</v>
      </c>
      <c r="D161" s="125">
        <v>12.716395486388292</v>
      </c>
      <c r="E161" s="125">
        <v>10.273029525549545</v>
      </c>
      <c r="F161" s="125">
        <v>8.3453069545388416</v>
      </c>
      <c r="G161" s="125">
        <v>7.730241047131142</v>
      </c>
      <c r="H161" s="126">
        <v>6.1704436611219844</v>
      </c>
      <c r="L161" s="28"/>
      <c r="M161" s="28" t="s">
        <v>288</v>
      </c>
      <c r="N161" s="28"/>
      <c r="O161" s="28"/>
      <c r="P161" s="28"/>
      <c r="Q161" s="28"/>
      <c r="R161" s="28"/>
      <c r="S161" s="28"/>
      <c r="T161" s="28"/>
      <c r="U161" s="28"/>
    </row>
    <row r="162" spans="1:21" ht="14.4" outlineLevel="1" x14ac:dyDescent="0.3">
      <c r="A162" s="153"/>
      <c r="B162" s="123">
        <v>50</v>
      </c>
      <c r="C162" s="124">
        <v>14.796710285251516</v>
      </c>
      <c r="D162" s="125">
        <v>12.975897855173629</v>
      </c>
      <c r="E162" s="125">
        <v>10.566018652802816</v>
      </c>
      <c r="F162" s="125">
        <v>8.6509574245366085</v>
      </c>
      <c r="G162" s="125">
        <v>8.0368445641801891</v>
      </c>
      <c r="H162" s="126">
        <v>6.4713690480528552</v>
      </c>
      <c r="L162"/>
      <c r="M162" s="312"/>
      <c r="N162"/>
      <c r="O162"/>
      <c r="P162"/>
      <c r="Q162"/>
      <c r="R162"/>
      <c r="S162"/>
      <c r="T162"/>
      <c r="U162"/>
    </row>
    <row r="163" spans="1:21" ht="14.4" outlineLevel="1" x14ac:dyDescent="0.3">
      <c r="A163" s="153"/>
      <c r="B163" s="123">
        <v>51</v>
      </c>
      <c r="C163" s="124">
        <v>15.023468650765903</v>
      </c>
      <c r="D163" s="125">
        <v>13.240608581002096</v>
      </c>
      <c r="E163" s="125">
        <v>10.867295882875029</v>
      </c>
      <c r="F163" s="125">
        <v>8.9677492154843801</v>
      </c>
      <c r="G163" s="125">
        <v>8.3555602028836358</v>
      </c>
      <c r="H163" s="126">
        <v>6.7869329853245031</v>
      </c>
      <c r="L163"/>
      <c r="M163"/>
      <c r="N163"/>
      <c r="O163"/>
      <c r="P163"/>
      <c r="Q163"/>
      <c r="R163"/>
      <c r="S163"/>
      <c r="T163"/>
      <c r="U163"/>
    </row>
    <row r="164" spans="1:21" outlineLevel="1" x14ac:dyDescent="0.25">
      <c r="A164" s="153"/>
      <c r="B164" s="123">
        <v>52</v>
      </c>
      <c r="C164" s="124">
        <v>15.253597798010793</v>
      </c>
      <c r="D164" s="125">
        <v>13.510630023946781</v>
      </c>
      <c r="E164" s="125">
        <v>11.177093426293069</v>
      </c>
      <c r="F164" s="125">
        <v>9.2960862513929872</v>
      </c>
      <c r="G164" s="125">
        <v>8.6868642931968267</v>
      </c>
      <c r="H164" s="126">
        <v>7.1178455801520091</v>
      </c>
      <c r="L164" s="39"/>
      <c r="M164" s="180" t="s">
        <v>132</v>
      </c>
      <c r="N164" s="39"/>
      <c r="O164" s="39"/>
      <c r="P164" s="39"/>
      <c r="Q164" s="39"/>
      <c r="R164" s="39"/>
      <c r="S164" s="39"/>
      <c r="T164" s="39"/>
      <c r="U164" s="39"/>
    </row>
    <row r="165" spans="1:21" outlineLevel="1" x14ac:dyDescent="0.25">
      <c r="A165" s="153"/>
      <c r="B165" s="123">
        <v>53</v>
      </c>
      <c r="C165" s="124">
        <v>15.487145759637624</v>
      </c>
      <c r="D165" s="125">
        <v>13.786066503867236</v>
      </c>
      <c r="E165" s="125">
        <v>11.495649927273561</v>
      </c>
      <c r="F165" s="125">
        <v>9.6363870117146178</v>
      </c>
      <c r="G165" s="125">
        <v>9.0312518038927809</v>
      </c>
      <c r="H165" s="126">
        <v>7.4648512815833641</v>
      </c>
      <c r="L165" s="39"/>
      <c r="M165" s="210" t="s">
        <v>133</v>
      </c>
      <c r="N165" s="39"/>
      <c r="O165" s="39"/>
      <c r="P165" s="39"/>
      <c r="Q165" s="39"/>
      <c r="R165" s="39"/>
      <c r="S165" s="39"/>
      <c r="T165" s="39"/>
      <c r="U165" s="39"/>
    </row>
    <row r="166" spans="1:21" outlineLevel="1" x14ac:dyDescent="0.25">
      <c r="A166" s="153"/>
      <c r="B166" s="123">
        <v>54</v>
      </c>
      <c r="C166" s="124">
        <v>15.724161214094378</v>
      </c>
      <c r="D166" s="125">
        <v>14.067024336771166</v>
      </c>
      <c r="E166" s="125">
        <v>11.82321063972765</v>
      </c>
      <c r="F166" s="125">
        <v>9.9890850523316956</v>
      </c>
      <c r="G166" s="125">
        <v>9.3892370678861941</v>
      </c>
      <c r="H166" s="126">
        <v>7.8287305358283561</v>
      </c>
      <c r="L166" s="39"/>
      <c r="M166" s="180" t="s">
        <v>134</v>
      </c>
      <c r="N166" s="39"/>
      <c r="O166" s="39"/>
      <c r="P166" s="39"/>
      <c r="Q166" s="39"/>
      <c r="R166" s="39"/>
      <c r="S166" s="39"/>
      <c r="T166" s="39"/>
      <c r="U166" s="39"/>
    </row>
    <row r="167" spans="1:21" outlineLevel="1" x14ac:dyDescent="0.25">
      <c r="A167" s="153"/>
      <c r="B167" s="123">
        <v>55</v>
      </c>
      <c r="C167" s="124">
        <v>15.964693493666141</v>
      </c>
      <c r="D167" s="125">
        <v>14.353611871827539</v>
      </c>
      <c r="E167" s="125">
        <v>12.160027608013994</v>
      </c>
      <c r="F167" s="125">
        <v>10.354629545057568</v>
      </c>
      <c r="G167" s="125">
        <v>9.7613545356146876</v>
      </c>
      <c r="H167" s="126">
        <v>8.2103015210932995</v>
      </c>
      <c r="L167" s="39"/>
      <c r="M167" s="210" t="s">
        <v>135</v>
      </c>
      <c r="N167" s="39"/>
      <c r="O167" s="39"/>
      <c r="P167" s="39"/>
      <c r="Q167" s="39"/>
      <c r="R167" s="39"/>
      <c r="S167" s="39"/>
      <c r="T167" s="39"/>
      <c r="U167" s="39"/>
    </row>
    <row r="168" spans="1:21" outlineLevel="1" x14ac:dyDescent="0.25">
      <c r="A168" s="153"/>
      <c r="B168" s="123">
        <v>56</v>
      </c>
      <c r="C168" s="124">
        <v>16.208792592607345</v>
      </c>
      <c r="D168" s="125">
        <v>14.645939529042368</v>
      </c>
      <c r="E168" s="125">
        <v>12.506359852565982</v>
      </c>
      <c r="F168" s="125">
        <v>10.733485836301707</v>
      </c>
      <c r="G168" s="125">
        <v>10.148159557555909</v>
      </c>
      <c r="H168" s="126">
        <v>8.6104219657260117</v>
      </c>
      <c r="L168" s="39"/>
      <c r="M168" s="210" t="s">
        <v>136</v>
      </c>
      <c r="N168" s="39"/>
      <c r="O168" s="39"/>
      <c r="P168" s="39"/>
      <c r="Q168" s="39"/>
      <c r="R168" s="39"/>
      <c r="S168" s="39"/>
      <c r="T168" s="39"/>
      <c r="U168" s="39"/>
    </row>
    <row r="169" spans="1:21" outlineLevel="1" x14ac:dyDescent="0.25">
      <c r="A169" s="153"/>
      <c r="B169" s="123">
        <v>57</v>
      </c>
      <c r="C169" s="124">
        <v>16.456509175367213</v>
      </c>
      <c r="D169" s="125">
        <v>14.944119837608772</v>
      </c>
      <c r="E169" s="125">
        <v>12.862473560522881</v>
      </c>
      <c r="F169" s="125">
        <v>11.126136025575036</v>
      </c>
      <c r="G169" s="125">
        <v>10.550229196999965</v>
      </c>
      <c r="H169" s="126">
        <v>9.0299910536563104</v>
      </c>
      <c r="L169" s="39"/>
      <c r="M169" s="210" t="s">
        <v>137</v>
      </c>
      <c r="N169" s="39"/>
      <c r="O169" s="39"/>
      <c r="P169" s="39"/>
      <c r="Q169" s="39"/>
      <c r="R169" s="39"/>
      <c r="S169" s="39"/>
      <c r="T169" s="39"/>
      <c r="U169" s="39"/>
    </row>
    <row r="170" spans="1:21" outlineLevel="1" x14ac:dyDescent="0.25">
      <c r="A170" s="153"/>
      <c r="B170" s="123">
        <v>58</v>
      </c>
      <c r="C170" s="124">
        <v>16.707894584908878</v>
      </c>
      <c r="D170" s="125">
        <v>15.248267474943038</v>
      </c>
      <c r="E170" s="125">
        <v>13.228642281497716</v>
      </c>
      <c r="F170" s="125">
        <v>11.533079564534354</v>
      </c>
      <c r="G170" s="125">
        <v>10.968163074239728</v>
      </c>
      <c r="H170" s="126">
        <v>9.469951421307961</v>
      </c>
      <c r="L170" s="39"/>
      <c r="M170" s="210" t="s">
        <v>282</v>
      </c>
      <c r="N170" s="39"/>
      <c r="O170" s="39"/>
      <c r="P170" s="39"/>
      <c r="Q170" s="39"/>
      <c r="R170" s="39"/>
      <c r="S170" s="39"/>
      <c r="T170" s="39"/>
      <c r="U170" s="39"/>
    </row>
    <row r="171" spans="1:21" outlineLevel="1" x14ac:dyDescent="0.25">
      <c r="A171" s="153"/>
      <c r="B171" s="123">
        <v>59</v>
      </c>
      <c r="C171" s="124">
        <v>16.963000851123617</v>
      </c>
      <c r="D171" s="125">
        <v>15.558499306418268</v>
      </c>
      <c r="E171" s="125">
        <v>13.605147128618537</v>
      </c>
      <c r="F171" s="125">
        <v>11.954833877289543</v>
      </c>
      <c r="G171" s="125">
        <v>11.402584243385579</v>
      </c>
      <c r="H171" s="126">
        <v>9.9312912503561321</v>
      </c>
      <c r="L171" s="39"/>
      <c r="N171" s="39"/>
      <c r="O171" s="39"/>
      <c r="P171" s="39"/>
      <c r="Q171" s="39"/>
      <c r="R171" s="39"/>
      <c r="S171" s="39"/>
      <c r="T171" s="39"/>
      <c r="U171" s="39"/>
    </row>
    <row r="172" spans="1:21" outlineLevel="1" x14ac:dyDescent="0.25">
      <c r="A172" s="153"/>
      <c r="B172" s="123">
        <v>60</v>
      </c>
      <c r="C172" s="124">
        <v>17.221774645789424</v>
      </c>
      <c r="D172" s="125">
        <v>15.874838217994258</v>
      </c>
      <c r="E172" s="125">
        <v>13.992194386832169</v>
      </c>
      <c r="F172" s="125">
        <v>12.39186380594623</v>
      </c>
      <c r="G172" s="125">
        <v>11.854072697023812</v>
      </c>
      <c r="H172" s="126">
        <v>10.414989080233889</v>
      </c>
    </row>
    <row r="173" spans="1:21" outlineLevel="1" x14ac:dyDescent="0.25">
      <c r="A173" s="153"/>
      <c r="B173" s="123">
        <v>61</v>
      </c>
      <c r="C173" s="124">
        <v>17.484145004586278</v>
      </c>
      <c r="D173" s="125">
        <v>16.197290722619655</v>
      </c>
      <c r="E173" s="125">
        <v>14.389979565198299</v>
      </c>
      <c r="F173" s="125">
        <v>12.844634933165329</v>
      </c>
      <c r="G173" s="125">
        <v>12.323215324659872</v>
      </c>
      <c r="H173" s="126">
        <v>10.922055682285206</v>
      </c>
    </row>
    <row r="174" spans="1:21" outlineLevel="1" x14ac:dyDescent="0.25">
      <c r="A174" s="153"/>
      <c r="B174" s="123">
        <v>62</v>
      </c>
      <c r="C174" s="124">
        <v>17.750021736585769</v>
      </c>
      <c r="D174" s="125">
        <v>16.52584509512004</v>
      </c>
      <c r="E174" s="125">
        <v>14.798685257873109</v>
      </c>
      <c r="F174" s="125">
        <v>13.31361152107057</v>
      </c>
      <c r="G174" s="125">
        <v>12.810604012767005</v>
      </c>
      <c r="H174" s="126">
        <v>11.453533235799858</v>
      </c>
    </row>
    <row r="175" spans="1:21" outlineLevel="1" x14ac:dyDescent="0.25">
      <c r="A175" s="153"/>
      <c r="B175" s="123">
        <v>63</v>
      </c>
      <c r="C175" s="124">
        <v>18.01929114019412</v>
      </c>
      <c r="D175" s="125">
        <v>16.860466977000257</v>
      </c>
      <c r="E175" s="125">
        <v>15.218476690417525</v>
      </c>
      <c r="F175" s="125">
        <v>13.799252313232406</v>
      </c>
      <c r="G175" s="125">
        <v>13.316831670105838</v>
      </c>
      <c r="H175" s="126">
        <v>12.010492623241252</v>
      </c>
    </row>
    <row r="176" spans="1:21" outlineLevel="1" x14ac:dyDescent="0.25">
      <c r="A176" s="153"/>
      <c r="B176" s="123">
        <v>64</v>
      </c>
      <c r="C176" s="124">
        <v>18.291810643448024</v>
      </c>
      <c r="D176" s="125">
        <v>17.201093860837858</v>
      </c>
      <c r="E176" s="125">
        <v>15.649496074476893</v>
      </c>
      <c r="F176" s="125">
        <v>14.302005083415544</v>
      </c>
      <c r="G176" s="125">
        <v>13.842486982603724</v>
      </c>
      <c r="H176" s="126">
        <v>12.594029440264238</v>
      </c>
    </row>
    <row r="177" spans="1:8" outlineLevel="1" x14ac:dyDescent="0.25">
      <c r="A177" s="153"/>
      <c r="B177" s="127">
        <v>65</v>
      </c>
      <c r="C177" s="128">
        <v>18.567411580420128</v>
      </c>
      <c r="D177" s="129">
        <v>17.547637260766546</v>
      </c>
      <c r="E177" s="129">
        <v>16.091863980080912</v>
      </c>
      <c r="F177" s="129">
        <v>14.822307598280929</v>
      </c>
      <c r="G177" s="129">
        <v>14.388155374480753</v>
      </c>
      <c r="H177" s="130">
        <v>13.205265663923768</v>
      </c>
    </row>
    <row r="178" spans="1:8" outlineLevel="1" x14ac:dyDescent="0.25">
      <c r="A178" s="131"/>
      <c r="B178" s="81"/>
      <c r="C178" s="125"/>
      <c r="D178" s="125"/>
      <c r="E178" s="125"/>
      <c r="F178" s="125"/>
      <c r="G178" s="125"/>
      <c r="H178" s="125"/>
    </row>
    <row r="179" spans="1:8" outlineLevel="1" x14ac:dyDescent="0.25">
      <c r="A179" s="131"/>
      <c r="B179" s="159"/>
      <c r="C179" s="125"/>
      <c r="D179" s="125"/>
      <c r="E179" s="125"/>
      <c r="F179" s="125"/>
      <c r="G179" s="125"/>
      <c r="H179" s="125"/>
    </row>
    <row r="180" spans="1:8" outlineLevel="1" x14ac:dyDescent="0.25">
      <c r="A180" s="131"/>
      <c r="C180" s="318" t="s">
        <v>193</v>
      </c>
      <c r="D180" s="319"/>
      <c r="E180" s="319"/>
      <c r="F180" s="320"/>
      <c r="G180" s="125"/>
      <c r="H180" s="125"/>
    </row>
    <row r="181" spans="1:8" outlineLevel="1" x14ac:dyDescent="0.25">
      <c r="A181" s="131"/>
      <c r="B181" s="132"/>
      <c r="C181" s="313" t="s">
        <v>69</v>
      </c>
      <c r="D181" s="314"/>
      <c r="E181" s="313" t="s">
        <v>70</v>
      </c>
      <c r="F181" s="314"/>
      <c r="G181" s="125"/>
      <c r="H181" s="125"/>
    </row>
    <row r="182" spans="1:8" outlineLevel="1" x14ac:dyDescent="0.25">
      <c r="A182" s="131"/>
      <c r="B182" s="71"/>
      <c r="C182" s="313" t="s">
        <v>195</v>
      </c>
      <c r="D182" s="314"/>
      <c r="E182" s="313" t="s">
        <v>195</v>
      </c>
      <c r="F182" s="314"/>
      <c r="H182" s="125"/>
    </row>
    <row r="183" spans="1:8" outlineLevel="1" x14ac:dyDescent="0.25">
      <c r="A183" s="131"/>
      <c r="B183" s="119" t="s">
        <v>194</v>
      </c>
      <c r="C183" s="133">
        <v>2.1999999999999999E-2</v>
      </c>
      <c r="D183" s="134">
        <v>4.1000000000000002E-2</v>
      </c>
      <c r="E183" s="133">
        <v>2.1999999999999999E-2</v>
      </c>
      <c r="F183" s="134">
        <v>4.1000000000000002E-2</v>
      </c>
      <c r="H183" s="125"/>
    </row>
    <row r="184" spans="1:8" outlineLevel="1" x14ac:dyDescent="0.25">
      <c r="A184" s="131"/>
      <c r="B184" s="135">
        <v>55</v>
      </c>
      <c r="C184" s="136">
        <v>19.994859508637305</v>
      </c>
      <c r="D184" s="137">
        <v>13.833505281564696</v>
      </c>
      <c r="E184" s="136">
        <v>20.410413852837273</v>
      </c>
      <c r="F184" s="137">
        <v>14.387684765584229</v>
      </c>
      <c r="H184" s="125"/>
    </row>
    <row r="185" spans="1:8" outlineLevel="1" x14ac:dyDescent="0.25">
      <c r="A185" s="131"/>
      <c r="B185" s="135">
        <f>B184+1</f>
        <v>56</v>
      </c>
      <c r="C185" s="136">
        <v>19.196652557398306</v>
      </c>
      <c r="D185" s="137">
        <v>13.108933277985999</v>
      </c>
      <c r="E185" s="136">
        <v>19.595172042320197</v>
      </c>
      <c r="F185" s="137">
        <v>13.633770516166727</v>
      </c>
      <c r="H185" s="125"/>
    </row>
    <row r="186" spans="1:8" outlineLevel="1" x14ac:dyDescent="0.25">
      <c r="A186" s="131"/>
      <c r="B186" s="135">
        <f t="shared" ref="B186:B194" si="1">B185+1</f>
        <v>57</v>
      </c>
      <c r="C186" s="136">
        <v>18.419653758855745</v>
      </c>
      <c r="D186" s="137">
        <v>12.415652623159414</v>
      </c>
      <c r="E186" s="136">
        <v>18.801591602606727</v>
      </c>
      <c r="F186" s="137">
        <v>12.912417912529969</v>
      </c>
      <c r="H186" s="125"/>
    </row>
    <row r="187" spans="1:8" outlineLevel="1" x14ac:dyDescent="0.25">
      <c r="A187" s="131"/>
      <c r="B187" s="135">
        <f t="shared" si="1"/>
        <v>58</v>
      </c>
      <c r="C187" s="136">
        <v>17.663205071579419</v>
      </c>
      <c r="D187" s="137">
        <v>11.75227937637278</v>
      </c>
      <c r="E187" s="136">
        <v>18.029025916623009</v>
      </c>
      <c r="F187" s="137">
        <v>12.222202063508929</v>
      </c>
      <c r="H187" s="125"/>
    </row>
    <row r="188" spans="1:8" outlineLevel="1" x14ac:dyDescent="0.25">
      <c r="A188" s="131"/>
      <c r="B188" s="135">
        <f t="shared" si="1"/>
        <v>59</v>
      </c>
      <c r="C188" s="136">
        <v>16.926541376338999</v>
      </c>
      <c r="D188" s="137">
        <v>11.117420837837575</v>
      </c>
      <c r="E188" s="136">
        <v>17.276690532989882</v>
      </c>
      <c r="F188" s="137">
        <v>11.561671460080543</v>
      </c>
      <c r="H188" s="125"/>
    </row>
    <row r="189" spans="1:8" outlineLevel="1" x14ac:dyDescent="0.25">
      <c r="A189" s="131"/>
      <c r="B189" s="135">
        <f t="shared" si="1"/>
        <v>60</v>
      </c>
      <c r="C189" s="136">
        <v>16.073074984694621</v>
      </c>
      <c r="D189" s="137">
        <v>10.413817205571789</v>
      </c>
      <c r="E189" s="136">
        <v>16.403891510131277</v>
      </c>
      <c r="F189" s="137">
        <v>10.828784587297935</v>
      </c>
      <c r="H189" s="125"/>
    </row>
    <row r="190" spans="1:8" outlineLevel="1" x14ac:dyDescent="0.25">
      <c r="A190" s="131"/>
      <c r="B190" s="135">
        <f t="shared" si="1"/>
        <v>61</v>
      </c>
      <c r="C190" s="136">
        <v>15.369184733377216</v>
      </c>
      <c r="D190" s="137">
        <v>9.8306763508921922</v>
      </c>
      <c r="E190" s="136">
        <v>15.685028857944916</v>
      </c>
      <c r="F190" s="137">
        <v>10.222080525321077</v>
      </c>
      <c r="G190" s="125"/>
      <c r="H190" s="125"/>
    </row>
    <row r="191" spans="1:8" outlineLevel="1" x14ac:dyDescent="0.25">
      <c r="A191" s="131"/>
      <c r="B191" s="135">
        <f t="shared" si="1"/>
        <v>62</v>
      </c>
      <c r="C191" s="136">
        <v>14.681990760584304</v>
      </c>
      <c r="D191" s="137">
        <v>9.2717222966171331</v>
      </c>
      <c r="E191" s="136">
        <v>14.983226817419624</v>
      </c>
      <c r="F191" s="137">
        <v>9.6405484370109455</v>
      </c>
      <c r="G191" s="125"/>
      <c r="H191" s="125"/>
    </row>
    <row r="192" spans="1:8" outlineLevel="1" x14ac:dyDescent="0.25">
      <c r="A192" s="131"/>
      <c r="B192" s="135">
        <f t="shared" si="1"/>
        <v>63</v>
      </c>
      <c r="C192" s="136">
        <v>14.010824108949006</v>
      </c>
      <c r="D192" s="137">
        <v>8.7358162562845507</v>
      </c>
      <c r="E192" s="136">
        <v>14.297799812399642</v>
      </c>
      <c r="F192" s="137">
        <v>9.0830018355527429</v>
      </c>
      <c r="G192" s="125"/>
      <c r="H192" s="125"/>
    </row>
    <row r="193" spans="1:8" outlineLevel="1" x14ac:dyDescent="0.25">
      <c r="A193" s="131"/>
      <c r="B193" s="135">
        <f t="shared" si="1"/>
        <v>64</v>
      </c>
      <c r="C193" s="136">
        <v>13.355630961796692</v>
      </c>
      <c r="D193" s="137">
        <v>8.2222196274561608</v>
      </c>
      <c r="E193" s="136">
        <v>13.628694829930447</v>
      </c>
      <c r="F193" s="137">
        <v>8.5486732811719435</v>
      </c>
      <c r="G193" s="125"/>
      <c r="H193" s="125"/>
    </row>
    <row r="194" spans="1:8" outlineLevel="1" x14ac:dyDescent="0.25">
      <c r="A194" s="131"/>
      <c r="B194" s="138">
        <f t="shared" si="1"/>
        <v>65</v>
      </c>
      <c r="C194" s="139">
        <v>12.716395486388292</v>
      </c>
      <c r="D194" s="140">
        <v>7.730241047131142</v>
      </c>
      <c r="E194" s="139">
        <v>12.975897855173629</v>
      </c>
      <c r="F194" s="140">
        <v>8.0368445641801891</v>
      </c>
      <c r="G194" s="125"/>
      <c r="H194" s="125"/>
    </row>
    <row r="195" spans="1:8" outlineLevel="1" x14ac:dyDescent="0.25">
      <c r="A195" s="131"/>
      <c r="B195" s="81"/>
      <c r="C195" s="125"/>
      <c r="D195" s="125"/>
      <c r="E195" s="125"/>
      <c r="F195" s="125"/>
      <c r="G195" s="125"/>
      <c r="H195" s="125"/>
    </row>
    <row r="196" spans="1:8" outlineLevel="1" x14ac:dyDescent="0.25">
      <c r="A196" s="131"/>
      <c r="B196" s="81"/>
      <c r="C196" s="125"/>
      <c r="D196" s="125"/>
      <c r="E196" s="125"/>
      <c r="F196" s="125"/>
      <c r="G196" s="125"/>
      <c r="H196" s="125"/>
    </row>
    <row r="197" spans="1:8" outlineLevel="1" x14ac:dyDescent="0.25">
      <c r="A197" s="131"/>
      <c r="B197" s="81"/>
      <c r="C197" s="318" t="s">
        <v>193</v>
      </c>
      <c r="D197" s="319"/>
      <c r="E197" s="319"/>
      <c r="F197" s="320"/>
      <c r="G197" s="125"/>
      <c r="H197" s="125"/>
    </row>
    <row r="198" spans="1:8" outlineLevel="1" x14ac:dyDescent="0.25">
      <c r="A198" s="131"/>
      <c r="B198" s="71"/>
      <c r="C198" s="315" t="s">
        <v>71</v>
      </c>
      <c r="D198" s="315"/>
      <c r="E198" s="315" t="s">
        <v>72</v>
      </c>
      <c r="F198" s="315"/>
      <c r="G198" s="125"/>
      <c r="H198" s="125"/>
    </row>
    <row r="199" spans="1:8" outlineLevel="1" x14ac:dyDescent="0.25">
      <c r="A199" s="131"/>
      <c r="B199" s="71"/>
      <c r="C199" s="316" t="s">
        <v>195</v>
      </c>
      <c r="D199" s="317"/>
      <c r="E199" s="316" t="s">
        <v>66</v>
      </c>
      <c r="F199" s="317"/>
      <c r="G199" s="125"/>
      <c r="H199" s="125"/>
    </row>
    <row r="200" spans="1:8" outlineLevel="1" x14ac:dyDescent="0.25">
      <c r="A200" s="131"/>
      <c r="B200" s="119" t="s">
        <v>194</v>
      </c>
      <c r="C200" s="133">
        <v>2.1999999999999999E-2</v>
      </c>
      <c r="D200" s="134">
        <v>4.1000000000000002E-2</v>
      </c>
      <c r="E200" s="133">
        <v>2.1999999999999999E-2</v>
      </c>
      <c r="F200" s="134">
        <v>4.1000000000000002E-2</v>
      </c>
      <c r="G200" s="125"/>
      <c r="H200" s="125"/>
    </row>
    <row r="201" spans="1:8" outlineLevel="1" x14ac:dyDescent="0.25">
      <c r="A201" s="131"/>
      <c r="B201" s="135">
        <v>60</v>
      </c>
      <c r="C201" s="136">
        <v>20.098808188076372</v>
      </c>
      <c r="D201" s="137">
        <v>15.997371483990086</v>
      </c>
      <c r="E201" s="136" t="s">
        <v>23</v>
      </c>
      <c r="F201" s="137" t="s">
        <v>23</v>
      </c>
      <c r="G201" s="125"/>
      <c r="H201" s="125"/>
    </row>
    <row r="202" spans="1:8" outlineLevel="1" x14ac:dyDescent="0.25">
      <c r="A202" s="131"/>
      <c r="B202" s="135">
        <v>61</v>
      </c>
      <c r="C202" s="136">
        <v>19.213592319822862</v>
      </c>
      <c r="D202" s="137">
        <v>15.097361356889113</v>
      </c>
      <c r="E202" s="136">
        <v>19.604935886325752</v>
      </c>
      <c r="F202" s="137">
        <v>15.695902752940864</v>
      </c>
      <c r="G202" s="125"/>
      <c r="H202" s="125"/>
    </row>
    <row r="203" spans="1:8" outlineLevel="1" x14ac:dyDescent="0.25">
      <c r="A203" s="131"/>
      <c r="B203" s="135">
        <v>62</v>
      </c>
      <c r="C203" s="136">
        <v>18.349064291042303</v>
      </c>
      <c r="D203" s="137">
        <v>14.234486655273169</v>
      </c>
      <c r="E203" s="136">
        <v>18.722684225774454</v>
      </c>
      <c r="F203" s="137">
        <v>14.798683246605215</v>
      </c>
      <c r="G203" s="125"/>
      <c r="H203" s="125"/>
    </row>
    <row r="204" spans="1:8" outlineLevel="1" x14ac:dyDescent="0.25">
      <c r="A204" s="131"/>
      <c r="B204" s="135">
        <v>63</v>
      </c>
      <c r="C204" s="136">
        <v>17.504396507534203</v>
      </c>
      <c r="D204" s="137">
        <v>13.407007033611622</v>
      </c>
      <c r="E204" s="136">
        <v>17.860626722044394</v>
      </c>
      <c r="F204" s="137">
        <v>13.938215938238642</v>
      </c>
      <c r="G204" s="125"/>
      <c r="H204" s="125"/>
    </row>
    <row r="205" spans="1:8" outlineLevel="1" x14ac:dyDescent="0.25">
      <c r="A205" s="131"/>
      <c r="B205" s="135">
        <v>64</v>
      </c>
      <c r="C205" s="136">
        <v>16.679623754777438</v>
      </c>
      <c r="D205" s="137">
        <v>12.613863400389496</v>
      </c>
      <c r="E205" s="136">
        <v>17.018797008326828</v>
      </c>
      <c r="F205" s="137">
        <v>13.113399627791745</v>
      </c>
      <c r="G205" s="125"/>
      <c r="H205" s="125"/>
    </row>
    <row r="206" spans="1:8" outlineLevel="1" x14ac:dyDescent="0.25">
      <c r="A206" s="131"/>
      <c r="B206" s="138">
        <v>65</v>
      </c>
      <c r="C206" s="139">
        <v>15.874838217994258</v>
      </c>
      <c r="D206" s="140">
        <v>11.854072697023812</v>
      </c>
      <c r="E206" s="139">
        <v>16.197290722619655</v>
      </c>
      <c r="F206" s="140">
        <v>12.323215324659872</v>
      </c>
      <c r="G206" s="125"/>
      <c r="H206" s="125"/>
    </row>
    <row r="207" spans="1:8" outlineLevel="1" x14ac:dyDescent="0.25">
      <c r="A207" s="131"/>
      <c r="B207" s="81"/>
      <c r="C207" s="125"/>
      <c r="D207" s="125"/>
      <c r="E207" s="125"/>
      <c r="F207" s="125"/>
      <c r="G207" s="125"/>
      <c r="H207" s="125"/>
    </row>
    <row r="210" spans="1:5" x14ac:dyDescent="0.25">
      <c r="A210" s="71" t="s">
        <v>73</v>
      </c>
      <c r="B210" s="71" t="s">
        <v>250</v>
      </c>
    </row>
    <row r="211" spans="1:5" x14ac:dyDescent="0.25">
      <c r="A211" s="71"/>
      <c r="B211" s="71"/>
    </row>
    <row r="212" spans="1:5" ht="15.6" x14ac:dyDescent="0.3">
      <c r="A212" s="71"/>
      <c r="B212" s="168" t="s">
        <v>214</v>
      </c>
      <c r="C212" s="169"/>
      <c r="D212" s="169"/>
      <c r="E212" s="169"/>
    </row>
    <row r="214" spans="1:5" x14ac:dyDescent="0.25">
      <c r="B214" s="71" t="s">
        <v>239</v>
      </c>
    </row>
    <row r="215" spans="1:5" x14ac:dyDescent="0.25">
      <c r="B215" s="56" t="s">
        <v>95</v>
      </c>
      <c r="C215" s="160">
        <f>'Question 2'!N35</f>
        <v>1875870</v>
      </c>
    </row>
    <row r="216" spans="1:5" x14ac:dyDescent="0.25">
      <c r="B216" s="56" t="s">
        <v>96</v>
      </c>
      <c r="C216" s="160">
        <f>ROUND('Question 2'!N36,0)</f>
        <v>1706599</v>
      </c>
    </row>
    <row r="217" spans="1:5" x14ac:dyDescent="0.25">
      <c r="B217" s="56" t="s">
        <v>97</v>
      </c>
      <c r="C217" s="160">
        <f>'Question 2'!N37</f>
        <v>127064.00448881909</v>
      </c>
      <c r="D217" s="177">
        <f>C217*0.05</f>
        <v>6353.200224440955</v>
      </c>
      <c r="E217" s="147">
        <f>'Question 2'!N154</f>
        <v>4941.2062708598851</v>
      </c>
    </row>
    <row r="218" spans="1:5" x14ac:dyDescent="0.25">
      <c r="C218" s="161"/>
      <c r="E218" s="115">
        <f>C272</f>
        <v>98835.175921350179</v>
      </c>
    </row>
    <row r="219" spans="1:5" x14ac:dyDescent="0.25">
      <c r="B219" s="71" t="s">
        <v>245</v>
      </c>
      <c r="C219" s="160">
        <f>ROUND('Question 2'!N38,0)</f>
        <v>42207</v>
      </c>
    </row>
    <row r="220" spans="1:5" x14ac:dyDescent="0.25">
      <c r="C220" s="141"/>
      <c r="E220" s="177">
        <f>C217+D217+E217-E218</f>
        <v>39523.235062769774</v>
      </c>
    </row>
    <row r="221" spans="1:5" x14ac:dyDescent="0.25">
      <c r="B221" s="71" t="s">
        <v>64</v>
      </c>
    </row>
    <row r="222" spans="1:5" x14ac:dyDescent="0.25">
      <c r="B222" s="56" t="s">
        <v>95</v>
      </c>
      <c r="C222" s="160">
        <f>'Question 2'!O42</f>
        <v>1875870</v>
      </c>
      <c r="E222" s="171"/>
    </row>
    <row r="223" spans="1:5" x14ac:dyDescent="0.25">
      <c r="B223" s="56" t="s">
        <v>102</v>
      </c>
      <c r="C223" s="160">
        <f>'Question 2'!O43</f>
        <v>200000</v>
      </c>
    </row>
    <row r="224" spans="1:5" x14ac:dyDescent="0.25">
      <c r="B224" s="56" t="s">
        <v>104</v>
      </c>
      <c r="C224" s="160">
        <f>'Question 2'!O45</f>
        <v>1463425.7074049127</v>
      </c>
    </row>
    <row r="225" spans="1:5" x14ac:dyDescent="0.25">
      <c r="C225" s="161"/>
    </row>
    <row r="226" spans="1:5" x14ac:dyDescent="0.25">
      <c r="B226" s="71" t="s">
        <v>244</v>
      </c>
      <c r="C226" s="160">
        <f>C222-C223-C224</f>
        <v>212444.29259508732</v>
      </c>
    </row>
    <row r="227" spans="1:5" x14ac:dyDescent="0.25">
      <c r="B227" s="71"/>
      <c r="C227" s="71"/>
    </row>
    <row r="228" spans="1:5" x14ac:dyDescent="0.25">
      <c r="B228" s="71" t="s">
        <v>251</v>
      </c>
    </row>
    <row r="229" spans="1:5" x14ac:dyDescent="0.25">
      <c r="B229" s="56" t="s">
        <v>95</v>
      </c>
      <c r="C229" s="160">
        <f>'Question 2'!N42</f>
        <v>1875870</v>
      </c>
    </row>
    <row r="230" spans="1:5" x14ac:dyDescent="0.25">
      <c r="B230" s="56" t="s">
        <v>102</v>
      </c>
      <c r="C230" s="160">
        <f>'Question 2'!N43</f>
        <v>200000</v>
      </c>
    </row>
    <row r="231" spans="1:5" x14ac:dyDescent="0.25">
      <c r="B231" s="56" t="s">
        <v>104</v>
      </c>
      <c r="C231" s="160">
        <f>'Question 2'!N45</f>
        <v>1869271.6133337086</v>
      </c>
    </row>
    <row r="232" spans="1:5" x14ac:dyDescent="0.25">
      <c r="C232" s="161"/>
    </row>
    <row r="233" spans="1:5" x14ac:dyDescent="0.25">
      <c r="B233" s="71" t="s">
        <v>252</v>
      </c>
      <c r="C233" s="160">
        <f>'Question 2'!N46</f>
        <v>-193401.61333370861</v>
      </c>
    </row>
    <row r="234" spans="1:5" x14ac:dyDescent="0.25">
      <c r="B234" s="71"/>
      <c r="C234" s="71"/>
    </row>
    <row r="236" spans="1:5" x14ac:dyDescent="0.25">
      <c r="A236" s="71" t="s">
        <v>74</v>
      </c>
      <c r="B236" s="71" t="s">
        <v>253</v>
      </c>
    </row>
    <row r="237" spans="1:5" x14ac:dyDescent="0.25">
      <c r="A237" s="71"/>
      <c r="B237" s="71"/>
    </row>
    <row r="238" spans="1:5" ht="15.6" x14ac:dyDescent="0.3">
      <c r="A238" s="71"/>
      <c r="B238" s="168" t="s">
        <v>214</v>
      </c>
      <c r="C238" s="169"/>
      <c r="D238" s="169"/>
      <c r="E238" s="169"/>
    </row>
    <row r="241" spans="1:5" x14ac:dyDescent="0.25">
      <c r="B241" s="71" t="s">
        <v>240</v>
      </c>
      <c r="C241" s="162">
        <f>'Question 2'!N64</f>
        <v>10361.702216946047</v>
      </c>
      <c r="E241" s="171"/>
    </row>
    <row r="242" spans="1:5" x14ac:dyDescent="0.25">
      <c r="B242" s="71"/>
      <c r="C242" s="141"/>
    </row>
    <row r="243" spans="1:5" x14ac:dyDescent="0.25">
      <c r="B243" s="71" t="s">
        <v>241</v>
      </c>
      <c r="C243" s="163">
        <f>'Question 2'!N69</f>
        <v>245970.19715270255</v>
      </c>
    </row>
    <row r="245" spans="1:5" x14ac:dyDescent="0.25">
      <c r="A245" s="71"/>
      <c r="B245" s="71" t="s">
        <v>243</v>
      </c>
    </row>
    <row r="246" spans="1:5" x14ac:dyDescent="0.25">
      <c r="B246" s="142"/>
    </row>
    <row r="247" spans="1:5" x14ac:dyDescent="0.25">
      <c r="B247" s="173" t="s">
        <v>254</v>
      </c>
    </row>
    <row r="248" spans="1:5" x14ac:dyDescent="0.25">
      <c r="B248" s="142" t="s">
        <v>202</v>
      </c>
      <c r="C248" s="143">
        <f>D21</f>
        <v>1875870</v>
      </c>
      <c r="E248" s="170"/>
    </row>
    <row r="249" spans="1:5" x14ac:dyDescent="0.25">
      <c r="B249" s="142" t="s">
        <v>217</v>
      </c>
      <c r="C249" s="164">
        <v>240000</v>
      </c>
    </row>
    <row r="250" spans="1:5" x14ac:dyDescent="0.25">
      <c r="B250" s="142" t="s">
        <v>76</v>
      </c>
      <c r="C250" s="164">
        <v>12300</v>
      </c>
    </row>
    <row r="251" spans="1:5" x14ac:dyDescent="0.25">
      <c r="B251" s="142" t="s">
        <v>77</v>
      </c>
      <c r="C251" s="164">
        <f>-(E35+F35)</f>
        <v>-78000</v>
      </c>
      <c r="D251" s="170"/>
    </row>
    <row r="252" spans="1:5" x14ac:dyDescent="0.25">
      <c r="B252" s="142" t="s">
        <v>197</v>
      </c>
      <c r="C252" s="164">
        <v>-25000</v>
      </c>
    </row>
    <row r="253" spans="1:5" x14ac:dyDescent="0.25">
      <c r="B253" s="142" t="s">
        <v>78</v>
      </c>
      <c r="C253" s="165">
        <v>-600000</v>
      </c>
    </row>
    <row r="254" spans="1:5" x14ac:dyDescent="0.25">
      <c r="B254" s="142" t="s">
        <v>196</v>
      </c>
      <c r="C254" s="143">
        <f>SUM(C248:C253)</f>
        <v>1425170</v>
      </c>
    </row>
    <row r="255" spans="1:5" x14ac:dyDescent="0.25">
      <c r="B255" s="142"/>
    </row>
    <row r="256" spans="1:5" x14ac:dyDescent="0.25">
      <c r="B256" s="173" t="s">
        <v>255</v>
      </c>
    </row>
    <row r="257" spans="1:5" x14ac:dyDescent="0.25">
      <c r="B257" s="142" t="s">
        <v>79</v>
      </c>
    </row>
    <row r="258" spans="1:5" x14ac:dyDescent="0.25">
      <c r="B258" s="142" t="s">
        <v>264</v>
      </c>
      <c r="C258" s="176"/>
    </row>
    <row r="259" spans="1:5" x14ac:dyDescent="0.25">
      <c r="B259" s="142" t="s">
        <v>203</v>
      </c>
    </row>
    <row r="260" spans="1:5" x14ac:dyDescent="0.25">
      <c r="B260" s="142" t="s">
        <v>198</v>
      </c>
    </row>
    <row r="261" spans="1:5" x14ac:dyDescent="0.25">
      <c r="B261" s="142"/>
    </row>
    <row r="262" spans="1:5" x14ac:dyDescent="0.25">
      <c r="B262" s="142" t="s">
        <v>256</v>
      </c>
    </row>
    <row r="263" spans="1:5" x14ac:dyDescent="0.25">
      <c r="B263" s="142"/>
    </row>
    <row r="264" spans="1:5" x14ac:dyDescent="0.25">
      <c r="A264" s="71" t="s">
        <v>75</v>
      </c>
      <c r="B264" s="166" t="s">
        <v>257</v>
      </c>
    </row>
    <row r="265" spans="1:5" x14ac:dyDescent="0.25">
      <c r="B265" s="166"/>
    </row>
    <row r="266" spans="1:5" ht="15.6" x14ac:dyDescent="0.3">
      <c r="B266" s="168" t="s">
        <v>214</v>
      </c>
      <c r="C266" s="169"/>
      <c r="D266" s="169"/>
      <c r="E266" s="169"/>
    </row>
    <row r="268" spans="1:5" x14ac:dyDescent="0.25">
      <c r="B268" s="71" t="s">
        <v>239</v>
      </c>
    </row>
    <row r="269" spans="1:5" x14ac:dyDescent="0.25">
      <c r="B269" s="71"/>
    </row>
    <row r="270" spans="1:5" x14ac:dyDescent="0.25">
      <c r="B270" s="56" t="s">
        <v>95</v>
      </c>
      <c r="C270" s="162">
        <f>'Question 2'!N104</f>
        <v>1425170</v>
      </c>
    </row>
    <row r="271" spans="1:5" x14ac:dyDescent="0.25">
      <c r="B271" s="56" t="s">
        <v>96</v>
      </c>
      <c r="C271" s="162">
        <f>'Question 2'!N105</f>
        <v>1331800.9541576183</v>
      </c>
    </row>
    <row r="272" spans="1:5" x14ac:dyDescent="0.25">
      <c r="B272" s="57" t="s">
        <v>97</v>
      </c>
      <c r="C272" s="162">
        <f>'Question 2'!N106</f>
        <v>98835.175921350179</v>
      </c>
    </row>
    <row r="273" spans="1:5" x14ac:dyDescent="0.25">
      <c r="B273" s="57"/>
      <c r="C273" s="167"/>
    </row>
    <row r="274" spans="1:5" x14ac:dyDescent="0.25">
      <c r="B274" s="56" t="s">
        <v>98</v>
      </c>
      <c r="C274" s="162">
        <f>'Question 2'!N107</f>
        <v>-5466.1300789685192</v>
      </c>
    </row>
    <row r="277" spans="1:5" ht="52.8" x14ac:dyDescent="0.25">
      <c r="A277" s="71" t="s">
        <v>80</v>
      </c>
      <c r="B277" s="179" t="s">
        <v>258</v>
      </c>
    </row>
    <row r="279" spans="1:5" ht="15.6" x14ac:dyDescent="0.3">
      <c r="B279" s="168" t="s">
        <v>214</v>
      </c>
      <c r="C279" s="169"/>
      <c r="D279" s="169"/>
      <c r="E279" s="169"/>
    </row>
    <row r="280" spans="1:5" ht="15.6" x14ac:dyDescent="0.25">
      <c r="B280" s="144"/>
      <c r="C280" s="145"/>
      <c r="D280" s="146"/>
      <c r="E280" s="145"/>
    </row>
    <row r="281" spans="1:5" x14ac:dyDescent="0.25">
      <c r="B281" s="174" t="s">
        <v>216</v>
      </c>
      <c r="C281" s="162">
        <f>'Question 2'!P129</f>
        <v>42207</v>
      </c>
      <c r="E281" s="171"/>
    </row>
    <row r="282" spans="1:5" x14ac:dyDescent="0.25">
      <c r="B282" s="175" t="s">
        <v>125</v>
      </c>
      <c r="C282" s="162">
        <f>'Question 2'!P130</f>
        <v>2111</v>
      </c>
    </row>
    <row r="283" spans="1:5" hidden="1" x14ac:dyDescent="0.25">
      <c r="B283" s="175" t="s">
        <v>215</v>
      </c>
      <c r="C283" s="162"/>
    </row>
    <row r="284" spans="1:5" x14ac:dyDescent="0.25">
      <c r="B284" s="175" t="s">
        <v>261</v>
      </c>
      <c r="C284" s="162">
        <f>'Question 2'!P131</f>
        <v>0</v>
      </c>
    </row>
    <row r="285" spans="1:5" x14ac:dyDescent="0.25">
      <c r="B285" s="174" t="s">
        <v>262</v>
      </c>
      <c r="C285" s="162">
        <f>'Question 2'!P132</f>
        <v>44318</v>
      </c>
    </row>
    <row r="286" spans="1:5" x14ac:dyDescent="0.25">
      <c r="C286" s="147"/>
    </row>
    <row r="287" spans="1:5" x14ac:dyDescent="0.25">
      <c r="B287" s="71" t="s">
        <v>242</v>
      </c>
      <c r="C287" s="71"/>
    </row>
    <row r="288" spans="1:5" x14ac:dyDescent="0.25">
      <c r="B288" s="148" t="s">
        <v>126</v>
      </c>
      <c r="C288" s="162">
        <f>'Question 2'!P148</f>
        <v>-697481</v>
      </c>
    </row>
    <row r="289" spans="1:3" x14ac:dyDescent="0.25">
      <c r="B289" s="148" t="s">
        <v>127</v>
      </c>
      <c r="C289" s="162">
        <f>'Question 2'!P142</f>
        <v>-3155</v>
      </c>
    </row>
    <row r="290" spans="1:3" x14ac:dyDescent="0.25">
      <c r="B290" s="148" t="s">
        <v>128</v>
      </c>
      <c r="C290" s="162">
        <f>'Question 2'!P143</f>
        <v>-31697</v>
      </c>
    </row>
    <row r="291" spans="1:3" x14ac:dyDescent="0.25">
      <c r="B291" s="148" t="s">
        <v>129</v>
      </c>
      <c r="C291" s="162">
        <f>'Question 2'!P144</f>
        <v>475741</v>
      </c>
    </row>
    <row r="292" spans="1:3" x14ac:dyDescent="0.25">
      <c r="B292" s="148" t="s">
        <v>153</v>
      </c>
      <c r="C292" s="162">
        <f>'Question 2'!P145</f>
        <v>-4672</v>
      </c>
    </row>
    <row r="293" spans="1:3" x14ac:dyDescent="0.25">
      <c r="B293" s="148" t="s">
        <v>130</v>
      </c>
      <c r="C293" s="162">
        <f>'Question 2'!P138</f>
        <v>-15370</v>
      </c>
    </row>
    <row r="294" spans="1:3" x14ac:dyDescent="0.25">
      <c r="B294" s="148" t="s">
        <v>221</v>
      </c>
      <c r="C294" s="162">
        <f>'Question 2'!P140</f>
        <v>39523</v>
      </c>
    </row>
    <row r="295" spans="1:3" x14ac:dyDescent="0.25">
      <c r="B295" s="148" t="s">
        <v>279</v>
      </c>
      <c r="C295" s="162">
        <f>'Question 2'!P134</f>
        <v>187327</v>
      </c>
    </row>
    <row r="296" spans="1:3" x14ac:dyDescent="0.25">
      <c r="B296" s="149" t="s">
        <v>131</v>
      </c>
      <c r="C296" s="162">
        <f>SUM(C288:C295)</f>
        <v>-49784</v>
      </c>
    </row>
    <row r="297" spans="1:3" x14ac:dyDescent="0.25">
      <c r="B297" s="150"/>
    </row>
    <row r="298" spans="1:3" x14ac:dyDescent="0.25">
      <c r="B298" s="174" t="s">
        <v>263</v>
      </c>
      <c r="C298" s="162">
        <f>C296+C285</f>
        <v>-5466</v>
      </c>
    </row>
    <row r="299" spans="1:3" x14ac:dyDescent="0.25">
      <c r="B299" s="150"/>
    </row>
    <row r="300" spans="1:3" x14ac:dyDescent="0.25">
      <c r="B300" s="150"/>
    </row>
    <row r="301" spans="1:3" x14ac:dyDescent="0.25">
      <c r="B301" s="71" t="s">
        <v>259</v>
      </c>
    </row>
    <row r="303" spans="1:3" x14ac:dyDescent="0.25">
      <c r="A303" s="71" t="s">
        <v>81</v>
      </c>
      <c r="B303" s="71" t="s">
        <v>260</v>
      </c>
    </row>
    <row r="305" spans="2:2" x14ac:dyDescent="0.25">
      <c r="B305" s="162" t="s">
        <v>280</v>
      </c>
    </row>
  </sheetData>
  <mergeCells count="38">
    <mergeCell ref="B74:C74"/>
    <mergeCell ref="D74:E74"/>
    <mergeCell ref="B3:F3"/>
    <mergeCell ref="C56:D57"/>
    <mergeCell ref="C58:D58"/>
    <mergeCell ref="B69:C69"/>
    <mergeCell ref="D69:E69"/>
    <mergeCell ref="B70:E70"/>
    <mergeCell ref="B71:C71"/>
    <mergeCell ref="D71:E71"/>
    <mergeCell ref="B72:C72"/>
    <mergeCell ref="D72:E72"/>
    <mergeCell ref="B73:E73"/>
    <mergeCell ref="C123:H123"/>
    <mergeCell ref="B75:C75"/>
    <mergeCell ref="D75:E75"/>
    <mergeCell ref="B76:E76"/>
    <mergeCell ref="B77:C77"/>
    <mergeCell ref="D77:E77"/>
    <mergeCell ref="B78:C78"/>
    <mergeCell ref="D78:E78"/>
    <mergeCell ref="B79:C79"/>
    <mergeCell ref="D79:E79"/>
    <mergeCell ref="B80:C80"/>
    <mergeCell ref="D80:E80"/>
    <mergeCell ref="C91:H91"/>
    <mergeCell ref="C154:H154"/>
    <mergeCell ref="C155:H155"/>
    <mergeCell ref="C181:D181"/>
    <mergeCell ref="E181:F181"/>
    <mergeCell ref="C180:F180"/>
    <mergeCell ref="C182:D182"/>
    <mergeCell ref="E182:F182"/>
    <mergeCell ref="C198:D198"/>
    <mergeCell ref="E198:F198"/>
    <mergeCell ref="C199:D199"/>
    <mergeCell ref="E199:F199"/>
    <mergeCell ref="C197:F19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28D8F-5633-4C4A-A3FD-CBEA677D542A}">
  <dimension ref="A1:U151"/>
  <sheetViews>
    <sheetView topLeftCell="A115" zoomScale="85" zoomScaleNormal="85" workbookViewId="0">
      <selection activeCell="Q146" sqref="Q146"/>
    </sheetView>
  </sheetViews>
  <sheetFormatPr defaultColWidth="8.6640625" defaultRowHeight="11.4" outlineLevelRow="1" x14ac:dyDescent="0.2"/>
  <cols>
    <col min="1" max="1" width="11.5546875" style="1" customWidth="1"/>
    <col min="2" max="2" width="15.33203125" style="1" bestFit="1" customWidth="1"/>
    <col min="3" max="3" width="15.6640625" style="1" bestFit="1" customWidth="1"/>
    <col min="4" max="4" width="17.5546875" style="1" bestFit="1" customWidth="1"/>
    <col min="5" max="6" width="11.5546875" style="1" customWidth="1"/>
    <col min="7" max="7" width="15.33203125" style="1" bestFit="1" customWidth="1"/>
    <col min="8" max="8" width="19.33203125" style="1" bestFit="1" customWidth="1"/>
    <col min="9" max="11" width="11.5546875" style="1" customWidth="1"/>
    <col min="12" max="12" width="13.109375" style="1" bestFit="1" customWidth="1"/>
    <col min="13" max="13" width="13.6640625" style="1" bestFit="1" customWidth="1"/>
    <col min="14" max="16" width="11.5546875" style="1" customWidth="1"/>
    <col min="17" max="18" width="11.33203125" style="1" bestFit="1" customWidth="1"/>
    <col min="19" max="19" width="8.6640625" style="1"/>
    <col min="20" max="20" width="7.5546875" style="1" bestFit="1" customWidth="1"/>
    <col min="21" max="22" width="11.33203125" style="1" bestFit="1" customWidth="1"/>
    <col min="23" max="16384" width="8.6640625" style="1"/>
  </cols>
  <sheetData>
    <row r="1" spans="1:19" s="29" customFormat="1" ht="12" x14ac:dyDescent="0.25">
      <c r="A1" s="28" t="s">
        <v>138</v>
      </c>
    </row>
    <row r="2" spans="1:19" x14ac:dyDescent="0.2">
      <c r="A2" s="2"/>
      <c r="B2" s="2"/>
    </row>
    <row r="3" spans="1:19" ht="12" x14ac:dyDescent="0.25">
      <c r="A3" s="33" t="s">
        <v>204</v>
      </c>
      <c r="B3" s="2"/>
    </row>
    <row r="4" spans="1:19" ht="12" x14ac:dyDescent="0.25">
      <c r="A4" s="33"/>
      <c r="B4" s="2"/>
    </row>
    <row r="5" spans="1:19" outlineLevel="1" x14ac:dyDescent="0.2">
      <c r="A5" s="3" t="s">
        <v>139</v>
      </c>
    </row>
    <row r="6" spans="1:19" outlineLevel="1" x14ac:dyDescent="0.2"/>
    <row r="7" spans="1:19" ht="14.4" outlineLevel="1" x14ac:dyDescent="0.3">
      <c r="I7" s="342" t="s">
        <v>82</v>
      </c>
      <c r="J7" s="342"/>
      <c r="K7" s="342"/>
      <c r="L7" s="342" t="s">
        <v>207</v>
      </c>
      <c r="M7" s="342"/>
      <c r="N7" s="342"/>
      <c r="Q7" s="3" t="s">
        <v>141</v>
      </c>
      <c r="R7"/>
      <c r="S7"/>
    </row>
    <row r="8" spans="1:19" s="6" customFormat="1" ht="12" outlineLevel="1" x14ac:dyDescent="0.25">
      <c r="A8" s="6" t="s">
        <v>142</v>
      </c>
      <c r="B8" s="6" t="s">
        <v>143</v>
      </c>
      <c r="C8" s="6" t="s">
        <v>144</v>
      </c>
      <c r="D8" s="6" t="s">
        <v>145</v>
      </c>
      <c r="E8" s="6" t="s">
        <v>146</v>
      </c>
      <c r="F8" s="6" t="s">
        <v>147</v>
      </c>
      <c r="G8" s="6" t="s">
        <v>148</v>
      </c>
      <c r="H8" s="6" t="s">
        <v>149</v>
      </c>
      <c r="I8" s="6" t="s">
        <v>150</v>
      </c>
      <c r="J8" s="7" t="s">
        <v>151</v>
      </c>
      <c r="K8" s="7" t="s">
        <v>152</v>
      </c>
      <c r="L8" s="6" t="s">
        <v>150</v>
      </c>
      <c r="M8" s="7" t="s">
        <v>151</v>
      </c>
      <c r="N8" s="7" t="s">
        <v>152</v>
      </c>
    </row>
    <row r="9" spans="1:19" outlineLevel="1" x14ac:dyDescent="0.2">
      <c r="A9" s="6">
        <v>49</v>
      </c>
      <c r="B9" s="6" t="s">
        <v>153</v>
      </c>
      <c r="C9" s="1">
        <f>A9-$Q$14</f>
        <v>0</v>
      </c>
      <c r="D9" s="31">
        <f>AVERAGE(R10:R14)</f>
        <v>68000</v>
      </c>
      <c r="E9" s="9">
        <f>'Question 2'!$C$34</f>
        <v>15</v>
      </c>
      <c r="F9" s="10">
        <f>2%*E9*D9</f>
        <v>20400</v>
      </c>
      <c r="G9" s="11">
        <f>(1+'Question 2'!$C$44)^-C9</f>
        <v>1</v>
      </c>
      <c r="H9" s="44">
        <f>'Question 2'!D54</f>
        <v>0.05</v>
      </c>
      <c r="I9" s="10">
        <f>'Question 2'!E161</f>
        <v>10.273029525549545</v>
      </c>
      <c r="J9" s="8">
        <f>H9*I9*F9*G9</f>
        <v>10478.490116060535</v>
      </c>
      <c r="K9" s="31">
        <f>J9/E9</f>
        <v>698.56600773736898</v>
      </c>
      <c r="L9" s="13">
        <f>'Question 2'!H161</f>
        <v>6.1704436611219844</v>
      </c>
      <c r="M9" s="47">
        <f>H9*L9*F9*G9</f>
        <v>6293.8525343444244</v>
      </c>
      <c r="N9" s="48">
        <f>M9/E9</f>
        <v>419.59016895629497</v>
      </c>
      <c r="Q9" s="4" t="s">
        <v>34</v>
      </c>
      <c r="R9" s="4" t="s">
        <v>127</v>
      </c>
    </row>
    <row r="10" spans="1:19" outlineLevel="1" x14ac:dyDescent="0.2">
      <c r="A10" s="6">
        <v>64</v>
      </c>
      <c r="B10" s="6" t="s">
        <v>154</v>
      </c>
      <c r="C10" s="1">
        <f>A10-$Q$14</f>
        <v>15</v>
      </c>
      <c r="D10" s="31">
        <f>AVERAGE(R25:R29)</f>
        <v>125072.69602954303</v>
      </c>
      <c r="E10" s="9">
        <f>'Question 2'!$C$34</f>
        <v>15</v>
      </c>
      <c r="F10" s="10">
        <f>2%*E10*D10</f>
        <v>37521.808808862908</v>
      </c>
      <c r="G10" s="11">
        <f>(1+'Question 2'!$C$44)^-C10</f>
        <v>0.48101709809097021</v>
      </c>
      <c r="H10" s="44">
        <f>(1-H9)*'Question 2'!D51</f>
        <v>0.47499999999999998</v>
      </c>
      <c r="I10" s="10">
        <f>'Question 2'!E145</f>
        <v>16.529733475817888</v>
      </c>
      <c r="J10" s="8">
        <f>H10*I10*F10*G10</f>
        <v>141711.05813546578</v>
      </c>
      <c r="K10" s="31">
        <f>J10/E10</f>
        <v>9447.4038756977188</v>
      </c>
      <c r="L10" s="13">
        <f>'Question 2'!H145</f>
        <v>13.487211414709467</v>
      </c>
      <c r="M10" s="47">
        <f>H10*L10*F10*G10</f>
        <v>115627.21223976908</v>
      </c>
      <c r="N10" s="48">
        <f>M10/E10</f>
        <v>7708.4808159846052</v>
      </c>
      <c r="R10" s="5">
        <f>'Question 2'!C29</f>
        <v>63000</v>
      </c>
    </row>
    <row r="11" spans="1:19" outlineLevel="1" x14ac:dyDescent="0.2">
      <c r="A11" s="3">
        <v>65</v>
      </c>
      <c r="B11" s="15" t="s">
        <v>154</v>
      </c>
      <c r="C11" s="3">
        <f>A11-$Q$14</f>
        <v>16</v>
      </c>
      <c r="D11" s="41">
        <f>AVERAGE(R26:R30)</f>
        <v>130075.60387072476</v>
      </c>
      <c r="E11" s="17">
        <f>'Question 2'!$C$34</f>
        <v>15</v>
      </c>
      <c r="F11" s="18">
        <f>2%*E11*D11</f>
        <v>39022.681161217428</v>
      </c>
      <c r="G11" s="11">
        <f>(1+'Question 2'!$C$44)^-C11</f>
        <v>0.45811152199140021</v>
      </c>
      <c r="H11" s="45">
        <f>(1-H9)*(1-'Question 2'!D51)*'Question 2'!$D$52</f>
        <v>0.47499999999999998</v>
      </c>
      <c r="I11" s="10">
        <f>'Question 2'!E146</f>
        <v>16.091863980080912</v>
      </c>
      <c r="J11" s="43">
        <f>H11*I11*F11*G11</f>
        <v>136643.28145332274</v>
      </c>
      <c r="K11" s="41">
        <f>J11/E11</f>
        <v>9109.5520968881829</v>
      </c>
      <c r="L11" s="13">
        <f>'Question 2'!H146</f>
        <v>13.205265663923768</v>
      </c>
      <c r="M11" s="47">
        <f>H11*L11*F11*G11</f>
        <v>112131.87204509054</v>
      </c>
      <c r="N11" s="49">
        <f>M11/E11</f>
        <v>7475.458136339369</v>
      </c>
      <c r="R11" s="5">
        <f>'Question 2'!C30</f>
        <v>65000</v>
      </c>
    </row>
    <row r="12" spans="1:19" ht="12" outlineLevel="1" x14ac:dyDescent="0.25">
      <c r="J12" s="52">
        <f>SUM(J9:J11)</f>
        <v>288832.82970484905</v>
      </c>
      <c r="K12" s="51">
        <f>SUM(K9:K11)</f>
        <v>19255.521980323269</v>
      </c>
      <c r="M12" s="50">
        <f>SUM(M9:M11)</f>
        <v>234052.93681920404</v>
      </c>
      <c r="N12" s="50">
        <f>SUM(N9:N11)</f>
        <v>15603.529121280269</v>
      </c>
      <c r="R12" s="5">
        <f>'Question 2'!C31</f>
        <v>67000</v>
      </c>
    </row>
    <row r="13" spans="1:19" outlineLevel="1" x14ac:dyDescent="0.2">
      <c r="J13" s="24"/>
      <c r="R13" s="5">
        <f>'Question 2'!C32</f>
        <v>70000</v>
      </c>
    </row>
    <row r="14" spans="1:19" outlineLevel="1" x14ac:dyDescent="0.2">
      <c r="A14" s="3" t="s">
        <v>155</v>
      </c>
      <c r="Q14" s="20">
        <f>'Question 2'!C28</f>
        <v>49</v>
      </c>
      <c r="R14" s="21">
        <f>'Question 2'!C33</f>
        <v>75000</v>
      </c>
    </row>
    <row r="15" spans="1:19" outlineLevel="1" x14ac:dyDescent="0.2">
      <c r="G15" s="341" t="s">
        <v>82</v>
      </c>
      <c r="H15" s="341"/>
      <c r="I15" s="341" t="s">
        <v>83</v>
      </c>
      <c r="J15" s="341"/>
      <c r="Q15" s="2">
        <f t="shared" ref="Q15:Q30" si="0">Q14+1</f>
        <v>50</v>
      </c>
      <c r="R15" s="23">
        <f>R14*(1+'Question 2'!$C$46)</f>
        <v>78000</v>
      </c>
    </row>
    <row r="16" spans="1:19" outlineLevel="1" x14ac:dyDescent="0.2">
      <c r="A16" s="6" t="s">
        <v>142</v>
      </c>
      <c r="B16" s="6" t="s">
        <v>145</v>
      </c>
      <c r="C16" s="6" t="s">
        <v>156</v>
      </c>
      <c r="D16" s="6" t="s">
        <v>157</v>
      </c>
      <c r="E16" s="6" t="s">
        <v>158</v>
      </c>
      <c r="F16" s="6" t="s">
        <v>159</v>
      </c>
      <c r="G16" s="6" t="s">
        <v>150</v>
      </c>
      <c r="H16" s="6" t="s">
        <v>151</v>
      </c>
      <c r="I16" s="6" t="s">
        <v>150</v>
      </c>
      <c r="J16" s="6" t="s">
        <v>151</v>
      </c>
      <c r="Q16" s="2">
        <f t="shared" si="0"/>
        <v>51</v>
      </c>
      <c r="R16" s="23">
        <f>R15*(1+'Question 2'!$C$46)</f>
        <v>81120</v>
      </c>
    </row>
    <row r="17" spans="1:18" outlineLevel="1" x14ac:dyDescent="0.2">
      <c r="A17" s="2">
        <v>55</v>
      </c>
      <c r="B17" s="23">
        <f t="shared" ref="B17:B27" si="1">AVERAGE($R$10:$R$14)</f>
        <v>68000</v>
      </c>
      <c r="C17" s="1">
        <f>'Question 2'!$C$34</f>
        <v>15</v>
      </c>
      <c r="D17" s="2">
        <f t="shared" ref="D17:D27" si="2">A17-$Q$14+C17</f>
        <v>21</v>
      </c>
      <c r="E17" s="1">
        <f t="shared" ref="E17:E27" si="3">MIN(1-($D$26-D17)*3%,1)</f>
        <v>0.73</v>
      </c>
      <c r="F17" s="5">
        <f t="shared" ref="F17:F27" si="4">2%*B17*C17*E17</f>
        <v>14892</v>
      </c>
      <c r="G17" s="46">
        <f>'Question 2'!C184</f>
        <v>19.994859508637305</v>
      </c>
      <c r="H17" s="32">
        <f>F17*G17</f>
        <v>297763.44780262676</v>
      </c>
      <c r="I17" s="46">
        <f>'Question 2'!D184</f>
        <v>13.833505281564696</v>
      </c>
      <c r="J17" s="32">
        <f>F17*I17</f>
        <v>206008.56065306146</v>
      </c>
      <c r="Q17" s="2">
        <f t="shared" si="0"/>
        <v>52</v>
      </c>
      <c r="R17" s="23">
        <f>R16*(1+'Question 2'!$C$46)</f>
        <v>84364.800000000003</v>
      </c>
    </row>
    <row r="18" spans="1:18" outlineLevel="1" x14ac:dyDescent="0.2">
      <c r="A18" s="2">
        <f>A17+1</f>
        <v>56</v>
      </c>
      <c r="B18" s="23">
        <f t="shared" si="1"/>
        <v>68000</v>
      </c>
      <c r="C18" s="1">
        <f>'Question 2'!$C$34</f>
        <v>15</v>
      </c>
      <c r="D18" s="2">
        <f t="shared" si="2"/>
        <v>22</v>
      </c>
      <c r="E18" s="1">
        <f t="shared" si="3"/>
        <v>0.76</v>
      </c>
      <c r="F18" s="5">
        <f t="shared" si="4"/>
        <v>15504</v>
      </c>
      <c r="G18" s="46">
        <f>'Question 2'!C185</f>
        <v>19.196652557398306</v>
      </c>
      <c r="H18" s="32">
        <f t="shared" ref="H18:H27" si="5">F18*G18</f>
        <v>297624.90124990331</v>
      </c>
      <c r="I18" s="46">
        <f>'Question 2'!D185</f>
        <v>13.108933277985999</v>
      </c>
      <c r="J18" s="32">
        <f t="shared" ref="J18:J27" si="6">F18*I18</f>
        <v>203240.90154189494</v>
      </c>
      <c r="Q18" s="2">
        <f t="shared" si="0"/>
        <v>53</v>
      </c>
      <c r="R18" s="23">
        <f>R17*(1+'Question 2'!$C$46)</f>
        <v>87739.392000000007</v>
      </c>
    </row>
    <row r="19" spans="1:18" outlineLevel="1" x14ac:dyDescent="0.2">
      <c r="A19" s="2">
        <f t="shared" ref="A19:A27" si="7">A18+1</f>
        <v>57</v>
      </c>
      <c r="B19" s="23">
        <f t="shared" si="1"/>
        <v>68000</v>
      </c>
      <c r="C19" s="1">
        <f>'Question 2'!$C$34</f>
        <v>15</v>
      </c>
      <c r="D19" s="2">
        <f t="shared" si="2"/>
        <v>23</v>
      </c>
      <c r="E19" s="1">
        <f t="shared" si="3"/>
        <v>0.79</v>
      </c>
      <c r="F19" s="5">
        <f t="shared" si="4"/>
        <v>16116</v>
      </c>
      <c r="G19" s="46">
        <f>'Question 2'!C186</f>
        <v>18.419653758855745</v>
      </c>
      <c r="H19" s="32">
        <f t="shared" si="5"/>
        <v>296851.13997771917</v>
      </c>
      <c r="I19" s="46">
        <f>'Question 2'!D186</f>
        <v>12.415652623159414</v>
      </c>
      <c r="J19" s="32">
        <f t="shared" si="6"/>
        <v>200090.6576748371</v>
      </c>
      <c r="Q19" s="2">
        <f t="shared" si="0"/>
        <v>54</v>
      </c>
      <c r="R19" s="23">
        <f>R18*(1+'Question 2'!$C$46)</f>
        <v>91248.967680000016</v>
      </c>
    </row>
    <row r="20" spans="1:18" outlineLevel="1" x14ac:dyDescent="0.2">
      <c r="A20" s="2">
        <f t="shared" si="7"/>
        <v>58</v>
      </c>
      <c r="B20" s="23">
        <f t="shared" si="1"/>
        <v>68000</v>
      </c>
      <c r="C20" s="1">
        <f>'Question 2'!$C$34</f>
        <v>15</v>
      </c>
      <c r="D20" s="2">
        <f t="shared" si="2"/>
        <v>24</v>
      </c>
      <c r="E20" s="1">
        <f t="shared" si="3"/>
        <v>0.82000000000000006</v>
      </c>
      <c r="F20" s="5">
        <f t="shared" si="4"/>
        <v>16728</v>
      </c>
      <c r="G20" s="46">
        <f>'Question 2'!C187</f>
        <v>17.663205071579419</v>
      </c>
      <c r="H20" s="32">
        <f t="shared" si="5"/>
        <v>295470.09443738055</v>
      </c>
      <c r="I20" s="46">
        <f>'Question 2'!D187</f>
        <v>11.75227937637278</v>
      </c>
      <c r="J20" s="32">
        <f t="shared" si="6"/>
        <v>196592.12940796386</v>
      </c>
      <c r="Q20" s="2">
        <f t="shared" si="0"/>
        <v>55</v>
      </c>
      <c r="R20" s="23">
        <f>R19*(1+'Question 2'!$C$46)</f>
        <v>94898.926387200016</v>
      </c>
    </row>
    <row r="21" spans="1:18" outlineLevel="1" x14ac:dyDescent="0.2">
      <c r="A21" s="2">
        <f t="shared" si="7"/>
        <v>59</v>
      </c>
      <c r="B21" s="23">
        <f t="shared" si="1"/>
        <v>68000</v>
      </c>
      <c r="C21" s="1">
        <f>'Question 2'!$C$34</f>
        <v>15</v>
      </c>
      <c r="D21" s="2">
        <f t="shared" si="2"/>
        <v>25</v>
      </c>
      <c r="E21" s="1">
        <f t="shared" si="3"/>
        <v>0.85</v>
      </c>
      <c r="F21" s="5">
        <f t="shared" si="4"/>
        <v>17340</v>
      </c>
      <c r="G21" s="46">
        <f>'Question 2'!C188</f>
        <v>16.926541376338999</v>
      </c>
      <c r="H21" s="32">
        <f t="shared" si="5"/>
        <v>293506.22746571823</v>
      </c>
      <c r="I21" s="46">
        <f>'Question 2'!D188</f>
        <v>11.117420837837575</v>
      </c>
      <c r="J21" s="32">
        <f t="shared" si="6"/>
        <v>192776.07732810354</v>
      </c>
      <c r="Q21" s="2">
        <f t="shared" si="0"/>
        <v>56</v>
      </c>
      <c r="R21" s="23">
        <f>R20*(1+'Question 2'!$C$46)</f>
        <v>98694.88344268802</v>
      </c>
    </row>
    <row r="22" spans="1:18" outlineLevel="1" x14ac:dyDescent="0.2">
      <c r="A22" s="2">
        <f t="shared" si="7"/>
        <v>60</v>
      </c>
      <c r="B22" s="23">
        <f t="shared" si="1"/>
        <v>68000</v>
      </c>
      <c r="C22" s="1">
        <f>'Question 2'!$C$34</f>
        <v>15</v>
      </c>
      <c r="D22" s="2">
        <f t="shared" si="2"/>
        <v>26</v>
      </c>
      <c r="E22" s="1">
        <f t="shared" si="3"/>
        <v>0.88</v>
      </c>
      <c r="F22" s="5">
        <f t="shared" si="4"/>
        <v>17952</v>
      </c>
      <c r="G22" s="46">
        <f>'Question 2'!C189</f>
        <v>16.073074984694621</v>
      </c>
      <c r="H22" s="32">
        <f t="shared" si="5"/>
        <v>288543.84212523786</v>
      </c>
      <c r="I22" s="46">
        <f>'Question 2'!D189</f>
        <v>10.413817205571789</v>
      </c>
      <c r="J22" s="32">
        <f t="shared" si="6"/>
        <v>186948.84647442476</v>
      </c>
      <c r="Q22" s="2">
        <f t="shared" si="0"/>
        <v>57</v>
      </c>
      <c r="R22" s="23">
        <f>R21*(1+'Question 2'!$C$46)</f>
        <v>102642.67878039554</v>
      </c>
    </row>
    <row r="23" spans="1:18" outlineLevel="1" x14ac:dyDescent="0.2">
      <c r="A23" s="2">
        <f t="shared" si="7"/>
        <v>61</v>
      </c>
      <c r="B23" s="23">
        <f t="shared" si="1"/>
        <v>68000</v>
      </c>
      <c r="C23" s="1">
        <f>'Question 2'!$C$34</f>
        <v>15</v>
      </c>
      <c r="D23" s="2">
        <f t="shared" si="2"/>
        <v>27</v>
      </c>
      <c r="E23" s="1">
        <f t="shared" si="3"/>
        <v>0.91</v>
      </c>
      <c r="F23" s="5">
        <f t="shared" si="4"/>
        <v>18564</v>
      </c>
      <c r="G23" s="46">
        <f>'Question 2'!C190</f>
        <v>15.369184733377216</v>
      </c>
      <c r="H23" s="32">
        <f t="shared" si="5"/>
        <v>285313.54539041466</v>
      </c>
      <c r="I23" s="46">
        <f>'Question 2'!D190</f>
        <v>9.8306763508921922</v>
      </c>
      <c r="J23" s="32">
        <f t="shared" si="6"/>
        <v>182496.67577796266</v>
      </c>
      <c r="Q23" s="2">
        <f t="shared" si="0"/>
        <v>58</v>
      </c>
      <c r="R23" s="23">
        <f>R22*(1+'Question 2'!$C$46)</f>
        <v>106748.38593161137</v>
      </c>
    </row>
    <row r="24" spans="1:18" outlineLevel="1" x14ac:dyDescent="0.2">
      <c r="A24" s="2">
        <f t="shared" si="7"/>
        <v>62</v>
      </c>
      <c r="B24" s="23">
        <f t="shared" si="1"/>
        <v>68000</v>
      </c>
      <c r="C24" s="1">
        <f>'Question 2'!$C$34</f>
        <v>15</v>
      </c>
      <c r="D24" s="2">
        <f t="shared" si="2"/>
        <v>28</v>
      </c>
      <c r="E24" s="1">
        <f t="shared" si="3"/>
        <v>0.94</v>
      </c>
      <c r="F24" s="5">
        <f t="shared" si="4"/>
        <v>19176</v>
      </c>
      <c r="G24" s="46">
        <f>'Question 2'!C191</f>
        <v>14.681990760584304</v>
      </c>
      <c r="H24" s="32">
        <f t="shared" si="5"/>
        <v>281541.8548249646</v>
      </c>
      <c r="I24" s="46">
        <f>'Question 2'!D191</f>
        <v>9.2717222966171331</v>
      </c>
      <c r="J24" s="32">
        <f t="shared" si="6"/>
        <v>177794.54675993015</v>
      </c>
      <c r="Q24" s="2">
        <f t="shared" si="0"/>
        <v>59</v>
      </c>
      <c r="R24" s="23">
        <f>R23*(1+'Question 2'!$C$46)</f>
        <v>111018.32136887583</v>
      </c>
    </row>
    <row r="25" spans="1:18" outlineLevel="1" x14ac:dyDescent="0.2">
      <c r="A25" s="2">
        <f t="shared" si="7"/>
        <v>63</v>
      </c>
      <c r="B25" s="23">
        <f t="shared" si="1"/>
        <v>68000</v>
      </c>
      <c r="C25" s="1">
        <f>'Question 2'!$C$34</f>
        <v>15</v>
      </c>
      <c r="D25" s="2">
        <f t="shared" si="2"/>
        <v>29</v>
      </c>
      <c r="E25" s="1">
        <f t="shared" si="3"/>
        <v>0.97</v>
      </c>
      <c r="F25" s="5">
        <f t="shared" si="4"/>
        <v>19788</v>
      </c>
      <c r="G25" s="46">
        <f>'Question 2'!C192</f>
        <v>14.010824108949006</v>
      </c>
      <c r="H25" s="32">
        <f t="shared" si="5"/>
        <v>277246.18746788293</v>
      </c>
      <c r="I25" s="46">
        <f>'Question 2'!D192</f>
        <v>8.7358162562845507</v>
      </c>
      <c r="J25" s="32">
        <f t="shared" si="6"/>
        <v>172864.33207935869</v>
      </c>
      <c r="Q25" s="2">
        <f t="shared" si="0"/>
        <v>60</v>
      </c>
      <c r="R25" s="23">
        <f>R24*(1+'Question 2'!$C$46)</f>
        <v>115459.05422363087</v>
      </c>
    </row>
    <row r="26" spans="1:18" outlineLevel="1" x14ac:dyDescent="0.2">
      <c r="A26" s="2">
        <f t="shared" si="7"/>
        <v>64</v>
      </c>
      <c r="B26" s="23">
        <f t="shared" si="1"/>
        <v>68000</v>
      </c>
      <c r="C26" s="1">
        <f>'Question 2'!$C$34</f>
        <v>15</v>
      </c>
      <c r="D26" s="2">
        <f t="shared" si="2"/>
        <v>30</v>
      </c>
      <c r="E26" s="1">
        <f t="shared" si="3"/>
        <v>1</v>
      </c>
      <c r="F26" s="5">
        <f t="shared" si="4"/>
        <v>20400</v>
      </c>
      <c r="G26" s="46">
        <f>'Question 2'!C193</f>
        <v>13.355630961796692</v>
      </c>
      <c r="H26" s="32">
        <f t="shared" si="5"/>
        <v>272454.8716206525</v>
      </c>
      <c r="I26" s="46">
        <f>'Question 2'!D193</f>
        <v>8.2222196274561608</v>
      </c>
      <c r="J26" s="32">
        <f t="shared" si="6"/>
        <v>167733.28040010569</v>
      </c>
      <c r="Q26" s="2">
        <f t="shared" si="0"/>
        <v>61</v>
      </c>
      <c r="R26" s="23">
        <f>R25*(1+'Question 2'!$C$46)</f>
        <v>120077.41639257611</v>
      </c>
    </row>
    <row r="27" spans="1:18" outlineLevel="1" x14ac:dyDescent="0.2">
      <c r="A27" s="2">
        <f t="shared" si="7"/>
        <v>65</v>
      </c>
      <c r="B27" s="23">
        <f t="shared" si="1"/>
        <v>68000</v>
      </c>
      <c r="C27" s="1">
        <f>'Question 2'!$C$34</f>
        <v>15</v>
      </c>
      <c r="D27" s="2">
        <f t="shared" si="2"/>
        <v>31</v>
      </c>
      <c r="E27" s="1">
        <f t="shared" si="3"/>
        <v>1</v>
      </c>
      <c r="F27" s="5">
        <f t="shared" si="4"/>
        <v>20400</v>
      </c>
      <c r="G27" s="46">
        <f>'Question 2'!C194</f>
        <v>12.716395486388292</v>
      </c>
      <c r="H27" s="32">
        <f t="shared" si="5"/>
        <v>259414.46792232114</v>
      </c>
      <c r="I27" s="46">
        <f>'Question 2'!D194</f>
        <v>7.730241047131142</v>
      </c>
      <c r="J27" s="32">
        <f t="shared" si="6"/>
        <v>157696.91736147529</v>
      </c>
      <c r="Q27" s="2">
        <f t="shared" si="0"/>
        <v>62</v>
      </c>
      <c r="R27" s="23">
        <f>R26*(1+'Question 2'!$C$46)</f>
        <v>124880.51304827916</v>
      </c>
    </row>
    <row r="28" spans="1:18" outlineLevel="1" x14ac:dyDescent="0.2">
      <c r="H28" s="32"/>
      <c r="J28" s="32"/>
      <c r="Q28" s="2">
        <f t="shared" si="0"/>
        <v>63</v>
      </c>
      <c r="R28" s="23">
        <f>R27*(1+'Question 2'!$C$46)</f>
        <v>129875.73357021033</v>
      </c>
    </row>
    <row r="29" spans="1:18" outlineLevel="1" x14ac:dyDescent="0.2">
      <c r="G29" s="1" t="s">
        <v>160</v>
      </c>
      <c r="H29" s="32">
        <f>MAX(H17:H27)</f>
        <v>297763.44780262676</v>
      </c>
      <c r="J29" s="32">
        <f>MAX(J17:J27)</f>
        <v>206008.56065306146</v>
      </c>
      <c r="Q29" s="2">
        <f t="shared" si="0"/>
        <v>64</v>
      </c>
      <c r="R29" s="23">
        <f>R28*(1+'Question 2'!$C$46)</f>
        <v>135070.76291301876</v>
      </c>
    </row>
    <row r="30" spans="1:18" outlineLevel="1" x14ac:dyDescent="0.2">
      <c r="G30" s="1" t="s">
        <v>161</v>
      </c>
      <c r="H30" s="32">
        <f>H26</f>
        <v>272454.8716206525</v>
      </c>
      <c r="J30" s="32">
        <f>J26</f>
        <v>167733.28040010569</v>
      </c>
      <c r="Q30" s="2">
        <f t="shared" si="0"/>
        <v>65</v>
      </c>
      <c r="R30" s="23">
        <f>R29*(1+'Question 2'!$C$46)</f>
        <v>140473.5934295395</v>
      </c>
    </row>
    <row r="31" spans="1:18" ht="12" outlineLevel="1" x14ac:dyDescent="0.25">
      <c r="G31" s="26" t="s">
        <v>162</v>
      </c>
      <c r="H31" s="51">
        <f>AVERAGE(H29:H30)</f>
        <v>285109.15971163963</v>
      </c>
      <c r="I31" s="26"/>
      <c r="J31" s="51">
        <f>AVERAGE(J29:J30)</f>
        <v>186870.92052658356</v>
      </c>
    </row>
    <row r="32" spans="1:18" ht="12" outlineLevel="1" x14ac:dyDescent="0.25">
      <c r="G32" s="26"/>
      <c r="H32" s="22"/>
      <c r="I32" s="26"/>
      <c r="J32" s="22"/>
    </row>
    <row r="33" spans="1:21" ht="12" outlineLevel="1" x14ac:dyDescent="0.25">
      <c r="A33" s="33" t="s">
        <v>205</v>
      </c>
      <c r="H33" s="24"/>
      <c r="K33" s="24"/>
      <c r="M33" s="24"/>
    </row>
    <row r="34" spans="1:21" outlineLevel="1" x14ac:dyDescent="0.2">
      <c r="K34" s="24"/>
      <c r="M34" s="24"/>
      <c r="Q34" s="3" t="s">
        <v>141</v>
      </c>
    </row>
    <row r="35" spans="1:21" outlineLevel="1" x14ac:dyDescent="0.2">
      <c r="A35" s="1" t="s">
        <v>163</v>
      </c>
      <c r="C35" s="34">
        <v>0.05</v>
      </c>
      <c r="K35" s="24"/>
      <c r="M35" s="24"/>
      <c r="Q35" s="6" t="s">
        <v>124</v>
      </c>
      <c r="R35" s="6"/>
      <c r="T35" s="6" t="s">
        <v>123</v>
      </c>
    </row>
    <row r="36" spans="1:21" outlineLevel="1" x14ac:dyDescent="0.2">
      <c r="K36" s="24"/>
      <c r="M36" s="24"/>
      <c r="Q36" s="4" t="s">
        <v>34</v>
      </c>
      <c r="R36" s="4" t="s">
        <v>127</v>
      </c>
      <c r="T36" s="4" t="s">
        <v>34</v>
      </c>
      <c r="U36" s="4" t="s">
        <v>127</v>
      </c>
    </row>
    <row r="37" spans="1:21" outlineLevel="1" x14ac:dyDescent="0.2">
      <c r="A37" s="3" t="s">
        <v>139</v>
      </c>
      <c r="K37" s="24"/>
      <c r="M37" s="24"/>
      <c r="Q37" s="4"/>
      <c r="R37" s="4"/>
      <c r="T37" s="4"/>
      <c r="U37" s="4"/>
    </row>
    <row r="38" spans="1:21" outlineLevel="1" x14ac:dyDescent="0.2">
      <c r="K38" s="24"/>
      <c r="M38" s="24"/>
      <c r="Q38" s="4"/>
      <c r="R38" s="4"/>
      <c r="T38" s="4"/>
      <c r="U38" s="4"/>
    </row>
    <row r="39" spans="1:21" ht="12" outlineLevel="1" x14ac:dyDescent="0.25">
      <c r="A39" s="35" t="s">
        <v>124</v>
      </c>
      <c r="I39" s="342" t="s">
        <v>82</v>
      </c>
      <c r="J39" s="342"/>
      <c r="K39" s="342"/>
      <c r="L39" s="342" t="s">
        <v>140</v>
      </c>
      <c r="M39" s="342"/>
      <c r="N39" s="342"/>
      <c r="R39" s="5">
        <f>R11</f>
        <v>65000</v>
      </c>
      <c r="U39" s="5">
        <f>R39</f>
        <v>65000</v>
      </c>
    </row>
    <row r="40" spans="1:21" ht="12" outlineLevel="1" x14ac:dyDescent="0.25">
      <c r="A40" s="6" t="s">
        <v>142</v>
      </c>
      <c r="B40" s="6" t="s">
        <v>143</v>
      </c>
      <c r="C40" s="6" t="s">
        <v>144</v>
      </c>
      <c r="D40" s="6" t="s">
        <v>145</v>
      </c>
      <c r="E40" s="6" t="s">
        <v>146</v>
      </c>
      <c r="F40" s="6" t="s">
        <v>147</v>
      </c>
      <c r="G40" s="6" t="s">
        <v>148</v>
      </c>
      <c r="H40" s="6" t="s">
        <v>149</v>
      </c>
      <c r="I40" s="6" t="s">
        <v>150</v>
      </c>
      <c r="J40" s="7" t="s">
        <v>151</v>
      </c>
      <c r="K40" s="7" t="s">
        <v>152</v>
      </c>
      <c r="L40" s="6" t="s">
        <v>150</v>
      </c>
      <c r="M40" s="7" t="s">
        <v>151</v>
      </c>
      <c r="N40" s="7" t="s">
        <v>152</v>
      </c>
      <c r="R40" s="5">
        <f>R12</f>
        <v>67000</v>
      </c>
      <c r="U40" s="5">
        <f>R40</f>
        <v>67000</v>
      </c>
    </row>
    <row r="41" spans="1:21" outlineLevel="1" x14ac:dyDescent="0.2">
      <c r="A41" s="6">
        <v>64</v>
      </c>
      <c r="B41" s="6" t="s">
        <v>154</v>
      </c>
      <c r="C41" s="1">
        <f>A41-$Q$43</f>
        <v>14</v>
      </c>
      <c r="D41" s="31">
        <f>AVERAGE(R53:R57)</f>
        <v>126275.31810675022</v>
      </c>
      <c r="E41" s="9">
        <f>'Question 2'!$C$34+1</f>
        <v>16</v>
      </c>
      <c r="F41" s="31">
        <f>2%*E41*D41</f>
        <v>40408.101794160073</v>
      </c>
      <c r="G41" s="11">
        <f>(1+'Question 2'!$C$44)^-C41</f>
        <v>0.50506795299551888</v>
      </c>
      <c r="H41" s="14">
        <f>'Question 2'!$D$51</f>
        <v>0.5</v>
      </c>
      <c r="I41" s="10">
        <f>$I$10</f>
        <v>16.529733475817888</v>
      </c>
      <c r="J41" s="31">
        <f>H41*I41*F41*G41</f>
        <v>168676.32020982582</v>
      </c>
      <c r="K41" s="31">
        <f>J41/E41</f>
        <v>10542.270013114114</v>
      </c>
      <c r="L41" s="13">
        <f>$L$10</f>
        <v>13.487211414709467</v>
      </c>
      <c r="M41" s="47">
        <f>H41*L41*F41*G41</f>
        <v>137629.15141089936</v>
      </c>
      <c r="N41" s="48">
        <f>M41/E41</f>
        <v>8601.8219631812099</v>
      </c>
      <c r="R41" s="5">
        <f>R13</f>
        <v>70000</v>
      </c>
      <c r="U41" s="5">
        <f>R41</f>
        <v>70000</v>
      </c>
    </row>
    <row r="42" spans="1:21" outlineLevel="1" x14ac:dyDescent="0.2">
      <c r="A42" s="3">
        <v>65</v>
      </c>
      <c r="B42" s="15" t="s">
        <v>154</v>
      </c>
      <c r="C42" s="3">
        <f>A42-$Q$43</f>
        <v>15</v>
      </c>
      <c r="D42" s="41">
        <f>AVERAGE(R54:R58)</f>
        <v>131326.3308310202</v>
      </c>
      <c r="E42" s="17">
        <f>'Question 2'!$C$34+1</f>
        <v>16</v>
      </c>
      <c r="F42" s="41">
        <f>2%*E42*D42</f>
        <v>42024.425865926467</v>
      </c>
      <c r="G42" s="11">
        <f>(1+'Question 2'!$C$44)^-C42</f>
        <v>0.48101709809097021</v>
      </c>
      <c r="H42" s="19">
        <f>(1-H41)*'Question 2'!$D$52</f>
        <v>0.5</v>
      </c>
      <c r="I42" s="10">
        <f>$I$11</f>
        <v>16.091863980080912</v>
      </c>
      <c r="J42" s="41">
        <f>H42*I42*F42*G42</f>
        <v>162644.2297460603</v>
      </c>
      <c r="K42" s="41">
        <f>J42/E42</f>
        <v>10165.264359128769</v>
      </c>
      <c r="L42" s="13">
        <f>$L$11</f>
        <v>13.205265663923768</v>
      </c>
      <c r="M42" s="47">
        <f>H42*L42*F42*G42</f>
        <v>133468.70599699041</v>
      </c>
      <c r="N42" s="49">
        <f>M42/E42</f>
        <v>8341.7941248119005</v>
      </c>
      <c r="R42" s="5">
        <f>R14</f>
        <v>75000</v>
      </c>
      <c r="U42" s="5">
        <f>R42</f>
        <v>75000</v>
      </c>
    </row>
    <row r="43" spans="1:21" ht="12" outlineLevel="1" x14ac:dyDescent="0.25">
      <c r="F43" s="32"/>
      <c r="J43" s="51">
        <f>SUM(J41:J42)</f>
        <v>331320.54995588609</v>
      </c>
      <c r="K43" s="51">
        <f>SUM(K41:K42)</f>
        <v>20707.534372242881</v>
      </c>
      <c r="M43" s="50">
        <f>SUM(M41:M42)</f>
        <v>271097.85740788979</v>
      </c>
      <c r="N43" s="50">
        <f>SUM(N41:N42)</f>
        <v>16943.616087993112</v>
      </c>
      <c r="Q43" s="20">
        <f>Q14+1</f>
        <v>50</v>
      </c>
      <c r="R43" s="21">
        <f>R14*(1+$C$35)</f>
        <v>78750</v>
      </c>
      <c r="T43" s="20">
        <f t="shared" ref="T43:T58" si="8">Q43</f>
        <v>50</v>
      </c>
      <c r="U43" s="21">
        <f>U42*(1+'Question 2'!$C$46)</f>
        <v>78000</v>
      </c>
    </row>
    <row r="44" spans="1:21" outlineLevel="1" x14ac:dyDescent="0.2">
      <c r="A44" s="35" t="s">
        <v>123</v>
      </c>
      <c r="F44" s="32"/>
      <c r="Q44" s="2">
        <f t="shared" ref="Q44:Q58" si="9">Q43+1</f>
        <v>51</v>
      </c>
      <c r="R44" s="23">
        <f>R43*(1+'Question 2'!$C$46)</f>
        <v>81900</v>
      </c>
      <c r="T44" s="2">
        <f t="shared" si="8"/>
        <v>51</v>
      </c>
      <c r="U44" s="23">
        <f>U43*(1+'Question 2'!$C$46)</f>
        <v>81120</v>
      </c>
    </row>
    <row r="45" spans="1:21" ht="12" outlineLevel="1" x14ac:dyDescent="0.25">
      <c r="F45" s="32"/>
      <c r="I45" s="342" t="s">
        <v>82</v>
      </c>
      <c r="J45" s="342"/>
      <c r="K45" s="342"/>
      <c r="L45" s="342" t="s">
        <v>140</v>
      </c>
      <c r="M45" s="342"/>
      <c r="N45" s="342"/>
      <c r="Q45" s="2">
        <f t="shared" si="9"/>
        <v>52</v>
      </c>
      <c r="R45" s="23">
        <f>R44*(1+'Question 2'!$C$46)</f>
        <v>85176</v>
      </c>
      <c r="T45" s="2">
        <f t="shared" si="8"/>
        <v>52</v>
      </c>
      <c r="U45" s="23">
        <f>U44*(1+'Question 2'!$C$46)</f>
        <v>84364.800000000003</v>
      </c>
    </row>
    <row r="46" spans="1:21" ht="12" outlineLevel="1" x14ac:dyDescent="0.25">
      <c r="A46" s="6" t="s">
        <v>142</v>
      </c>
      <c r="B46" s="6" t="s">
        <v>143</v>
      </c>
      <c r="C46" s="6" t="s">
        <v>144</v>
      </c>
      <c r="D46" s="6" t="s">
        <v>145</v>
      </c>
      <c r="E46" s="6" t="s">
        <v>146</v>
      </c>
      <c r="F46" s="31" t="s">
        <v>147</v>
      </c>
      <c r="G46" s="6" t="s">
        <v>148</v>
      </c>
      <c r="H46" s="6" t="s">
        <v>149</v>
      </c>
      <c r="I46" s="6" t="s">
        <v>150</v>
      </c>
      <c r="J46" s="7" t="s">
        <v>151</v>
      </c>
      <c r="K46" s="7" t="s">
        <v>152</v>
      </c>
      <c r="L46" s="6" t="s">
        <v>150</v>
      </c>
      <c r="M46" s="7" t="s">
        <v>151</v>
      </c>
      <c r="N46" s="7" t="s">
        <v>152</v>
      </c>
      <c r="Q46" s="2">
        <f t="shared" si="9"/>
        <v>53</v>
      </c>
      <c r="R46" s="23">
        <f>R45*(1+'Question 2'!$C$46)</f>
        <v>88583.040000000008</v>
      </c>
      <c r="T46" s="2">
        <f t="shared" si="8"/>
        <v>53</v>
      </c>
      <c r="U46" s="23">
        <f>U45*(1+'Question 2'!$C$46)</f>
        <v>87739.392000000007</v>
      </c>
    </row>
    <row r="47" spans="1:21" outlineLevel="1" x14ac:dyDescent="0.2">
      <c r="A47" s="6">
        <v>64</v>
      </c>
      <c r="B47" s="6" t="s">
        <v>154</v>
      </c>
      <c r="C47" s="1">
        <f>A47-$Q$43</f>
        <v>14</v>
      </c>
      <c r="D47" s="31">
        <f>AVERAGE(U53:U57)</f>
        <v>125072.69602954303</v>
      </c>
      <c r="E47" s="9">
        <f>'Question 2'!$C$34+1</f>
        <v>16</v>
      </c>
      <c r="F47" s="31">
        <f>2%*E47*D47</f>
        <v>40023.262729453774</v>
      </c>
      <c r="G47" s="11">
        <f>(1+'Question 2'!$C$44)^-C47</f>
        <v>0.50506795299551888</v>
      </c>
      <c r="H47" s="14">
        <f>'Question 2'!$D$51</f>
        <v>0.5</v>
      </c>
      <c r="I47" s="10">
        <f>$I$10</f>
        <v>16.529733475817888</v>
      </c>
      <c r="J47" s="31">
        <f>H47*I47*F47*G47</f>
        <v>167069.87906497027</v>
      </c>
      <c r="K47" s="31">
        <f>J47/E47</f>
        <v>10441.867441560642</v>
      </c>
      <c r="L47" s="13">
        <f>$L$10</f>
        <v>13.487211414709467</v>
      </c>
      <c r="M47" s="47">
        <f>H47*L47*F47*G47</f>
        <v>136318.39758793835</v>
      </c>
      <c r="N47" s="48">
        <f>M47/E47</f>
        <v>8519.8998492461469</v>
      </c>
      <c r="Q47" s="2">
        <f t="shared" si="9"/>
        <v>54</v>
      </c>
      <c r="R47" s="23">
        <f>R46*(1+'Question 2'!$C$46)</f>
        <v>92126.361600000018</v>
      </c>
      <c r="T47" s="2">
        <f t="shared" si="8"/>
        <v>54</v>
      </c>
      <c r="U47" s="23">
        <f>U46*(1+'Question 2'!$C$46)</f>
        <v>91248.967680000016</v>
      </c>
    </row>
    <row r="48" spans="1:21" outlineLevel="1" x14ac:dyDescent="0.2">
      <c r="A48" s="3">
        <v>65</v>
      </c>
      <c r="B48" s="15" t="s">
        <v>154</v>
      </c>
      <c r="C48" s="3">
        <f>A48-$Q$43</f>
        <v>15</v>
      </c>
      <c r="D48" s="41">
        <f>AVERAGE(U54:U58)</f>
        <v>130075.60387072476</v>
      </c>
      <c r="E48" s="17">
        <f>'Question 2'!$C$34+1</f>
        <v>16</v>
      </c>
      <c r="F48" s="41">
        <f>2%*E48*D48</f>
        <v>41624.193238631924</v>
      </c>
      <c r="G48" s="11">
        <f>(1+'Question 2'!$C$44)^-C48</f>
        <v>0.48101709809097021</v>
      </c>
      <c r="H48" s="19">
        <f>(1-H47)*'Question 2'!$D$52</f>
        <v>0.5</v>
      </c>
      <c r="I48" s="10">
        <f>$I$11</f>
        <v>16.091863980080912</v>
      </c>
      <c r="J48" s="41">
        <f>H48*I48*F48*G48</f>
        <v>161095.23708181208</v>
      </c>
      <c r="K48" s="41">
        <f>J48/E48</f>
        <v>10068.452317613255</v>
      </c>
      <c r="L48" s="13">
        <f>$L$11</f>
        <v>13.205265663923768</v>
      </c>
      <c r="M48" s="47">
        <f>H48*L48*F48*G48</f>
        <v>132197.5754636857</v>
      </c>
      <c r="N48" s="49">
        <f>M48/E48</f>
        <v>8262.3484664803564</v>
      </c>
      <c r="Q48" s="2">
        <f t="shared" si="9"/>
        <v>55</v>
      </c>
      <c r="R48" s="23">
        <f>R47*(1+'Question 2'!$C$46)</f>
        <v>95811.416064000019</v>
      </c>
      <c r="T48" s="2">
        <f t="shared" si="8"/>
        <v>55</v>
      </c>
      <c r="U48" s="23">
        <f>U47*(1+'Question 2'!$C$46)</f>
        <v>94898.926387200016</v>
      </c>
    </row>
    <row r="49" spans="1:21" ht="12" outlineLevel="1" x14ac:dyDescent="0.25">
      <c r="J49" s="51">
        <f>SUM(J47:J48)</f>
        <v>328165.11614678235</v>
      </c>
      <c r="K49" s="51">
        <f>SUM(K47:K48)</f>
        <v>20510.319759173897</v>
      </c>
      <c r="M49" s="50">
        <f>SUM(M47:M48)</f>
        <v>268515.97305162402</v>
      </c>
      <c r="N49" s="50">
        <f>SUM(N47:N48)</f>
        <v>16782.248315726501</v>
      </c>
      <c r="Q49" s="2">
        <f t="shared" si="9"/>
        <v>56</v>
      </c>
      <c r="R49" s="23">
        <f>R48*(1+'Question 2'!$C$46)</f>
        <v>99643.872706560025</v>
      </c>
      <c r="T49" s="2">
        <f t="shared" si="8"/>
        <v>56</v>
      </c>
      <c r="U49" s="23">
        <f>U48*(1+'Question 2'!$C$46)</f>
        <v>98694.88344268802</v>
      </c>
    </row>
    <row r="50" spans="1:21" outlineLevel="1" x14ac:dyDescent="0.2">
      <c r="K50" s="24"/>
      <c r="M50" s="24"/>
      <c r="Q50" s="2">
        <f t="shared" si="9"/>
        <v>57</v>
      </c>
      <c r="R50" s="23">
        <f>R49*(1+'Question 2'!$C$46)</f>
        <v>103629.62761482243</v>
      </c>
      <c r="T50" s="2">
        <f t="shared" si="8"/>
        <v>57</v>
      </c>
      <c r="U50" s="23">
        <f>U49*(1+'Question 2'!$C$46)</f>
        <v>102642.67878039554</v>
      </c>
    </row>
    <row r="51" spans="1:21" outlineLevel="1" x14ac:dyDescent="0.2">
      <c r="J51" s="24"/>
      <c r="K51" s="24"/>
      <c r="M51" s="24"/>
      <c r="Q51" s="2">
        <f t="shared" si="9"/>
        <v>58</v>
      </c>
      <c r="R51" s="23">
        <f>R50*(1+'Question 2'!$C$46)</f>
        <v>107774.81271941533</v>
      </c>
      <c r="T51" s="2">
        <f t="shared" si="8"/>
        <v>58</v>
      </c>
      <c r="U51" s="23">
        <f>U50*(1+'Question 2'!$C$46)</f>
        <v>106748.38593161137</v>
      </c>
    </row>
    <row r="52" spans="1:21" outlineLevel="1" x14ac:dyDescent="0.2">
      <c r="A52" s="3" t="s">
        <v>155</v>
      </c>
      <c r="K52" s="24"/>
      <c r="M52" s="24"/>
      <c r="Q52" s="2">
        <f t="shared" si="9"/>
        <v>59</v>
      </c>
      <c r="R52" s="23">
        <f>R51*(1+'Question 2'!$C$46)</f>
        <v>112085.80522819195</v>
      </c>
      <c r="T52" s="2">
        <f t="shared" si="8"/>
        <v>59</v>
      </c>
      <c r="U52" s="23">
        <f>U51*(1+'Question 2'!$C$46)</f>
        <v>111018.32136887583</v>
      </c>
    </row>
    <row r="53" spans="1:21" ht="12" outlineLevel="1" x14ac:dyDescent="0.25">
      <c r="G53" s="342" t="s">
        <v>82</v>
      </c>
      <c r="H53" s="342"/>
      <c r="I53" s="342" t="s">
        <v>83</v>
      </c>
      <c r="J53" s="342"/>
      <c r="K53" s="24"/>
      <c r="M53" s="24"/>
      <c r="Q53" s="2">
        <f t="shared" si="9"/>
        <v>60</v>
      </c>
      <c r="R53" s="23">
        <f>R52*(1+'Question 2'!$C$46)</f>
        <v>116569.23743731964</v>
      </c>
      <c r="T53" s="2">
        <f t="shared" si="8"/>
        <v>60</v>
      </c>
      <c r="U53" s="23">
        <f>U52*(1+'Question 2'!$C$46)</f>
        <v>115459.05422363087</v>
      </c>
    </row>
    <row r="54" spans="1:21" ht="12" outlineLevel="1" x14ac:dyDescent="0.25">
      <c r="A54" s="6" t="s">
        <v>142</v>
      </c>
      <c r="B54" s="6" t="s">
        <v>145</v>
      </c>
      <c r="C54" s="6" t="s">
        <v>156</v>
      </c>
      <c r="D54" s="6" t="s">
        <v>157</v>
      </c>
      <c r="E54" s="6" t="s">
        <v>158</v>
      </c>
      <c r="F54" s="6" t="s">
        <v>159</v>
      </c>
      <c r="G54" s="6" t="s">
        <v>150</v>
      </c>
      <c r="H54" s="7" t="s">
        <v>151</v>
      </c>
      <c r="I54" s="6" t="s">
        <v>150</v>
      </c>
      <c r="J54" s="7" t="s">
        <v>151</v>
      </c>
      <c r="K54" s="24"/>
      <c r="M54" s="24"/>
      <c r="Q54" s="2">
        <f t="shared" si="9"/>
        <v>61</v>
      </c>
      <c r="R54" s="23">
        <f>R53*(1+'Question 2'!$C$46)</f>
        <v>121232.00693481242</v>
      </c>
      <c r="T54" s="2">
        <f t="shared" si="8"/>
        <v>61</v>
      </c>
      <c r="U54" s="23">
        <f>U53*(1+'Question 2'!$C$46)</f>
        <v>120077.41639257611</v>
      </c>
    </row>
    <row r="55" spans="1:21" outlineLevel="1" x14ac:dyDescent="0.2">
      <c r="A55" s="2">
        <v>55</v>
      </c>
      <c r="B55" s="23">
        <f>AVERAGE(R39:R43)</f>
        <v>71150</v>
      </c>
      <c r="C55" s="1">
        <f>'Question 2'!$C$34+1</f>
        <v>16</v>
      </c>
      <c r="D55" s="2">
        <f t="shared" ref="D55:D65" si="10">A55-$Q$43+C55</f>
        <v>21</v>
      </c>
      <c r="E55" s="1">
        <f t="shared" ref="E55:E65" si="11">MIN(1-($D$26-D55)*3%,1)</f>
        <v>0.73</v>
      </c>
      <c r="F55" s="5">
        <f t="shared" ref="F55:F65" si="12">2%*B55*C55*E55</f>
        <v>16620.64</v>
      </c>
      <c r="G55" s="46">
        <f>'Question 2'!E184</f>
        <v>20.410413852837273</v>
      </c>
      <c r="H55" s="32">
        <f>F55*G55</f>
        <v>339234.14089902129</v>
      </c>
      <c r="I55" s="46">
        <f>'Question 2'!F184</f>
        <v>14.387684765584229</v>
      </c>
      <c r="J55" s="32">
        <f>F55*I55</f>
        <v>239132.52892225987</v>
      </c>
      <c r="K55" s="24"/>
      <c r="M55" s="24"/>
      <c r="Q55" s="2">
        <f t="shared" si="9"/>
        <v>62</v>
      </c>
      <c r="R55" s="23">
        <f>R54*(1+'Question 2'!$C$46)</f>
        <v>126081.28721220493</v>
      </c>
      <c r="T55" s="2">
        <f t="shared" si="8"/>
        <v>62</v>
      </c>
      <c r="U55" s="23">
        <f>U54*(1+'Question 2'!$C$46)</f>
        <v>124880.51304827916</v>
      </c>
    </row>
    <row r="56" spans="1:21" outlineLevel="1" x14ac:dyDescent="0.2">
      <c r="A56" s="2">
        <f>A55+1</f>
        <v>56</v>
      </c>
      <c r="B56" s="23">
        <f>B55</f>
        <v>71150</v>
      </c>
      <c r="C56" s="1">
        <f>'Question 2'!$C$34+1</f>
        <v>16</v>
      </c>
      <c r="D56" s="2">
        <f t="shared" si="10"/>
        <v>22</v>
      </c>
      <c r="E56" s="1">
        <f t="shared" si="11"/>
        <v>0.76</v>
      </c>
      <c r="F56" s="5">
        <f t="shared" si="12"/>
        <v>17303.68</v>
      </c>
      <c r="G56" s="46">
        <f>'Question 2'!E185</f>
        <v>19.595172042320197</v>
      </c>
      <c r="H56" s="32">
        <f t="shared" ref="H56:H65" si="13">F56*G56</f>
        <v>339068.58656525513</v>
      </c>
      <c r="I56" s="46">
        <f>'Question 2'!F185</f>
        <v>13.633770516166727</v>
      </c>
      <c r="J56" s="32">
        <f t="shared" ref="J56:J65" si="14">F56*I56</f>
        <v>235914.40220518387</v>
      </c>
      <c r="K56" s="24"/>
      <c r="M56" s="24"/>
      <c r="Q56" s="2">
        <f t="shared" si="9"/>
        <v>63</v>
      </c>
      <c r="R56" s="23">
        <f>R55*(1+'Question 2'!$C$46)</f>
        <v>131124.53870069314</v>
      </c>
      <c r="T56" s="2">
        <f t="shared" si="8"/>
        <v>63</v>
      </c>
      <c r="U56" s="23">
        <f>U55*(1+'Question 2'!$C$46)</f>
        <v>129875.73357021033</v>
      </c>
    </row>
    <row r="57" spans="1:21" outlineLevel="1" x14ac:dyDescent="0.2">
      <c r="A57" s="2">
        <f t="shared" ref="A57:A65" si="15">A56+1</f>
        <v>57</v>
      </c>
      <c r="B57" s="23">
        <f t="shared" ref="B57:B65" si="16">B56</f>
        <v>71150</v>
      </c>
      <c r="C57" s="1">
        <f>'Question 2'!$C$34+1</f>
        <v>16</v>
      </c>
      <c r="D57" s="2">
        <f t="shared" si="10"/>
        <v>23</v>
      </c>
      <c r="E57" s="1">
        <f t="shared" si="11"/>
        <v>0.79</v>
      </c>
      <c r="F57" s="5">
        <f t="shared" si="12"/>
        <v>17986.72</v>
      </c>
      <c r="G57" s="46">
        <f>'Question 2'!E186</f>
        <v>18.801591602606727</v>
      </c>
      <c r="H57" s="32">
        <f t="shared" si="13"/>
        <v>338178.96371043852</v>
      </c>
      <c r="I57" s="46">
        <f>'Question 2'!F186</f>
        <v>12.912417912529969</v>
      </c>
      <c r="J57" s="32">
        <f t="shared" si="14"/>
        <v>232252.04551566107</v>
      </c>
      <c r="K57" s="24"/>
      <c r="M57" s="24"/>
      <c r="Q57" s="2">
        <f t="shared" si="9"/>
        <v>64</v>
      </c>
      <c r="R57" s="23">
        <f>R56*(1+'Question 2'!$C$46)</f>
        <v>136369.52024872086</v>
      </c>
      <c r="T57" s="2">
        <f t="shared" si="8"/>
        <v>64</v>
      </c>
      <c r="U57" s="23">
        <f>U56*(1+'Question 2'!$C$46)</f>
        <v>135070.76291301876</v>
      </c>
    </row>
    <row r="58" spans="1:21" outlineLevel="1" x14ac:dyDescent="0.2">
      <c r="A58" s="2">
        <f t="shared" si="15"/>
        <v>58</v>
      </c>
      <c r="B58" s="23">
        <f t="shared" si="16"/>
        <v>71150</v>
      </c>
      <c r="C58" s="1">
        <f>'Question 2'!$C$34+1</f>
        <v>16</v>
      </c>
      <c r="D58" s="2">
        <f t="shared" si="10"/>
        <v>24</v>
      </c>
      <c r="E58" s="1">
        <f t="shared" si="11"/>
        <v>0.82000000000000006</v>
      </c>
      <c r="F58" s="5">
        <f t="shared" si="12"/>
        <v>18669.760000000002</v>
      </c>
      <c r="G58" s="46">
        <f>'Question 2'!E187</f>
        <v>18.029025916623009</v>
      </c>
      <c r="H58" s="32">
        <f t="shared" si="13"/>
        <v>336597.58689713164</v>
      </c>
      <c r="I58" s="46">
        <f>'Question 2'!F187</f>
        <v>12.222202063508929</v>
      </c>
      <c r="J58" s="32">
        <f t="shared" si="14"/>
        <v>228185.57919721649</v>
      </c>
      <c r="K58" s="24"/>
      <c r="M58" s="24"/>
      <c r="Q58" s="2">
        <f t="shared" si="9"/>
        <v>65</v>
      </c>
      <c r="R58" s="23">
        <f>R57*(1+'Question 2'!$C$46)</f>
        <v>141824.30105866969</v>
      </c>
      <c r="T58" s="2">
        <f t="shared" si="8"/>
        <v>65</v>
      </c>
      <c r="U58" s="23">
        <f>U57*(1+'Question 2'!$C$46)</f>
        <v>140473.5934295395</v>
      </c>
    </row>
    <row r="59" spans="1:21" outlineLevel="1" x14ac:dyDescent="0.2">
      <c r="A59" s="2">
        <f t="shared" si="15"/>
        <v>59</v>
      </c>
      <c r="B59" s="23">
        <f t="shared" si="16"/>
        <v>71150</v>
      </c>
      <c r="C59" s="1">
        <f>'Question 2'!$C$34+1</f>
        <v>16</v>
      </c>
      <c r="D59" s="2">
        <f t="shared" si="10"/>
        <v>25</v>
      </c>
      <c r="E59" s="1">
        <f t="shared" si="11"/>
        <v>0.85</v>
      </c>
      <c r="F59" s="5">
        <f t="shared" si="12"/>
        <v>19352.8</v>
      </c>
      <c r="G59" s="46">
        <f>'Question 2'!E188</f>
        <v>17.276690532989882</v>
      </c>
      <c r="H59" s="32">
        <f t="shared" si="13"/>
        <v>334352.33654684655</v>
      </c>
      <c r="I59" s="46">
        <f>'Question 2'!F188</f>
        <v>11.561671460080543</v>
      </c>
      <c r="J59" s="32">
        <f t="shared" si="14"/>
        <v>223750.71543264671</v>
      </c>
      <c r="K59" s="24"/>
      <c r="M59" s="24"/>
      <c r="O59" s="2"/>
      <c r="P59" s="23"/>
    </row>
    <row r="60" spans="1:21" outlineLevel="1" x14ac:dyDescent="0.2">
      <c r="A60" s="2">
        <f t="shared" si="15"/>
        <v>60</v>
      </c>
      <c r="B60" s="23">
        <f t="shared" si="16"/>
        <v>71150</v>
      </c>
      <c r="C60" s="1">
        <f>'Question 2'!$C$34+1</f>
        <v>16</v>
      </c>
      <c r="D60" s="2">
        <f t="shared" si="10"/>
        <v>26</v>
      </c>
      <c r="E60" s="1">
        <f t="shared" si="11"/>
        <v>0.88</v>
      </c>
      <c r="F60" s="5">
        <f t="shared" si="12"/>
        <v>20035.84</v>
      </c>
      <c r="G60" s="46">
        <f>'Question 2'!E189</f>
        <v>16.403891510131277</v>
      </c>
      <c r="H60" s="32">
        <f t="shared" si="13"/>
        <v>328665.74567434867</v>
      </c>
      <c r="I60" s="46">
        <f>'Question 2'!F189</f>
        <v>10.828784587297935</v>
      </c>
      <c r="J60" s="32">
        <f t="shared" si="14"/>
        <v>216963.79538556747</v>
      </c>
      <c r="K60" s="24"/>
      <c r="M60" s="24"/>
      <c r="O60" s="2"/>
      <c r="P60" s="23"/>
    </row>
    <row r="61" spans="1:21" outlineLevel="1" x14ac:dyDescent="0.2">
      <c r="A61" s="2">
        <f t="shared" si="15"/>
        <v>61</v>
      </c>
      <c r="B61" s="23">
        <f t="shared" si="16"/>
        <v>71150</v>
      </c>
      <c r="C61" s="1">
        <f>'Question 2'!$C$34+1</f>
        <v>16</v>
      </c>
      <c r="D61" s="2">
        <f t="shared" si="10"/>
        <v>27</v>
      </c>
      <c r="E61" s="1">
        <f t="shared" si="11"/>
        <v>0.91</v>
      </c>
      <c r="F61" s="5">
        <f t="shared" si="12"/>
        <v>20718.88</v>
      </c>
      <c r="G61" s="46">
        <f>'Question 2'!E190</f>
        <v>15.685028857944916</v>
      </c>
      <c r="H61" s="32">
        <f t="shared" si="13"/>
        <v>324976.23070429778</v>
      </c>
      <c r="I61" s="46">
        <f>'Question 2'!F190</f>
        <v>10.222080525321077</v>
      </c>
      <c r="J61" s="32">
        <f t="shared" si="14"/>
        <v>211790.05975446437</v>
      </c>
      <c r="K61" s="24"/>
      <c r="M61" s="24"/>
      <c r="O61" s="2"/>
      <c r="P61" s="23"/>
    </row>
    <row r="62" spans="1:21" outlineLevel="1" x14ac:dyDescent="0.2">
      <c r="A62" s="2">
        <f t="shared" si="15"/>
        <v>62</v>
      </c>
      <c r="B62" s="23">
        <f t="shared" si="16"/>
        <v>71150</v>
      </c>
      <c r="C62" s="1">
        <f>'Question 2'!$C$34+1</f>
        <v>16</v>
      </c>
      <c r="D62" s="2">
        <f t="shared" si="10"/>
        <v>28</v>
      </c>
      <c r="E62" s="1">
        <f t="shared" si="11"/>
        <v>0.94</v>
      </c>
      <c r="F62" s="5">
        <f t="shared" si="12"/>
        <v>21401.919999999998</v>
      </c>
      <c r="G62" s="46">
        <f>'Question 2'!E191</f>
        <v>14.983226817419624</v>
      </c>
      <c r="H62" s="32">
        <f t="shared" si="13"/>
        <v>320669.82168826938</v>
      </c>
      <c r="I62" s="46">
        <f>'Question 2'!F191</f>
        <v>9.6405484370109455</v>
      </c>
      <c r="J62" s="32">
        <f t="shared" si="14"/>
        <v>206326.24640503328</v>
      </c>
      <c r="K62" s="24"/>
      <c r="M62" s="24"/>
      <c r="O62" s="2"/>
      <c r="P62" s="23"/>
    </row>
    <row r="63" spans="1:21" outlineLevel="1" x14ac:dyDescent="0.2">
      <c r="A63" s="2">
        <f t="shared" si="15"/>
        <v>63</v>
      </c>
      <c r="B63" s="23">
        <f t="shared" si="16"/>
        <v>71150</v>
      </c>
      <c r="C63" s="1">
        <f>'Question 2'!$C$34+1</f>
        <v>16</v>
      </c>
      <c r="D63" s="2">
        <f t="shared" si="10"/>
        <v>29</v>
      </c>
      <c r="E63" s="1">
        <f t="shared" si="11"/>
        <v>0.97</v>
      </c>
      <c r="F63" s="5">
        <f t="shared" si="12"/>
        <v>22084.959999999999</v>
      </c>
      <c r="G63" s="46">
        <f>'Question 2'!E192</f>
        <v>14.297799812399642</v>
      </c>
      <c r="H63" s="32">
        <f t="shared" si="13"/>
        <v>315766.3369448536</v>
      </c>
      <c r="I63" s="46">
        <f>'Question 2'!F192</f>
        <v>9.0830018355527429</v>
      </c>
      <c r="J63" s="32">
        <f t="shared" si="14"/>
        <v>200597.7322181089</v>
      </c>
      <c r="K63" s="24"/>
      <c r="M63" s="24"/>
      <c r="O63" s="2"/>
      <c r="P63" s="23"/>
    </row>
    <row r="64" spans="1:21" outlineLevel="1" x14ac:dyDescent="0.2">
      <c r="A64" s="2">
        <f t="shared" si="15"/>
        <v>64</v>
      </c>
      <c r="B64" s="23">
        <f t="shared" si="16"/>
        <v>71150</v>
      </c>
      <c r="C64" s="1">
        <f>'Question 2'!$C$34+1</f>
        <v>16</v>
      </c>
      <c r="D64" s="2">
        <f t="shared" si="10"/>
        <v>30</v>
      </c>
      <c r="E64" s="1">
        <f t="shared" si="11"/>
        <v>1</v>
      </c>
      <c r="F64" s="5">
        <f t="shared" si="12"/>
        <v>22768</v>
      </c>
      <c r="G64" s="46">
        <f>'Question 2'!E193</f>
        <v>13.628694829930447</v>
      </c>
      <c r="H64" s="32">
        <f t="shared" si="13"/>
        <v>310298.12388785643</v>
      </c>
      <c r="I64" s="46">
        <f>'Question 2'!F193</f>
        <v>8.5486732811719435</v>
      </c>
      <c r="J64" s="32">
        <f t="shared" si="14"/>
        <v>194636.1932657228</v>
      </c>
      <c r="K64" s="24"/>
      <c r="M64" s="24"/>
      <c r="O64" s="2"/>
      <c r="P64" s="23"/>
    </row>
    <row r="65" spans="1:18" outlineLevel="1" x14ac:dyDescent="0.2">
      <c r="A65" s="2">
        <f t="shared" si="15"/>
        <v>65</v>
      </c>
      <c r="B65" s="23">
        <f t="shared" si="16"/>
        <v>71150</v>
      </c>
      <c r="C65" s="1">
        <f>'Question 2'!$C$34+1</f>
        <v>16</v>
      </c>
      <c r="D65" s="2">
        <f t="shared" si="10"/>
        <v>31</v>
      </c>
      <c r="E65" s="1">
        <f t="shared" si="11"/>
        <v>1</v>
      </c>
      <c r="F65" s="5">
        <f t="shared" si="12"/>
        <v>22768</v>
      </c>
      <c r="G65" s="46">
        <f>'Question 2'!E194</f>
        <v>12.975897855173629</v>
      </c>
      <c r="H65" s="32">
        <f t="shared" si="13"/>
        <v>295435.24236659321</v>
      </c>
      <c r="I65" s="46">
        <f>'Question 2'!F194</f>
        <v>8.0368445641801891</v>
      </c>
      <c r="J65" s="32">
        <f t="shared" si="14"/>
        <v>182982.87703725454</v>
      </c>
      <c r="K65" s="24"/>
      <c r="M65" s="24"/>
      <c r="O65" s="2"/>
      <c r="P65" s="23"/>
    </row>
    <row r="66" spans="1:18" outlineLevel="1" x14ac:dyDescent="0.2">
      <c r="H66" s="32"/>
      <c r="J66" s="32"/>
      <c r="K66" s="24"/>
      <c r="M66" s="24"/>
      <c r="O66" s="2"/>
      <c r="P66" s="23"/>
    </row>
    <row r="67" spans="1:18" outlineLevel="1" x14ac:dyDescent="0.2">
      <c r="G67" s="1" t="s">
        <v>160</v>
      </c>
      <c r="H67" s="32">
        <f>MAX(H55:H65)</f>
        <v>339234.14089902129</v>
      </c>
      <c r="J67" s="32">
        <f>MAX(J55:J65)</f>
        <v>239132.52892225987</v>
      </c>
      <c r="K67" s="24"/>
      <c r="M67" s="24"/>
      <c r="O67" s="2"/>
      <c r="P67" s="23"/>
    </row>
    <row r="68" spans="1:18" outlineLevel="1" x14ac:dyDescent="0.2">
      <c r="G68" s="1" t="s">
        <v>161</v>
      </c>
      <c r="H68" s="32">
        <f>H64</f>
        <v>310298.12388785643</v>
      </c>
      <c r="J68" s="32">
        <f>J64</f>
        <v>194636.1932657228</v>
      </c>
      <c r="K68" s="24"/>
      <c r="M68" s="24"/>
      <c r="O68" s="2"/>
      <c r="P68" s="23"/>
    </row>
    <row r="69" spans="1:18" ht="12" outlineLevel="1" x14ac:dyDescent="0.25">
      <c r="G69" s="26" t="s">
        <v>162</v>
      </c>
      <c r="H69" s="51">
        <f>AVERAGE(H67:H68)</f>
        <v>324766.13239343883</v>
      </c>
      <c r="I69" s="26"/>
      <c r="J69" s="51">
        <f>AVERAGE(J67:J68)</f>
        <v>216884.36109399132</v>
      </c>
      <c r="K69" s="24"/>
      <c r="M69" s="24"/>
      <c r="O69" s="2"/>
      <c r="P69" s="23"/>
    </row>
    <row r="70" spans="1:18" outlineLevel="1" x14ac:dyDescent="0.2">
      <c r="K70" s="24"/>
      <c r="M70" s="24"/>
      <c r="O70" s="2"/>
      <c r="P70" s="23"/>
    </row>
    <row r="71" spans="1:18" outlineLevel="1" x14ac:dyDescent="0.2">
      <c r="O71" s="2"/>
      <c r="P71" s="23"/>
    </row>
    <row r="72" spans="1:18" ht="12" x14ac:dyDescent="0.25">
      <c r="J72" s="26"/>
      <c r="K72" s="22"/>
      <c r="L72" s="26"/>
      <c r="M72" s="22"/>
      <c r="O72" s="2"/>
      <c r="P72" s="23"/>
    </row>
    <row r="73" spans="1:18" s="29" customFormat="1" ht="12" x14ac:dyDescent="0.25">
      <c r="A73" s="28" t="s">
        <v>164</v>
      </c>
    </row>
    <row r="75" spans="1:18" ht="12" x14ac:dyDescent="0.25">
      <c r="A75" s="33"/>
    </row>
    <row r="76" spans="1:18" ht="12" outlineLevel="1" x14ac:dyDescent="0.25">
      <c r="A76" s="33" t="s">
        <v>208</v>
      </c>
    </row>
    <row r="77" spans="1:18" outlineLevel="1" x14ac:dyDescent="0.2">
      <c r="A77" s="3" t="s">
        <v>139</v>
      </c>
    </row>
    <row r="78" spans="1:18" ht="12" outlineLevel="1" x14ac:dyDescent="0.25">
      <c r="I78" s="342" t="s">
        <v>82</v>
      </c>
      <c r="J78" s="342"/>
      <c r="K78" s="342"/>
      <c r="L78" s="342" t="s">
        <v>140</v>
      </c>
      <c r="M78" s="342"/>
      <c r="N78" s="342"/>
      <c r="Q78" s="3" t="s">
        <v>141</v>
      </c>
    </row>
    <row r="79" spans="1:18" ht="12" outlineLevel="1" x14ac:dyDescent="0.25">
      <c r="A79" s="6" t="s">
        <v>142</v>
      </c>
      <c r="B79" s="6" t="s">
        <v>143</v>
      </c>
      <c r="C79" s="1" t="s">
        <v>144</v>
      </c>
      <c r="D79" s="6" t="s">
        <v>145</v>
      </c>
      <c r="E79" s="6" t="s">
        <v>146</v>
      </c>
      <c r="F79" s="6" t="s">
        <v>147</v>
      </c>
      <c r="G79" s="6" t="s">
        <v>148</v>
      </c>
      <c r="H79" s="6" t="s">
        <v>149</v>
      </c>
      <c r="I79" s="6" t="s">
        <v>150</v>
      </c>
      <c r="J79" s="7" t="s">
        <v>151</v>
      </c>
      <c r="K79" s="7" t="s">
        <v>152</v>
      </c>
      <c r="L79" s="6" t="s">
        <v>150</v>
      </c>
      <c r="M79" s="7" t="s">
        <v>151</v>
      </c>
      <c r="N79" s="7" t="s">
        <v>152</v>
      </c>
    </row>
    <row r="80" spans="1:18" outlineLevel="1" x14ac:dyDescent="0.2">
      <c r="A80" s="3">
        <v>65</v>
      </c>
      <c r="B80" s="15" t="s">
        <v>154</v>
      </c>
      <c r="C80" s="3">
        <f>A80-Q85</f>
        <v>5</v>
      </c>
      <c r="D80" s="16">
        <f>AVERAGE(R86:R90)</f>
        <v>135191.41109760001</v>
      </c>
      <c r="E80" s="17">
        <f>'Question 2'!$D$34</f>
        <v>8</v>
      </c>
      <c r="F80" s="18">
        <f>2%*E80*D80</f>
        <v>21630.625775616001</v>
      </c>
      <c r="G80" s="11">
        <f>(1+'Question 2'!$C$44)^-C80</f>
        <v>0.78352616646845896</v>
      </c>
      <c r="H80" s="19">
        <f>'Question 2'!$D$52</f>
        <v>1</v>
      </c>
      <c r="I80" s="10">
        <f>'Question 2'!E146</f>
        <v>16.091863980080912</v>
      </c>
      <c r="J80" s="41">
        <f>H80*I80*F80*G80</f>
        <v>272727.50622787816</v>
      </c>
      <c r="K80" s="41">
        <f>J80/E80</f>
        <v>34090.938278484769</v>
      </c>
      <c r="L80" s="13">
        <f>'Question 2'!H146</f>
        <v>13.205265663923768</v>
      </c>
      <c r="M80" s="47">
        <f>H80*L80*F80*G80</f>
        <v>223804.97237961661</v>
      </c>
      <c r="N80" s="49">
        <f>M80/E80</f>
        <v>27975.621547452076</v>
      </c>
      <c r="Q80" s="4" t="s">
        <v>34</v>
      </c>
      <c r="R80" s="4" t="s">
        <v>127</v>
      </c>
    </row>
    <row r="81" spans="1:18" ht="12" outlineLevel="1" x14ac:dyDescent="0.25">
      <c r="J81" s="50">
        <f>SUM(J80:J80)</f>
        <v>272727.50622787816</v>
      </c>
      <c r="K81" s="51">
        <f>SUM(K80:K80)</f>
        <v>34090.938278484769</v>
      </c>
      <c r="M81" s="50">
        <f>SUM(M80:M80)</f>
        <v>223804.97237961661</v>
      </c>
      <c r="N81" s="50">
        <f>SUM(N80:N80)</f>
        <v>27975.621547452076</v>
      </c>
      <c r="R81" s="5">
        <f>'Question 2'!D29</f>
        <v>96000</v>
      </c>
    </row>
    <row r="82" spans="1:18" outlineLevel="1" x14ac:dyDescent="0.2">
      <c r="R82" s="5">
        <f>'Question 2'!D30</f>
        <v>97000</v>
      </c>
    </row>
    <row r="83" spans="1:18" outlineLevel="1" x14ac:dyDescent="0.2">
      <c r="A83" s="3" t="s">
        <v>155</v>
      </c>
      <c r="R83" s="5">
        <f>'Question 2'!D31</f>
        <v>105000</v>
      </c>
    </row>
    <row r="84" spans="1:18" outlineLevel="1" x14ac:dyDescent="0.2">
      <c r="G84" s="341" t="s">
        <v>82</v>
      </c>
      <c r="H84" s="341"/>
      <c r="I84" s="341" t="s">
        <v>83</v>
      </c>
      <c r="J84" s="341"/>
      <c r="M84" s="24"/>
      <c r="R84" s="5">
        <f>'Question 2'!D32</f>
        <v>110000</v>
      </c>
    </row>
    <row r="85" spans="1:18" outlineLevel="1" x14ac:dyDescent="0.2">
      <c r="A85" s="2" t="s">
        <v>142</v>
      </c>
      <c r="B85" s="2" t="s">
        <v>145</v>
      </c>
      <c r="C85" s="1" t="s">
        <v>156</v>
      </c>
      <c r="D85" s="2" t="s">
        <v>157</v>
      </c>
      <c r="E85" s="1" t="s">
        <v>158</v>
      </c>
      <c r="F85" s="1" t="s">
        <v>159</v>
      </c>
      <c r="G85" s="1" t="s">
        <v>150</v>
      </c>
      <c r="H85" s="1" t="s">
        <v>151</v>
      </c>
      <c r="I85" s="1" t="s">
        <v>150</v>
      </c>
      <c r="J85" s="1" t="s">
        <v>151</v>
      </c>
      <c r="M85" s="24"/>
      <c r="Q85" s="20">
        <f>'Question 2'!D28</f>
        <v>60</v>
      </c>
      <c r="R85" s="21">
        <f>'Question 2'!D33</f>
        <v>120000</v>
      </c>
    </row>
    <row r="86" spans="1:18" outlineLevel="1" x14ac:dyDescent="0.2">
      <c r="A86" s="2">
        <f>Q85</f>
        <v>60</v>
      </c>
      <c r="B86" s="23">
        <f t="shared" ref="B86:B91" si="17">AVERAGE($R$81:$R$85)</f>
        <v>105600</v>
      </c>
      <c r="C86" s="1">
        <f>'Question 2'!$D$34</f>
        <v>8</v>
      </c>
      <c r="D86" s="2">
        <f t="shared" ref="D86:D91" si="18">A86-$Q$85+C86</f>
        <v>8</v>
      </c>
      <c r="E86" s="1">
        <f t="shared" ref="E86:E91" si="19">MIN(1-($A$91-A86)*3%,1)</f>
        <v>0.85</v>
      </c>
      <c r="F86" s="5">
        <f t="shared" ref="F86:F91" si="20">2%*B86*C86*E86</f>
        <v>14361.6</v>
      </c>
      <c r="G86" s="13">
        <f>'Question 2'!C201</f>
        <v>20.098808188076372</v>
      </c>
      <c r="H86" s="32">
        <f>F86*G86</f>
        <v>288651.04367387766</v>
      </c>
      <c r="I86" s="13">
        <f>'Question 2'!D201</f>
        <v>15.997371483990086</v>
      </c>
      <c r="J86" s="32">
        <f>F86*I86</f>
        <v>229747.85030447203</v>
      </c>
      <c r="Q86" s="2">
        <f t="shared" ref="Q86:Q90" si="21">Q85+1</f>
        <v>61</v>
      </c>
      <c r="R86" s="23">
        <f>R85*(1+'Question 2'!$C$46)</f>
        <v>124800</v>
      </c>
    </row>
    <row r="87" spans="1:18" outlineLevel="1" x14ac:dyDescent="0.2">
      <c r="A87" s="2">
        <f>A86+1</f>
        <v>61</v>
      </c>
      <c r="B87" s="23">
        <f t="shared" si="17"/>
        <v>105600</v>
      </c>
      <c r="C87" s="1">
        <f>'Question 2'!$D$34</f>
        <v>8</v>
      </c>
      <c r="D87" s="2">
        <f t="shared" si="18"/>
        <v>9</v>
      </c>
      <c r="E87" s="1">
        <f t="shared" si="19"/>
        <v>0.88</v>
      </c>
      <c r="F87" s="5">
        <f t="shared" si="20"/>
        <v>14868.48</v>
      </c>
      <c r="G87" s="13">
        <f>'Question 2'!C202</f>
        <v>19.213592319822862</v>
      </c>
      <c r="H87" s="32">
        <f t="shared" ref="H87:H91" si="22">F87*G87</f>
        <v>285676.9131354398</v>
      </c>
      <c r="I87" s="13">
        <f>'Question 2'!D202</f>
        <v>15.097361356889113</v>
      </c>
      <c r="J87" s="32">
        <f>F87*I87</f>
        <v>224474.81538767862</v>
      </c>
      <c r="K87" s="27"/>
      <c r="Q87" s="2">
        <f t="shared" si="21"/>
        <v>62</v>
      </c>
      <c r="R87" s="23">
        <f>R86*(1+'Question 2'!$C$46)</f>
        <v>129792</v>
      </c>
    </row>
    <row r="88" spans="1:18" outlineLevel="1" x14ac:dyDescent="0.2">
      <c r="A88" s="2">
        <f t="shared" ref="A88:A91" si="23">A87+1</f>
        <v>62</v>
      </c>
      <c r="B88" s="23">
        <f t="shared" si="17"/>
        <v>105600</v>
      </c>
      <c r="C88" s="1">
        <f>'Question 2'!$D$34</f>
        <v>8</v>
      </c>
      <c r="D88" s="2">
        <f t="shared" si="18"/>
        <v>10</v>
      </c>
      <c r="E88" s="1">
        <f t="shared" si="19"/>
        <v>0.91</v>
      </c>
      <c r="F88" s="5">
        <f t="shared" si="20"/>
        <v>15375.36</v>
      </c>
      <c r="G88" s="13">
        <f>'Question 2'!C203</f>
        <v>18.349064291042303</v>
      </c>
      <c r="H88" s="32">
        <f t="shared" si="22"/>
        <v>282123.46913792018</v>
      </c>
      <c r="I88" s="13">
        <f>'Question 2'!D203</f>
        <v>14.234486655273169</v>
      </c>
      <c r="J88" s="32">
        <f t="shared" ref="J88:J91" si="24">F88*I88</f>
        <v>218860.35674002088</v>
      </c>
      <c r="K88" s="27"/>
      <c r="Q88" s="2">
        <f t="shared" si="21"/>
        <v>63</v>
      </c>
      <c r="R88" s="23">
        <f>R87*(1+'Question 2'!$C$46)</f>
        <v>134983.67999999999</v>
      </c>
    </row>
    <row r="89" spans="1:18" outlineLevel="1" x14ac:dyDescent="0.2">
      <c r="A89" s="2">
        <f t="shared" si="23"/>
        <v>63</v>
      </c>
      <c r="B89" s="23">
        <f t="shared" si="17"/>
        <v>105600</v>
      </c>
      <c r="C89" s="1">
        <f>'Question 2'!$D$34</f>
        <v>8</v>
      </c>
      <c r="D89" s="2">
        <f t="shared" si="18"/>
        <v>11</v>
      </c>
      <c r="E89" s="1">
        <f t="shared" si="19"/>
        <v>0.94</v>
      </c>
      <c r="F89" s="5">
        <f t="shared" si="20"/>
        <v>15882.24</v>
      </c>
      <c r="G89" s="13">
        <f>'Question 2'!C204</f>
        <v>17.504396507534203</v>
      </c>
      <c r="H89" s="32">
        <f t="shared" si="22"/>
        <v>278009.02638782002</v>
      </c>
      <c r="I89" s="13">
        <f>'Question 2'!D204</f>
        <v>13.407007033611622</v>
      </c>
      <c r="J89" s="32">
        <f t="shared" si="24"/>
        <v>212933.30338950784</v>
      </c>
      <c r="K89" s="27"/>
      <c r="Q89" s="2">
        <f t="shared" si="21"/>
        <v>64</v>
      </c>
      <c r="R89" s="23">
        <f>R88*(1+'Question 2'!$C$46)</f>
        <v>140383.02720000001</v>
      </c>
    </row>
    <row r="90" spans="1:18" outlineLevel="1" x14ac:dyDescent="0.2">
      <c r="A90" s="2">
        <f t="shared" si="23"/>
        <v>64</v>
      </c>
      <c r="B90" s="23">
        <f t="shared" si="17"/>
        <v>105600</v>
      </c>
      <c r="C90" s="1">
        <f>'Question 2'!$D$34</f>
        <v>8</v>
      </c>
      <c r="D90" s="2">
        <f t="shared" si="18"/>
        <v>12</v>
      </c>
      <c r="E90" s="1">
        <f t="shared" si="19"/>
        <v>0.97</v>
      </c>
      <c r="F90" s="5">
        <f t="shared" si="20"/>
        <v>16389.12</v>
      </c>
      <c r="G90" s="13">
        <f>'Question 2'!C205</f>
        <v>16.679623754777438</v>
      </c>
      <c r="H90" s="32">
        <f t="shared" si="22"/>
        <v>273364.35527189798</v>
      </c>
      <c r="I90" s="13">
        <f>'Question 2'!D205</f>
        <v>12.613863400389496</v>
      </c>
      <c r="J90" s="32">
        <f t="shared" si="24"/>
        <v>206730.1209325915</v>
      </c>
      <c r="K90" s="27"/>
      <c r="Q90" s="2">
        <f t="shared" si="21"/>
        <v>65</v>
      </c>
      <c r="R90" s="23">
        <f>R89*(1+'Question 2'!$C$46)</f>
        <v>145998.34828800001</v>
      </c>
    </row>
    <row r="91" spans="1:18" outlineLevel="1" x14ac:dyDescent="0.2">
      <c r="A91" s="2">
        <f t="shared" si="23"/>
        <v>65</v>
      </c>
      <c r="B91" s="23">
        <f t="shared" si="17"/>
        <v>105600</v>
      </c>
      <c r="C91" s="1">
        <f>'Question 2'!$D$34</f>
        <v>8</v>
      </c>
      <c r="D91" s="2">
        <f t="shared" si="18"/>
        <v>13</v>
      </c>
      <c r="E91" s="1">
        <f t="shared" si="19"/>
        <v>1</v>
      </c>
      <c r="F91" s="5">
        <f t="shared" si="20"/>
        <v>16896</v>
      </c>
      <c r="G91" s="13">
        <f>'Question 2'!C206</f>
        <v>15.874838217994258</v>
      </c>
      <c r="H91" s="32">
        <f t="shared" si="22"/>
        <v>268221.266531231</v>
      </c>
      <c r="I91" s="13">
        <f>'Question 2'!D206</f>
        <v>11.854072697023812</v>
      </c>
      <c r="J91" s="32">
        <f t="shared" si="24"/>
        <v>200286.41228891432</v>
      </c>
      <c r="K91" s="27"/>
    </row>
    <row r="92" spans="1:18" outlineLevel="1" x14ac:dyDescent="0.2">
      <c r="H92" s="32"/>
      <c r="J92" s="32"/>
    </row>
    <row r="93" spans="1:18" outlineLevel="1" x14ac:dyDescent="0.2">
      <c r="G93" s="1" t="s">
        <v>160</v>
      </c>
      <c r="H93" s="32">
        <f>MAX(H86:H91)</f>
        <v>288651.04367387766</v>
      </c>
      <c r="J93" s="32">
        <f>MAX(J86:J91)</f>
        <v>229747.85030447203</v>
      </c>
    </row>
    <row r="94" spans="1:18" outlineLevel="1" x14ac:dyDescent="0.2">
      <c r="G94" s="1" t="s">
        <v>161</v>
      </c>
      <c r="H94" s="32">
        <f>H91</f>
        <v>268221.266531231</v>
      </c>
      <c r="J94" s="32">
        <f>J91</f>
        <v>200286.41228891432</v>
      </c>
    </row>
    <row r="95" spans="1:18" ht="12" outlineLevel="1" x14ac:dyDescent="0.25">
      <c r="G95" s="26" t="s">
        <v>162</v>
      </c>
      <c r="H95" s="51">
        <f>AVERAGE(H93:H94)</f>
        <v>278436.15510255436</v>
      </c>
      <c r="I95" s="26"/>
      <c r="J95" s="51">
        <f>AVERAGE(J93:J94)</f>
        <v>215017.13129669317</v>
      </c>
    </row>
    <row r="96" spans="1:18" ht="12" outlineLevel="1" x14ac:dyDescent="0.25">
      <c r="G96" s="26"/>
      <c r="H96" s="22"/>
      <c r="I96" s="26"/>
      <c r="J96" s="22"/>
    </row>
    <row r="97" spans="1:18" ht="12" outlineLevel="1" x14ac:dyDescent="0.25">
      <c r="G97" s="26"/>
      <c r="H97" s="22"/>
      <c r="I97" s="26"/>
      <c r="J97" s="22"/>
    </row>
    <row r="98" spans="1:18" ht="12" outlineLevel="1" x14ac:dyDescent="0.25">
      <c r="A98" s="33" t="s">
        <v>209</v>
      </c>
    </row>
    <row r="99" spans="1:18" outlineLevel="1" x14ac:dyDescent="0.2">
      <c r="A99" s="3" t="s">
        <v>139</v>
      </c>
    </row>
    <row r="100" spans="1:18" ht="12" outlineLevel="1" x14ac:dyDescent="0.25">
      <c r="I100" s="342" t="s">
        <v>82</v>
      </c>
      <c r="J100" s="342"/>
      <c r="K100" s="342"/>
      <c r="L100" s="342" t="s">
        <v>140</v>
      </c>
      <c r="M100" s="342"/>
      <c r="N100" s="342"/>
      <c r="Q100" s="3" t="s">
        <v>141</v>
      </c>
    </row>
    <row r="101" spans="1:18" ht="12" outlineLevel="1" x14ac:dyDescent="0.25">
      <c r="A101" s="6" t="s">
        <v>142</v>
      </c>
      <c r="B101" s="6" t="s">
        <v>143</v>
      </c>
      <c r="C101" s="1" t="s">
        <v>144</v>
      </c>
      <c r="D101" s="6" t="s">
        <v>145</v>
      </c>
      <c r="E101" s="6" t="s">
        <v>146</v>
      </c>
      <c r="F101" s="6" t="s">
        <v>147</v>
      </c>
      <c r="G101" s="6" t="s">
        <v>148</v>
      </c>
      <c r="H101" s="6" t="s">
        <v>149</v>
      </c>
      <c r="I101" s="6" t="s">
        <v>150</v>
      </c>
      <c r="J101" s="7" t="s">
        <v>151</v>
      </c>
      <c r="K101" s="7" t="s">
        <v>152</v>
      </c>
      <c r="L101" s="6" t="s">
        <v>150</v>
      </c>
      <c r="M101" s="7" t="s">
        <v>151</v>
      </c>
      <c r="N101" s="7" t="s">
        <v>152</v>
      </c>
    </row>
    <row r="102" spans="1:18" outlineLevel="1" x14ac:dyDescent="0.2">
      <c r="A102" s="3">
        <v>65</v>
      </c>
      <c r="B102" s="15" t="s">
        <v>154</v>
      </c>
      <c r="C102" s="3">
        <f>A102-Q107</f>
        <v>4</v>
      </c>
      <c r="D102" s="16">
        <f>AVERAGE(R107:R111)</f>
        <v>135191.41109760001</v>
      </c>
      <c r="E102" s="17">
        <f>'Question 2'!$D$34+1</f>
        <v>9</v>
      </c>
      <c r="F102" s="18">
        <f>2%*E102*D102</f>
        <v>24334.453997568002</v>
      </c>
      <c r="G102" s="11">
        <f>(1+'Question 2'!$C$44)^-C102</f>
        <v>0.82270247479188197</v>
      </c>
      <c r="H102" s="19">
        <f>'Question 2'!$D$52</f>
        <v>1</v>
      </c>
      <c r="I102" s="10">
        <f>$I$80</f>
        <v>16.091863980080912</v>
      </c>
      <c r="J102" s="41">
        <f>H102*I102*F102*G102</f>
        <v>322159.3667316811</v>
      </c>
      <c r="K102" s="41">
        <f>J102/E102</f>
        <v>35795.485192409011</v>
      </c>
      <c r="L102" s="13">
        <f>L80</f>
        <v>13.205265663923768</v>
      </c>
      <c r="M102" s="47">
        <f>H102*L102*F102*G102</f>
        <v>264369.62362342211</v>
      </c>
      <c r="N102" s="49">
        <f>M102/E102</f>
        <v>29374.402624824681</v>
      </c>
      <c r="Q102" s="4" t="s">
        <v>34</v>
      </c>
      <c r="R102" s="4" t="s">
        <v>127</v>
      </c>
    </row>
    <row r="103" spans="1:18" ht="12" outlineLevel="1" x14ac:dyDescent="0.25">
      <c r="J103" s="51">
        <f>SUM(J102:J102)</f>
        <v>322159.3667316811</v>
      </c>
      <c r="K103" s="51">
        <f>SUM(K102:K102)</f>
        <v>35795.485192409011</v>
      </c>
      <c r="M103" s="50">
        <f>SUM(M102:M102)</f>
        <v>264369.62362342211</v>
      </c>
      <c r="N103" s="50">
        <f>SUM(N102:N102)</f>
        <v>29374.402624824681</v>
      </c>
      <c r="R103" s="5">
        <f t="shared" ref="R103:R106" si="25">R82</f>
        <v>97000</v>
      </c>
    </row>
    <row r="104" spans="1:18" outlineLevel="1" x14ac:dyDescent="0.2">
      <c r="R104" s="5">
        <f t="shared" si="25"/>
        <v>105000</v>
      </c>
    </row>
    <row r="105" spans="1:18" outlineLevel="1" x14ac:dyDescent="0.2">
      <c r="A105" s="3" t="s">
        <v>155</v>
      </c>
      <c r="R105" s="5">
        <f t="shared" si="25"/>
        <v>110000</v>
      </c>
    </row>
    <row r="106" spans="1:18" outlineLevel="1" x14ac:dyDescent="0.2">
      <c r="G106" s="341" t="s">
        <v>82</v>
      </c>
      <c r="H106" s="341"/>
      <c r="I106" s="341" t="s">
        <v>83</v>
      </c>
      <c r="J106" s="341"/>
      <c r="R106" s="5">
        <f t="shared" si="25"/>
        <v>120000</v>
      </c>
    </row>
    <row r="107" spans="1:18" outlineLevel="1" x14ac:dyDescent="0.2">
      <c r="A107" s="2" t="s">
        <v>142</v>
      </c>
      <c r="B107" s="2" t="s">
        <v>145</v>
      </c>
      <c r="C107" s="1" t="s">
        <v>156</v>
      </c>
      <c r="D107" s="2" t="s">
        <v>157</v>
      </c>
      <c r="E107" s="1" t="s">
        <v>158</v>
      </c>
      <c r="F107" s="1" t="s">
        <v>159</v>
      </c>
      <c r="G107" s="1" t="s">
        <v>150</v>
      </c>
      <c r="H107" s="1" t="s">
        <v>151</v>
      </c>
      <c r="I107" s="1" t="s">
        <v>150</v>
      </c>
      <c r="J107" s="1" t="s">
        <v>151</v>
      </c>
      <c r="Q107" s="20">
        <f>Q85+1</f>
        <v>61</v>
      </c>
      <c r="R107" s="21">
        <f>R86</f>
        <v>124800</v>
      </c>
    </row>
    <row r="108" spans="1:18" outlineLevel="1" x14ac:dyDescent="0.2">
      <c r="A108" s="2">
        <f>Q107</f>
        <v>61</v>
      </c>
      <c r="B108" s="23">
        <f>AVERAGE($R$103:$R$107)</f>
        <v>111360</v>
      </c>
      <c r="C108" s="1">
        <f>'Question 2'!$D$34+1</f>
        <v>9</v>
      </c>
      <c r="D108" s="2">
        <f>A108-$Q$85+C108</f>
        <v>10</v>
      </c>
      <c r="E108" s="1">
        <f>MIN(1-($A$91-A108)*3%,1)</f>
        <v>0.88</v>
      </c>
      <c r="F108" s="5">
        <f>2%*B108*C108*E108</f>
        <v>17639.424000000003</v>
      </c>
      <c r="G108" s="13">
        <f>'Question 2'!E202</f>
        <v>19.604935886325752</v>
      </c>
      <c r="H108" s="32">
        <f>F108*G108</f>
        <v>345819.77659171581</v>
      </c>
      <c r="I108" s="13">
        <f>'Question 2'!F202</f>
        <v>15.695902752940864</v>
      </c>
      <c r="J108" s="32">
        <f>F108*I108</f>
        <v>276866.6837218912</v>
      </c>
      <c r="Q108" s="2">
        <f t="shared" ref="Q108:Q111" si="26">Q107+1</f>
        <v>62</v>
      </c>
      <c r="R108" s="23">
        <f>R107*(1+'Question 2'!$C$46)</f>
        <v>129792</v>
      </c>
    </row>
    <row r="109" spans="1:18" outlineLevel="1" x14ac:dyDescent="0.2">
      <c r="A109" s="2">
        <f>A108+1</f>
        <v>62</v>
      </c>
      <c r="B109" s="23">
        <f>B108</f>
        <v>111360</v>
      </c>
      <c r="C109" s="1">
        <f>'Question 2'!$D$34+1</f>
        <v>9</v>
      </c>
      <c r="D109" s="2">
        <f>A109-$Q$85+C109</f>
        <v>11</v>
      </c>
      <c r="E109" s="1">
        <f>MIN(1-($A$91-A109)*3%,1)</f>
        <v>0.91</v>
      </c>
      <c r="F109" s="5">
        <f>2%*B109*C109*E109</f>
        <v>18240.768000000004</v>
      </c>
      <c r="G109" s="13">
        <f>'Question 2'!E203</f>
        <v>18.722684225774454</v>
      </c>
      <c r="H109" s="32">
        <f t="shared" ref="H109:H112" si="27">F109*G109</f>
        <v>341516.1392996115</v>
      </c>
      <c r="I109" s="13">
        <f>'Question 2'!F203</f>
        <v>14.798683246605215</v>
      </c>
      <c r="J109" s="32">
        <f>F109*I109</f>
        <v>269939.34780681256</v>
      </c>
      <c r="K109" s="27"/>
      <c r="Q109" s="2">
        <f t="shared" si="26"/>
        <v>63</v>
      </c>
      <c r="R109" s="23">
        <f>R108*(1+'Question 2'!$C$46)</f>
        <v>134983.67999999999</v>
      </c>
    </row>
    <row r="110" spans="1:18" outlineLevel="1" x14ac:dyDescent="0.2">
      <c r="A110" s="2">
        <f t="shared" ref="A110:A112" si="28">A109+1</f>
        <v>63</v>
      </c>
      <c r="B110" s="23">
        <f t="shared" ref="B110:B112" si="29">B109</f>
        <v>111360</v>
      </c>
      <c r="C110" s="1">
        <f>'Question 2'!$D$34+1</f>
        <v>9</v>
      </c>
      <c r="D110" s="2">
        <f>A110-$Q$85+C110</f>
        <v>12</v>
      </c>
      <c r="E110" s="1">
        <f>MIN(1-($A$91-A110)*3%,1)</f>
        <v>0.94</v>
      </c>
      <c r="F110" s="5">
        <f>2%*B110*C110*E110</f>
        <v>18842.112000000001</v>
      </c>
      <c r="G110" s="13">
        <f>'Question 2'!E204</f>
        <v>17.860626722044394</v>
      </c>
      <c r="H110" s="32">
        <f t="shared" si="27"/>
        <v>336531.92908695334</v>
      </c>
      <c r="I110" s="13">
        <f>'Question 2'!F204</f>
        <v>13.938215938238642</v>
      </c>
      <c r="J110" s="32">
        <f t="shared" ref="J110:J112" si="30">F110*I110</f>
        <v>262625.42578847759</v>
      </c>
      <c r="K110" s="27"/>
      <c r="Q110" s="2">
        <f t="shared" si="26"/>
        <v>64</v>
      </c>
      <c r="R110" s="23">
        <f>R109*(1+'Question 2'!$C$46)</f>
        <v>140383.02720000001</v>
      </c>
    </row>
    <row r="111" spans="1:18" outlineLevel="1" x14ac:dyDescent="0.2">
      <c r="A111" s="2">
        <f t="shared" si="28"/>
        <v>64</v>
      </c>
      <c r="B111" s="23">
        <f t="shared" si="29"/>
        <v>111360</v>
      </c>
      <c r="C111" s="1">
        <f>'Question 2'!$D$34+1</f>
        <v>9</v>
      </c>
      <c r="D111" s="2">
        <f>A111-$Q$85+C111</f>
        <v>13</v>
      </c>
      <c r="E111" s="1">
        <f>MIN(1-($A$91-A111)*3%,1)</f>
        <v>0.97</v>
      </c>
      <c r="F111" s="5">
        <f>2%*B111*C111*E111</f>
        <v>19443.456000000002</v>
      </c>
      <c r="G111" s="13">
        <f>'Question 2'!E205</f>
        <v>17.018797008326828</v>
      </c>
      <c r="H111" s="32">
        <f t="shared" si="27"/>
        <v>330904.23080433434</v>
      </c>
      <c r="I111" s="13">
        <f>'Question 2'!F205</f>
        <v>13.113399627791745</v>
      </c>
      <c r="J111" s="32">
        <f t="shared" si="30"/>
        <v>254969.80867338521</v>
      </c>
      <c r="K111" s="27"/>
      <c r="Q111" s="2">
        <f t="shared" si="26"/>
        <v>65</v>
      </c>
      <c r="R111" s="23">
        <f>R110*(1+'Question 2'!$C$46)</f>
        <v>145998.34828800001</v>
      </c>
    </row>
    <row r="112" spans="1:18" outlineLevel="1" x14ac:dyDescent="0.2">
      <c r="A112" s="2">
        <f t="shared" si="28"/>
        <v>65</v>
      </c>
      <c r="B112" s="23">
        <f t="shared" si="29"/>
        <v>111360</v>
      </c>
      <c r="C112" s="1">
        <f>'Question 2'!$D$34+1</f>
        <v>9</v>
      </c>
      <c r="D112" s="2">
        <f>A112-$Q$85+C112</f>
        <v>14</v>
      </c>
      <c r="E112" s="1">
        <f>MIN(1-($A$91-A112)*3%,1)</f>
        <v>1</v>
      </c>
      <c r="F112" s="5">
        <f>2%*B112*C112*E112</f>
        <v>20044.800000000003</v>
      </c>
      <c r="G112" s="13">
        <f>'Question 2'!E206</f>
        <v>16.197290722619655</v>
      </c>
      <c r="H112" s="32">
        <f t="shared" si="27"/>
        <v>324671.45307676651</v>
      </c>
      <c r="I112" s="13">
        <f>'Question 2'!F206</f>
        <v>12.323215324659872</v>
      </c>
      <c r="J112" s="32">
        <f t="shared" si="30"/>
        <v>247016.38653974223</v>
      </c>
      <c r="K112" s="27"/>
      <c r="Q112" s="2"/>
      <c r="R112" s="23"/>
    </row>
    <row r="113" spans="1:19" outlineLevel="1" x14ac:dyDescent="0.2">
      <c r="J113" s="32"/>
    </row>
    <row r="114" spans="1:19" outlineLevel="1" x14ac:dyDescent="0.2">
      <c r="G114" s="1" t="s">
        <v>160</v>
      </c>
      <c r="H114" s="32">
        <f>MAX(H108:H112)</f>
        <v>345819.77659171581</v>
      </c>
      <c r="J114" s="32">
        <f>MAX(J108:J112)</f>
        <v>276866.6837218912</v>
      </c>
    </row>
    <row r="115" spans="1:19" outlineLevel="1" x14ac:dyDescent="0.2">
      <c r="G115" s="1" t="s">
        <v>161</v>
      </c>
      <c r="H115" s="32">
        <f>H112</f>
        <v>324671.45307676651</v>
      </c>
      <c r="J115" s="32">
        <f>J112</f>
        <v>247016.38653974223</v>
      </c>
    </row>
    <row r="116" spans="1:19" ht="12" outlineLevel="1" x14ac:dyDescent="0.25">
      <c r="G116" s="26" t="s">
        <v>162</v>
      </c>
      <c r="H116" s="51">
        <f>AVERAGE(H114:H115)</f>
        <v>335245.61483424116</v>
      </c>
      <c r="I116" s="26"/>
      <c r="J116" s="51">
        <f>AVERAGE(J114:J115)</f>
        <v>261941.53513081672</v>
      </c>
    </row>
    <row r="118" spans="1:19" s="29" customFormat="1" ht="12" x14ac:dyDescent="0.25">
      <c r="A118" s="28" t="s">
        <v>165</v>
      </c>
    </row>
    <row r="120" spans="1:19" ht="12" outlineLevel="1" x14ac:dyDescent="0.25">
      <c r="A120" s="33" t="s">
        <v>204</v>
      </c>
      <c r="F120" s="33" t="s">
        <v>205</v>
      </c>
      <c r="H120" s="1" t="s">
        <v>166</v>
      </c>
      <c r="I120" s="34">
        <v>7.0000000000000007E-2</v>
      </c>
      <c r="K120" s="33" t="s">
        <v>205</v>
      </c>
      <c r="M120" s="1" t="s">
        <v>166</v>
      </c>
      <c r="N120" s="34">
        <v>0.02</v>
      </c>
      <c r="P120" s="33" t="s">
        <v>205</v>
      </c>
      <c r="R120" s="1" t="s">
        <v>166</v>
      </c>
      <c r="S120" s="34">
        <v>0.02</v>
      </c>
    </row>
    <row r="121" spans="1:19" ht="12" outlineLevel="1" x14ac:dyDescent="0.25">
      <c r="A121" s="33"/>
      <c r="F121" s="36" t="s">
        <v>124</v>
      </c>
      <c r="I121" s="34"/>
      <c r="K121" s="36" t="s">
        <v>123</v>
      </c>
      <c r="N121" s="34"/>
      <c r="P121" s="36" t="s">
        <v>238</v>
      </c>
      <c r="S121" s="34"/>
    </row>
    <row r="122" spans="1:19" outlineLevel="1" x14ac:dyDescent="0.2">
      <c r="A122" s="6" t="s">
        <v>34</v>
      </c>
      <c r="B122" s="6">
        <f>'Question 2'!E28</f>
        <v>66</v>
      </c>
      <c r="F122" s="6" t="s">
        <v>34</v>
      </c>
      <c r="G122" s="6">
        <f>B122+1</f>
        <v>67</v>
      </c>
      <c r="K122" s="6" t="s">
        <v>34</v>
      </c>
      <c r="L122" s="6">
        <f>G122</f>
        <v>67</v>
      </c>
      <c r="P122" s="6" t="s">
        <v>34</v>
      </c>
      <c r="Q122" s="6">
        <f>L122</f>
        <v>67</v>
      </c>
    </row>
    <row r="123" spans="1:19" outlineLevel="1" x14ac:dyDescent="0.2">
      <c r="A123" s="6" t="s">
        <v>167</v>
      </c>
      <c r="B123" s="31">
        <f>'Question 2'!E35</f>
        <v>42000</v>
      </c>
      <c r="F123" s="6" t="s">
        <v>167</v>
      </c>
      <c r="G123" s="31">
        <f>(1+I120)*B123</f>
        <v>44940</v>
      </c>
      <c r="K123" s="6" t="s">
        <v>167</v>
      </c>
      <c r="L123" s="31">
        <f>(1+N120)*B123</f>
        <v>42840</v>
      </c>
      <c r="P123" s="6" t="s">
        <v>167</v>
      </c>
      <c r="Q123" s="31">
        <f>L123</f>
        <v>42840</v>
      </c>
    </row>
    <row r="124" spans="1:19" outlineLevel="1" x14ac:dyDescent="0.2"/>
    <row r="125" spans="1:19" outlineLevel="1" x14ac:dyDescent="0.2">
      <c r="A125" s="3" t="s">
        <v>139</v>
      </c>
      <c r="F125" s="3" t="s">
        <v>139</v>
      </c>
      <c r="K125" s="3" t="s">
        <v>139</v>
      </c>
      <c r="P125" s="3" t="s">
        <v>139</v>
      </c>
    </row>
    <row r="126" spans="1:19" outlineLevel="1" x14ac:dyDescent="0.2">
      <c r="B126" s="15" t="s">
        <v>82</v>
      </c>
      <c r="C126" s="15" t="s">
        <v>140</v>
      </c>
      <c r="G126" s="15" t="s">
        <v>82</v>
      </c>
      <c r="H126" s="15" t="s">
        <v>140</v>
      </c>
      <c r="L126" s="15" t="s">
        <v>82</v>
      </c>
      <c r="M126" s="15" t="s">
        <v>140</v>
      </c>
      <c r="Q126" s="15" t="s">
        <v>82</v>
      </c>
      <c r="R126" s="15"/>
    </row>
    <row r="127" spans="1:19" outlineLevel="1" x14ac:dyDescent="0.2">
      <c r="A127" s="6" t="s">
        <v>168</v>
      </c>
      <c r="B127" s="6">
        <f>'Question 2'!E115</f>
        <v>15.556514096649394</v>
      </c>
      <c r="C127" s="6">
        <f>'Question 2'!H115</f>
        <v>12.830558431202119</v>
      </c>
      <c r="F127" s="6" t="s">
        <v>168</v>
      </c>
      <c r="G127" s="6">
        <f>'Question 2'!E116</f>
        <v>15.093926067424368</v>
      </c>
      <c r="H127" s="6">
        <f>'Question 2'!H116</f>
        <v>12.521164671050814</v>
      </c>
      <c r="J127" s="6"/>
      <c r="K127" s="6" t="s">
        <v>168</v>
      </c>
      <c r="L127" s="6">
        <f>G127</f>
        <v>15.093926067424368</v>
      </c>
      <c r="M127" s="6">
        <f>H127</f>
        <v>12.521164671050814</v>
      </c>
      <c r="P127" s="6" t="s">
        <v>168</v>
      </c>
      <c r="Q127" s="6"/>
      <c r="R127" s="6"/>
    </row>
    <row r="128" spans="1:19" ht="12" outlineLevel="1" x14ac:dyDescent="0.25">
      <c r="A128" s="7" t="s">
        <v>151</v>
      </c>
      <c r="B128" s="30">
        <f>B127*$B$123</f>
        <v>653373.59205927455</v>
      </c>
      <c r="C128" s="30">
        <f>C127*$B$123</f>
        <v>538883.45411048899</v>
      </c>
      <c r="F128" s="7" t="s">
        <v>151</v>
      </c>
      <c r="G128" s="30">
        <f>G127*$G$123</f>
        <v>678321.03747005109</v>
      </c>
      <c r="H128" s="30">
        <f>H127*$G$123</f>
        <v>562701.14031702362</v>
      </c>
      <c r="K128" s="7" t="s">
        <v>151</v>
      </c>
      <c r="L128" s="30">
        <f>L127*$L$123</f>
        <v>646623.79272845993</v>
      </c>
      <c r="M128" s="30">
        <f t="shared" ref="M128" si="31">M127*$L$123</f>
        <v>536406.69450781681</v>
      </c>
      <c r="P128" s="7" t="s">
        <v>151</v>
      </c>
      <c r="Q128" s="51">
        <f>B128*(1+'Question 2'!$C$63)-B123*(1+'Question 2'!$C$63)^0.5</f>
        <v>643005.07844520803</v>
      </c>
      <c r="R128" s="30"/>
    </row>
    <row r="129" spans="1:19" outlineLevel="1" x14ac:dyDescent="0.2"/>
    <row r="130" spans="1:19" outlineLevel="1" x14ac:dyDescent="0.2">
      <c r="A130" s="3" t="s">
        <v>155</v>
      </c>
      <c r="F130" s="3" t="s">
        <v>155</v>
      </c>
      <c r="K130" s="3" t="s">
        <v>155</v>
      </c>
      <c r="P130" s="3"/>
    </row>
    <row r="131" spans="1:19" outlineLevel="1" x14ac:dyDescent="0.2">
      <c r="B131" s="15" t="s">
        <v>82</v>
      </c>
      <c r="C131" s="15" t="s">
        <v>140</v>
      </c>
      <c r="G131" s="15" t="s">
        <v>82</v>
      </c>
      <c r="H131" s="15" t="s">
        <v>140</v>
      </c>
      <c r="L131" s="15" t="s">
        <v>82</v>
      </c>
      <c r="M131" s="15" t="s">
        <v>140</v>
      </c>
      <c r="Q131" s="15"/>
      <c r="R131" s="15"/>
    </row>
    <row r="132" spans="1:19" outlineLevel="1" x14ac:dyDescent="0.2">
      <c r="A132" s="6" t="s">
        <v>168</v>
      </c>
      <c r="B132" s="6">
        <f>'Question 2'!C115</f>
        <v>17.877230840256168</v>
      </c>
      <c r="C132" s="6">
        <f>'Question 2'!F115</f>
        <v>14.360433222609943</v>
      </c>
      <c r="F132" s="6" t="s">
        <v>168</v>
      </c>
      <c r="G132" s="6">
        <f>'Question 2'!C116</f>
        <v>17.267335166368497</v>
      </c>
      <c r="H132" s="6">
        <f>'Question 2'!F116</f>
        <v>13.967902224455344</v>
      </c>
      <c r="K132" s="6" t="s">
        <v>168</v>
      </c>
      <c r="L132" s="6">
        <f>G132</f>
        <v>17.267335166368497</v>
      </c>
      <c r="M132" s="6">
        <f>H132</f>
        <v>13.967902224455344</v>
      </c>
      <c r="P132" s="6"/>
      <c r="Q132" s="6"/>
      <c r="R132" s="6"/>
    </row>
    <row r="133" spans="1:19" ht="12" outlineLevel="1" x14ac:dyDescent="0.25">
      <c r="A133" s="7" t="s">
        <v>151</v>
      </c>
      <c r="B133" s="30">
        <f>B132*$B$123</f>
        <v>750843.69529075909</v>
      </c>
      <c r="C133" s="30">
        <f>C132*$B$123</f>
        <v>603138.19534961763</v>
      </c>
      <c r="F133" s="7" t="s">
        <v>151</v>
      </c>
      <c r="G133" s="30">
        <f>G132*$G$123</f>
        <v>775994.04237660021</v>
      </c>
      <c r="H133" s="30">
        <f>H132*$G$123</f>
        <v>627717.5259670231</v>
      </c>
      <c r="K133" s="7" t="s">
        <v>151</v>
      </c>
      <c r="L133" s="30">
        <f>L132*$L$123</f>
        <v>739732.6385272264</v>
      </c>
      <c r="M133" s="30">
        <f t="shared" ref="M133" si="32">M132*$L$123</f>
        <v>598384.93129566696</v>
      </c>
      <c r="P133" s="7"/>
      <c r="Q133" s="30"/>
      <c r="R133" s="30"/>
    </row>
    <row r="135" spans="1:19" s="29" customFormat="1" ht="12" x14ac:dyDescent="0.25">
      <c r="A135" s="28" t="s">
        <v>169</v>
      </c>
    </row>
    <row r="138" spans="1:19" ht="12" x14ac:dyDescent="0.25">
      <c r="A138" s="33" t="s">
        <v>204</v>
      </c>
      <c r="F138" s="33" t="s">
        <v>205</v>
      </c>
      <c r="I138" s="34"/>
      <c r="K138" s="33" t="s">
        <v>205</v>
      </c>
      <c r="M138" s="1" t="s">
        <v>166</v>
      </c>
      <c r="N138" s="34">
        <v>0.02</v>
      </c>
      <c r="P138" s="33" t="s">
        <v>205</v>
      </c>
      <c r="R138" s="1" t="s">
        <v>166</v>
      </c>
      <c r="S138" s="34">
        <v>0.02</v>
      </c>
    </row>
    <row r="139" spans="1:19" ht="12" x14ac:dyDescent="0.25">
      <c r="A139" s="33"/>
      <c r="F139" s="1" t="s">
        <v>124</v>
      </c>
      <c r="I139" s="34"/>
      <c r="K139" s="36" t="s">
        <v>123</v>
      </c>
      <c r="N139" s="34"/>
      <c r="P139" s="36" t="s">
        <v>238</v>
      </c>
      <c r="S139" s="34"/>
    </row>
    <row r="140" spans="1:19" outlineLevel="1" x14ac:dyDescent="0.2">
      <c r="A140" s="6" t="s">
        <v>34</v>
      </c>
      <c r="B140" s="6">
        <f>'Question 2'!F28</f>
        <v>70</v>
      </c>
      <c r="F140" s="36" t="s">
        <v>170</v>
      </c>
      <c r="K140" s="6" t="s">
        <v>34</v>
      </c>
      <c r="L140" s="6">
        <f>B140+1</f>
        <v>71</v>
      </c>
      <c r="P140" s="6" t="s">
        <v>34</v>
      </c>
      <c r="Q140" s="6">
        <f>G140+1</f>
        <v>1</v>
      </c>
    </row>
    <row r="141" spans="1:19" outlineLevel="1" x14ac:dyDescent="0.2">
      <c r="A141" s="6" t="s">
        <v>167</v>
      </c>
      <c r="B141" s="31">
        <f>'Question 2'!$F$35</f>
        <v>36000</v>
      </c>
      <c r="F141" s="1" t="s">
        <v>139</v>
      </c>
      <c r="H141" s="25">
        <v>0</v>
      </c>
      <c r="K141" s="6" t="s">
        <v>167</v>
      </c>
      <c r="L141" s="31">
        <f>(1+N138)*B141</f>
        <v>36720</v>
      </c>
      <c r="P141" s="6" t="s">
        <v>167</v>
      </c>
      <c r="Q141" s="31">
        <f>L141</f>
        <v>36720</v>
      </c>
    </row>
    <row r="142" spans="1:19" outlineLevel="1" x14ac:dyDescent="0.2">
      <c r="F142" s="1" t="s">
        <v>155</v>
      </c>
      <c r="H142" s="25">
        <v>0</v>
      </c>
    </row>
    <row r="143" spans="1:19" outlineLevel="1" x14ac:dyDescent="0.2">
      <c r="A143" s="3" t="s">
        <v>139</v>
      </c>
      <c r="K143" s="3" t="s">
        <v>139</v>
      </c>
      <c r="P143" s="3" t="s">
        <v>139</v>
      </c>
    </row>
    <row r="144" spans="1:19" outlineLevel="1" x14ac:dyDescent="0.2">
      <c r="B144" s="15" t="s">
        <v>82</v>
      </c>
      <c r="C144" s="15" t="s">
        <v>140</v>
      </c>
      <c r="G144" s="15"/>
      <c r="H144" s="37"/>
      <c r="L144" s="15" t="s">
        <v>82</v>
      </c>
      <c r="M144" s="15" t="s">
        <v>140</v>
      </c>
      <c r="Q144" s="15" t="s">
        <v>82</v>
      </c>
      <c r="R144" s="15"/>
    </row>
    <row r="145" spans="1:18" outlineLevel="1" x14ac:dyDescent="0.2">
      <c r="A145" s="6" t="s">
        <v>168</v>
      </c>
      <c r="B145" s="6">
        <f>'Question 2'!E119</f>
        <v>13.657366275475866</v>
      </c>
      <c r="C145" s="6">
        <f>'Question 2'!H119</f>
        <v>11.530025244130009</v>
      </c>
      <c r="F145" s="6"/>
      <c r="G145" s="6"/>
      <c r="H145" s="38"/>
      <c r="K145" s="6" t="s">
        <v>168</v>
      </c>
      <c r="L145" s="6">
        <f>'Question 2'!E120</f>
        <v>13.164472432957739</v>
      </c>
      <c r="M145" s="12">
        <f>'Question 2'!H120</f>
        <v>11.179690917753776</v>
      </c>
      <c r="P145" s="6" t="s">
        <v>168</v>
      </c>
      <c r="Q145" s="6">
        <f>'Question 2'!J120</f>
        <v>0</v>
      </c>
      <c r="R145" s="12"/>
    </row>
    <row r="146" spans="1:18" ht="12" outlineLevel="1" x14ac:dyDescent="0.25">
      <c r="A146" s="7" t="s">
        <v>151</v>
      </c>
      <c r="B146" s="30">
        <f>B145*$B$141</f>
        <v>491665.1859171312</v>
      </c>
      <c r="C146" s="30">
        <f>C145*$B$141</f>
        <v>415080.90878868033</v>
      </c>
      <c r="F146" s="7"/>
      <c r="G146" s="30"/>
      <c r="H146" s="30"/>
      <c r="K146" s="7" t="s">
        <v>151</v>
      </c>
      <c r="L146" s="30">
        <f>L145*$L$141</f>
        <v>483399.42773820815</v>
      </c>
      <c r="M146" s="30">
        <f t="shared" ref="M146" si="33">M145*$L$141</f>
        <v>410518.25049991865</v>
      </c>
      <c r="P146" s="7" t="s">
        <v>151</v>
      </c>
      <c r="Q146" s="51">
        <f>B146*(1+'Question 2'!$C$63)-B141*(1+'Question 2'!$C$63)^0.5</f>
        <v>479359.42245553323</v>
      </c>
      <c r="R146" s="30"/>
    </row>
    <row r="147" spans="1:18" outlineLevel="1" x14ac:dyDescent="0.2">
      <c r="H147" s="25"/>
    </row>
    <row r="148" spans="1:18" outlineLevel="1" x14ac:dyDescent="0.2">
      <c r="A148" s="3" t="s">
        <v>155</v>
      </c>
      <c r="K148" s="3" t="s">
        <v>155</v>
      </c>
      <c r="P148" s="3"/>
    </row>
    <row r="149" spans="1:18" outlineLevel="1" x14ac:dyDescent="0.2">
      <c r="B149" s="15" t="s">
        <v>82</v>
      </c>
      <c r="C149" s="15" t="s">
        <v>140</v>
      </c>
      <c r="G149" s="15"/>
      <c r="H149" s="15"/>
      <c r="L149" s="15" t="s">
        <v>82</v>
      </c>
      <c r="M149" s="15" t="s">
        <v>140</v>
      </c>
      <c r="Q149" s="15"/>
      <c r="R149" s="15"/>
    </row>
    <row r="150" spans="1:18" outlineLevel="1" x14ac:dyDescent="0.2">
      <c r="A150" s="6" t="s">
        <v>168</v>
      </c>
      <c r="B150" s="6">
        <f>'Question 2'!C119</f>
        <v>15.413405645243213</v>
      </c>
      <c r="C150" s="6">
        <f>'Question 2'!F119</f>
        <v>12.733318339778284</v>
      </c>
      <c r="F150" s="6"/>
      <c r="G150" s="6"/>
      <c r="H150" s="6"/>
      <c r="K150" s="6" t="s">
        <v>168</v>
      </c>
      <c r="L150" s="6">
        <f>'Question 2'!C120</f>
        <v>14.79033101116876</v>
      </c>
      <c r="M150" s="6">
        <f>'Question 2'!F120</f>
        <v>12.304523113232241</v>
      </c>
      <c r="P150" s="6"/>
      <c r="Q150" s="6"/>
      <c r="R150" s="6"/>
    </row>
    <row r="151" spans="1:18" ht="12" outlineLevel="1" x14ac:dyDescent="0.25">
      <c r="A151" s="7" t="s">
        <v>151</v>
      </c>
      <c r="B151" s="30">
        <f>B150*$B$141</f>
        <v>554882.60322875564</v>
      </c>
      <c r="C151" s="30">
        <f>C150*$B$141</f>
        <v>458399.46023201826</v>
      </c>
      <c r="F151" s="7"/>
      <c r="G151" s="30"/>
      <c r="H151" s="30"/>
      <c r="K151" s="7" t="s">
        <v>151</v>
      </c>
      <c r="L151" s="30">
        <f>L150*$L$141</f>
        <v>543100.95473011688</v>
      </c>
      <c r="M151" s="30">
        <f t="shared" ref="M151" si="34">M150*$L$141</f>
        <v>451822.08871788788</v>
      </c>
      <c r="P151" s="7"/>
      <c r="Q151" s="30"/>
      <c r="R151" s="30"/>
    </row>
  </sheetData>
  <mergeCells count="18">
    <mergeCell ref="G15:H15"/>
    <mergeCell ref="I15:J15"/>
    <mergeCell ref="I39:K39"/>
    <mergeCell ref="L39:N39"/>
    <mergeCell ref="I7:K7"/>
    <mergeCell ref="L7:N7"/>
    <mergeCell ref="I45:K45"/>
    <mergeCell ref="L45:N45"/>
    <mergeCell ref="G53:H53"/>
    <mergeCell ref="I53:J53"/>
    <mergeCell ref="I78:K78"/>
    <mergeCell ref="L78:N78"/>
    <mergeCell ref="G84:H84"/>
    <mergeCell ref="I84:J84"/>
    <mergeCell ref="I100:K100"/>
    <mergeCell ref="L100:N100"/>
    <mergeCell ref="G106:H106"/>
    <mergeCell ref="I106:J10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06382-AE58-437A-94E5-934E716DC71B}">
  <dimension ref="A1:AW158"/>
  <sheetViews>
    <sheetView zoomScale="85" zoomScaleNormal="85" workbookViewId="0">
      <selection activeCell="AL80" sqref="AL80"/>
    </sheetView>
  </sheetViews>
  <sheetFormatPr defaultColWidth="8.88671875" defaultRowHeight="15.6" x14ac:dyDescent="0.3"/>
  <cols>
    <col min="1" max="1" width="3.5546875" style="223" customWidth="1"/>
    <col min="2" max="2" width="11.109375" style="223" customWidth="1"/>
    <col min="3" max="3" width="27.6640625" style="223" customWidth="1"/>
    <col min="4" max="8" width="12.88671875" style="223" customWidth="1"/>
    <col min="9" max="9" width="8.88671875" style="223"/>
    <col min="10" max="10" width="2.5546875" style="223" customWidth="1"/>
    <col min="11" max="13" width="8.88671875" style="222"/>
    <col min="14" max="14" width="10.109375" style="222" bestFit="1" customWidth="1"/>
    <col min="15" max="15" width="24.5546875" style="222" customWidth="1"/>
    <col min="16" max="16" width="10.109375" style="222" bestFit="1" customWidth="1"/>
    <col min="17" max="17" width="10" style="222" customWidth="1"/>
    <col min="18" max="18" width="14.33203125" style="222" customWidth="1"/>
    <col min="19" max="19" width="17.33203125" style="222" bestFit="1" customWidth="1"/>
    <col min="20" max="20" width="9.109375" style="222" bestFit="1" customWidth="1"/>
    <col min="21" max="21" width="8.88671875" style="222"/>
    <col min="22" max="22" width="10.109375" style="222" bestFit="1" customWidth="1"/>
    <col min="23" max="23" width="8.88671875" style="222"/>
    <col min="24" max="24" width="10.109375" style="222" bestFit="1" customWidth="1"/>
    <col min="25" max="30" width="8.88671875" style="222"/>
    <col min="31" max="31" width="10" style="222" bestFit="1" customWidth="1"/>
    <col min="32" max="34" width="8.88671875" style="222"/>
    <col min="35" max="35" width="9.109375" style="222" bestFit="1" customWidth="1"/>
    <col min="36" max="36" width="8.88671875" style="222"/>
    <col min="37" max="37" width="10.109375" style="222" bestFit="1" customWidth="1"/>
    <col min="38" max="39" width="8.88671875" style="222"/>
    <col min="40" max="40" width="9.109375" style="222" bestFit="1" customWidth="1"/>
    <col min="41" max="41" width="8.88671875" style="222"/>
    <col min="42" max="42" width="10.109375" style="222" bestFit="1" customWidth="1"/>
    <col min="43" max="16384" width="8.88671875" style="222"/>
  </cols>
  <sheetData>
    <row r="1" spans="1:20" x14ac:dyDescent="0.3">
      <c r="A1" s="307" t="s">
        <v>436</v>
      </c>
      <c r="B1" s="307"/>
      <c r="K1" s="222" t="str">
        <f>A1</f>
        <v>RETFRC Spring 2024</v>
      </c>
    </row>
    <row r="2" spans="1:20" x14ac:dyDescent="0.3">
      <c r="A2" s="307" t="s">
        <v>435</v>
      </c>
      <c r="B2" s="307"/>
      <c r="K2" s="222" t="str">
        <f>A2</f>
        <v>Question 4</v>
      </c>
    </row>
    <row r="3" spans="1:20" ht="18.45" customHeight="1" x14ac:dyDescent="0.3">
      <c r="A3" s="308"/>
    </row>
    <row r="4" spans="1:20" ht="18.45" customHeight="1" x14ac:dyDescent="0.3">
      <c r="A4" s="307"/>
      <c r="K4" s="222" t="s">
        <v>434</v>
      </c>
    </row>
    <row r="5" spans="1:20" x14ac:dyDescent="0.3">
      <c r="A5" s="307"/>
      <c r="B5" s="306" t="s">
        <v>433</v>
      </c>
      <c r="C5" s="223" t="s">
        <v>432</v>
      </c>
    </row>
    <row r="6" spans="1:20" x14ac:dyDescent="0.3">
      <c r="C6" s="223" t="s">
        <v>431</v>
      </c>
      <c r="N6" s="272" t="s">
        <v>430</v>
      </c>
      <c r="O6" s="252" t="s">
        <v>429</v>
      </c>
      <c r="P6"/>
      <c r="Q6"/>
      <c r="R6"/>
      <c r="S6"/>
      <c r="T6"/>
    </row>
    <row r="7" spans="1:20" x14ac:dyDescent="0.3">
      <c r="C7" s="305"/>
      <c r="N7"/>
      <c r="O7"/>
      <c r="P7"/>
      <c r="Q7"/>
      <c r="R7" s="291"/>
      <c r="S7" s="291"/>
      <c r="T7"/>
    </row>
    <row r="8" spans="1:20" ht="16.2" x14ac:dyDescent="0.35">
      <c r="C8" s="223" t="s">
        <v>428</v>
      </c>
      <c r="N8"/>
      <c r="O8" s="297" t="s">
        <v>427</v>
      </c>
      <c r="P8" s="296">
        <f>((1+D52/2)^2-1)</f>
        <v>2.9210249999999993E-2</v>
      </c>
      <c r="Q8"/>
      <c r="R8" s="291"/>
      <c r="S8" s="291"/>
      <c r="T8"/>
    </row>
    <row r="9" spans="1:20" ht="16.2" x14ac:dyDescent="0.35">
      <c r="C9" s="253"/>
      <c r="D9" s="253" t="s">
        <v>388</v>
      </c>
      <c r="E9" s="253" t="s">
        <v>324</v>
      </c>
      <c r="N9"/>
      <c r="O9" s="297" t="s">
        <v>426</v>
      </c>
      <c r="P9" s="296">
        <f>((1+E52/2)^2-1)</f>
        <v>3.0631040000000276E-2</v>
      </c>
      <c r="Q9" s="257"/>
      <c r="R9" s="291"/>
      <c r="S9" s="291"/>
      <c r="T9"/>
    </row>
    <row r="10" spans="1:20" x14ac:dyDescent="0.3">
      <c r="C10" s="260" t="s">
        <v>425</v>
      </c>
      <c r="D10" s="304">
        <v>27030</v>
      </c>
      <c r="E10" s="304">
        <v>32509</v>
      </c>
      <c r="N10"/>
      <c r="O10"/>
      <c r="P10"/>
      <c r="Q10"/>
      <c r="R10" s="291"/>
      <c r="S10" s="291"/>
      <c r="T10"/>
    </row>
    <row r="11" spans="1:20" x14ac:dyDescent="0.3">
      <c r="C11" s="260" t="s">
        <v>424</v>
      </c>
      <c r="D11" s="304">
        <v>45292</v>
      </c>
      <c r="E11" s="304">
        <v>45292</v>
      </c>
      <c r="N11"/>
      <c r="O11" s="297" t="s">
        <v>376</v>
      </c>
      <c r="P11" s="299">
        <f>((1+G52/2)^2-1)</f>
        <v>3.6120410000000103E-2</v>
      </c>
      <c r="Q11"/>
      <c r="R11" s="291"/>
      <c r="S11" s="291"/>
      <c r="T11" s="302"/>
    </row>
    <row r="12" spans="1:20" x14ac:dyDescent="0.3">
      <c r="C12" s="260" t="s">
        <v>423</v>
      </c>
      <c r="D12" s="253">
        <v>5</v>
      </c>
      <c r="E12" s="253">
        <v>15</v>
      </c>
      <c r="N12"/>
      <c r="O12" s="297" t="s">
        <v>375</v>
      </c>
      <c r="P12" s="299">
        <f>((1+H52/2)^2-1)</f>
        <v>4.1318202500000067E-2</v>
      </c>
      <c r="Q12"/>
      <c r="R12" s="291"/>
      <c r="S12" s="291"/>
      <c r="T12" s="302"/>
    </row>
    <row r="13" spans="1:20" x14ac:dyDescent="0.3">
      <c r="C13" s="260" t="s">
        <v>422</v>
      </c>
      <c r="D13" s="253">
        <v>6</v>
      </c>
      <c r="E13" s="253">
        <v>15</v>
      </c>
      <c r="N13"/>
      <c r="O13" s="297" t="s">
        <v>370</v>
      </c>
      <c r="P13" s="299">
        <f>((1+D57/2)^2-1)</f>
        <v>5.0112562500000069E-2</v>
      </c>
      <c r="Q13"/>
      <c r="R13" s="291"/>
      <c r="S13" s="291"/>
      <c r="T13" s="302"/>
    </row>
    <row r="14" spans="1:20" ht="31.2" x14ac:dyDescent="0.3">
      <c r="C14" s="260" t="s">
        <v>421</v>
      </c>
      <c r="D14" s="294">
        <v>25000</v>
      </c>
      <c r="E14" s="294">
        <v>100000</v>
      </c>
      <c r="N14"/>
      <c r="O14" s="297" t="s">
        <v>369</v>
      </c>
      <c r="P14" s="299">
        <f>((1+E57/2)^2-1)</f>
        <v>5.1855360000000239E-2</v>
      </c>
      <c r="Q14"/>
      <c r="R14" s="291"/>
      <c r="S14" s="291"/>
      <c r="T14" s="302"/>
    </row>
    <row r="15" spans="1:20" x14ac:dyDescent="0.3">
      <c r="N15"/>
      <c r="O15" s="297" t="s">
        <v>368</v>
      </c>
      <c r="P15" s="299">
        <f>((1+F57/2)^2-1)</f>
        <v>2.9413159999999827E-2</v>
      </c>
      <c r="Q15"/>
      <c r="R15" s="291"/>
      <c r="S15" s="291"/>
      <c r="T15" s="302"/>
    </row>
    <row r="16" spans="1:20" x14ac:dyDescent="0.3">
      <c r="C16" s="303"/>
      <c r="D16" s="303" t="s">
        <v>388</v>
      </c>
      <c r="E16" s="303"/>
      <c r="F16" s="303" t="s">
        <v>324</v>
      </c>
      <c r="G16" s="303"/>
      <c r="H16" s="303"/>
      <c r="I16" s="303"/>
      <c r="N16"/>
      <c r="O16" s="297" t="s">
        <v>367</v>
      </c>
      <c r="P16" s="299">
        <f>((1+G57/2)^2-1)</f>
        <v>3.0732562499999894E-2</v>
      </c>
      <c r="Q16"/>
      <c r="R16" s="291"/>
      <c r="S16" s="291"/>
      <c r="T16" s="302"/>
    </row>
    <row r="17" spans="3:20" x14ac:dyDescent="0.3">
      <c r="C17" s="303" t="s">
        <v>323</v>
      </c>
      <c r="D17" s="303" t="s">
        <v>146</v>
      </c>
      <c r="E17" s="303" t="s">
        <v>127</v>
      </c>
      <c r="F17" s="303" t="s">
        <v>146</v>
      </c>
      <c r="G17" s="303" t="s">
        <v>127</v>
      </c>
      <c r="H17" s="303" t="s">
        <v>420</v>
      </c>
      <c r="I17" s="303" t="s">
        <v>320</v>
      </c>
      <c r="N17"/>
      <c r="O17"/>
      <c r="P17"/>
      <c r="Q17"/>
      <c r="R17" s="291"/>
      <c r="S17" s="291"/>
      <c r="T17" s="302"/>
    </row>
    <row r="18" spans="3:20" ht="16.2" x14ac:dyDescent="0.35">
      <c r="C18" s="253">
        <v>2009</v>
      </c>
      <c r="D18" s="253"/>
      <c r="E18" s="253"/>
      <c r="F18" s="253">
        <v>1</v>
      </c>
      <c r="G18" s="294">
        <v>75000</v>
      </c>
      <c r="H18" s="295">
        <v>2444.44</v>
      </c>
      <c r="I18" s="294">
        <v>46300</v>
      </c>
      <c r="N18"/>
      <c r="O18" s="300" t="s">
        <v>419</v>
      </c>
      <c r="P18" s="301">
        <f>P11-P15</f>
        <v>6.7072500000002755E-3</v>
      </c>
      <c r="Q18"/>
      <c r="R18" s="291"/>
      <c r="S18" s="291"/>
      <c r="T18" s="302"/>
    </row>
    <row r="19" spans="3:20" ht="16.2" x14ac:dyDescent="0.35">
      <c r="C19" s="253">
        <v>2010</v>
      </c>
      <c r="D19" s="253"/>
      <c r="E19" s="253"/>
      <c r="F19" s="253">
        <v>1</v>
      </c>
      <c r="G19" s="294">
        <v>77500</v>
      </c>
      <c r="H19" s="295">
        <v>2494.44</v>
      </c>
      <c r="I19" s="294">
        <v>47200</v>
      </c>
      <c r="N19"/>
      <c r="O19" s="300" t="s">
        <v>418</v>
      </c>
      <c r="P19" s="301">
        <f>P13-P15</f>
        <v>2.0699402500000241E-2</v>
      </c>
      <c r="Q19"/>
      <c r="R19" s="291"/>
      <c r="S19" s="291"/>
      <c r="T19" s="302"/>
    </row>
    <row r="20" spans="3:20" ht="16.2" x14ac:dyDescent="0.35">
      <c r="C20" s="253">
        <v>2011</v>
      </c>
      <c r="D20" s="253"/>
      <c r="E20" s="253"/>
      <c r="F20" s="253">
        <v>1</v>
      </c>
      <c r="G20" s="294">
        <v>80000</v>
      </c>
      <c r="H20" s="295">
        <v>2552.2199999999998</v>
      </c>
      <c r="I20" s="294">
        <v>48300</v>
      </c>
      <c r="N20"/>
      <c r="O20" s="300" t="s">
        <v>417</v>
      </c>
      <c r="P20" s="301">
        <f>P12-P16</f>
        <v>1.0585640000000174E-2</v>
      </c>
      <c r="Q20"/>
      <c r="R20" s="291"/>
      <c r="S20" s="291"/>
      <c r="T20"/>
    </row>
    <row r="21" spans="3:20" ht="16.2" x14ac:dyDescent="0.35">
      <c r="C21" s="253">
        <v>2012</v>
      </c>
      <c r="D21" s="253"/>
      <c r="E21" s="253"/>
      <c r="F21" s="253">
        <v>1</v>
      </c>
      <c r="G21" s="294">
        <v>82400</v>
      </c>
      <c r="H21" s="295">
        <v>2646.67</v>
      </c>
      <c r="I21" s="294">
        <v>50100</v>
      </c>
      <c r="N21"/>
      <c r="O21" s="300" t="s">
        <v>416</v>
      </c>
      <c r="P21" s="301">
        <f>P14-P16</f>
        <v>2.1122797500000345E-2</v>
      </c>
      <c r="Q21"/>
      <c r="R21" s="291"/>
      <c r="S21" s="291"/>
      <c r="T21"/>
    </row>
    <row r="22" spans="3:20" ht="16.2" x14ac:dyDescent="0.35">
      <c r="C22" s="253">
        <v>2013</v>
      </c>
      <c r="D22" s="253"/>
      <c r="E22" s="253"/>
      <c r="F22" s="253">
        <v>1</v>
      </c>
      <c r="G22" s="294">
        <v>83000</v>
      </c>
      <c r="H22" s="295">
        <v>2696.67</v>
      </c>
      <c r="I22" s="294">
        <v>51100</v>
      </c>
      <c r="N22"/>
      <c r="O22" s="300" t="s">
        <v>415</v>
      </c>
      <c r="P22" s="299">
        <f>MIN(1.5%,0.667*P18+0.333*P19)</f>
        <v>1.1366636782500265E-2</v>
      </c>
      <c r="Q22"/>
      <c r="R22" s="291"/>
      <c r="S22" s="291"/>
      <c r="T22"/>
    </row>
    <row r="23" spans="3:20" ht="16.2" x14ac:dyDescent="0.35">
      <c r="C23" s="253">
        <v>2014</v>
      </c>
      <c r="D23" s="253"/>
      <c r="E23" s="253"/>
      <c r="F23" s="253">
        <v>1</v>
      </c>
      <c r="G23" s="294">
        <v>85200</v>
      </c>
      <c r="H23" s="295">
        <v>2770</v>
      </c>
      <c r="I23" s="294">
        <v>52500</v>
      </c>
      <c r="N23"/>
      <c r="O23" s="300" t="s">
        <v>414</v>
      </c>
      <c r="P23" s="299">
        <f>MIN(1.5%,0.667*P20+0.333*P21)</f>
        <v>1.4094513447500231E-2</v>
      </c>
      <c r="Q23"/>
      <c r="R23" s="291"/>
      <c r="S23" s="291"/>
      <c r="T23"/>
    </row>
    <row r="24" spans="3:20" x14ac:dyDescent="0.3">
      <c r="C24" s="253">
        <v>2015</v>
      </c>
      <c r="D24" s="253"/>
      <c r="E24" s="253"/>
      <c r="F24" s="253">
        <v>1</v>
      </c>
      <c r="G24" s="294">
        <v>85700</v>
      </c>
      <c r="H24" s="295">
        <v>2818.89</v>
      </c>
      <c r="I24" s="294">
        <v>53600</v>
      </c>
      <c r="N24"/>
      <c r="O24"/>
      <c r="P24"/>
      <c r="Q24"/>
      <c r="R24" s="291"/>
      <c r="S24" s="291"/>
      <c r="T24"/>
    </row>
    <row r="25" spans="3:20" ht="16.2" x14ac:dyDescent="0.35">
      <c r="C25" s="253">
        <v>2016</v>
      </c>
      <c r="D25" s="253"/>
      <c r="E25" s="253"/>
      <c r="F25" s="253">
        <v>1</v>
      </c>
      <c r="G25" s="294">
        <v>85900</v>
      </c>
      <c r="H25" s="295">
        <v>2890</v>
      </c>
      <c r="I25" s="294">
        <v>54900</v>
      </c>
      <c r="N25"/>
      <c r="O25" s="293" t="s">
        <v>413</v>
      </c>
      <c r="P25" s="298">
        <f>ROUND(P8+P22,3)</f>
        <v>4.1000000000000002E-2</v>
      </c>
      <c r="Q25"/>
      <c r="R25" s="291"/>
      <c r="S25" s="291"/>
      <c r="T25"/>
    </row>
    <row r="26" spans="3:20" ht="16.2" x14ac:dyDescent="0.35">
      <c r="C26" s="253">
        <v>2017</v>
      </c>
      <c r="D26" s="253"/>
      <c r="E26" s="253"/>
      <c r="F26" s="253">
        <v>1</v>
      </c>
      <c r="G26" s="294">
        <v>86400</v>
      </c>
      <c r="H26" s="295">
        <v>2914.44</v>
      </c>
      <c r="I26" s="294">
        <v>55300</v>
      </c>
      <c r="N26"/>
      <c r="O26" s="293" t="s">
        <v>412</v>
      </c>
      <c r="P26" s="298">
        <f>ROUND(P9+0.5*(P9-P8)+P23,3)</f>
        <v>4.4999999999999998E-2</v>
      </c>
      <c r="Q26"/>
      <c r="R26" s="291"/>
      <c r="S26" s="291"/>
      <c r="T26"/>
    </row>
    <row r="27" spans="3:20" x14ac:dyDescent="0.3">
      <c r="C27" s="253">
        <v>2018</v>
      </c>
      <c r="D27" s="253"/>
      <c r="E27" s="253"/>
      <c r="F27" s="253">
        <v>1</v>
      </c>
      <c r="G27" s="294">
        <v>84800</v>
      </c>
      <c r="H27" s="295">
        <v>2944.44</v>
      </c>
      <c r="I27" s="294">
        <v>55900</v>
      </c>
      <c r="N27"/>
      <c r="O27"/>
      <c r="P27"/>
      <c r="Q27"/>
      <c r="R27" s="291"/>
      <c r="S27" s="291"/>
      <c r="T27"/>
    </row>
    <row r="28" spans="3:20" x14ac:dyDescent="0.3">
      <c r="C28" s="253">
        <v>2019</v>
      </c>
      <c r="D28" s="253">
        <v>1</v>
      </c>
      <c r="E28" s="294">
        <v>210000</v>
      </c>
      <c r="F28" s="253">
        <v>1</v>
      </c>
      <c r="G28" s="294">
        <v>84800</v>
      </c>
      <c r="H28" s="295">
        <v>3025.56</v>
      </c>
      <c r="I28" s="294">
        <v>57400</v>
      </c>
      <c r="N28" s="272" t="s">
        <v>334</v>
      </c>
      <c r="O28"/>
      <c r="P28"/>
      <c r="Q28"/>
      <c r="R28" s="291"/>
      <c r="S28" s="291"/>
      <c r="T28"/>
    </row>
    <row r="29" spans="3:20" x14ac:dyDescent="0.3">
      <c r="C29" s="253">
        <v>2020</v>
      </c>
      <c r="D29" s="253">
        <v>1</v>
      </c>
      <c r="E29" s="294">
        <v>215000</v>
      </c>
      <c r="F29" s="253">
        <v>1</v>
      </c>
      <c r="G29" s="294">
        <v>85100</v>
      </c>
      <c r="H29" s="295">
        <v>3092.22</v>
      </c>
      <c r="I29" s="294">
        <v>58700</v>
      </c>
      <c r="N29"/>
      <c r="O29" s="297" t="s">
        <v>411</v>
      </c>
      <c r="P29" s="296">
        <f>((1+F52/2)^2-1)</f>
        <v>1.3444889999999932E-2</v>
      </c>
      <c r="Q29"/>
      <c r="R29" s="291"/>
      <c r="S29" s="291"/>
      <c r="T29"/>
    </row>
    <row r="30" spans="3:20" x14ac:dyDescent="0.3">
      <c r="C30" s="253">
        <v>2021</v>
      </c>
      <c r="D30" s="253">
        <v>1</v>
      </c>
      <c r="E30" s="294">
        <v>245000</v>
      </c>
      <c r="F30" s="253">
        <v>1</v>
      </c>
      <c r="G30" s="294">
        <v>85400</v>
      </c>
      <c r="H30" s="295">
        <v>3245.56</v>
      </c>
      <c r="I30" s="294">
        <v>61600</v>
      </c>
      <c r="N30"/>
      <c r="O30" s="297" t="s">
        <v>410</v>
      </c>
      <c r="P30" s="296">
        <f>((1+P29)*(1+P8)/(1+P9)-1)</f>
        <v>1.2047792193530471E-2</v>
      </c>
      <c r="Q30"/>
      <c r="R30" s="291"/>
      <c r="S30" s="291"/>
      <c r="T30"/>
    </row>
    <row r="31" spans="3:20" x14ac:dyDescent="0.3">
      <c r="C31" s="253">
        <v>2022</v>
      </c>
      <c r="D31" s="253">
        <v>1</v>
      </c>
      <c r="E31" s="294">
        <v>255500</v>
      </c>
      <c r="F31" s="253">
        <v>1</v>
      </c>
      <c r="G31" s="294">
        <v>86000</v>
      </c>
      <c r="H31" s="295">
        <v>3420</v>
      </c>
      <c r="I31" s="294">
        <v>64900</v>
      </c>
      <c r="N31"/>
      <c r="O31"/>
      <c r="P31"/>
      <c r="Q31"/>
      <c r="R31" s="291"/>
      <c r="S31" s="291"/>
      <c r="T31"/>
    </row>
    <row r="32" spans="3:20" ht="16.2" x14ac:dyDescent="0.35">
      <c r="C32" s="253">
        <v>2023</v>
      </c>
      <c r="D32" s="253">
        <v>1</v>
      </c>
      <c r="E32" s="294">
        <v>230000</v>
      </c>
      <c r="F32" s="253">
        <v>1</v>
      </c>
      <c r="G32" s="294">
        <v>86500</v>
      </c>
      <c r="H32" s="295">
        <v>3506.67</v>
      </c>
      <c r="I32" s="294">
        <v>66600</v>
      </c>
      <c r="N32"/>
      <c r="O32" s="293" t="s">
        <v>409</v>
      </c>
      <c r="P32" s="292">
        <f>ROUND((1+P8)/(1+P30)-1,3)</f>
        <v>1.7000000000000001E-2</v>
      </c>
      <c r="Q32"/>
      <c r="R32" s="291"/>
      <c r="S32" s="291"/>
      <c r="T32"/>
    </row>
    <row r="33" spans="3:49" ht="16.2" x14ac:dyDescent="0.35">
      <c r="N33"/>
      <c r="O33" s="293" t="s">
        <v>408</v>
      </c>
      <c r="P33" s="292">
        <f>ROUND((1+P9+0.5*(P9-P8))/(1+P29+0.5*(P29-P30))-1,3)</f>
        <v>1.7000000000000001E-2</v>
      </c>
      <c r="Q33"/>
      <c r="R33" s="291"/>
      <c r="S33" s="291"/>
      <c r="T33"/>
    </row>
    <row r="34" spans="3:49" ht="16.2" x14ac:dyDescent="0.35">
      <c r="N34"/>
      <c r="O34" s="290" t="s">
        <v>407</v>
      </c>
      <c r="P34" s="289">
        <f>ROUND((1+P25)/(1+P32)-1,3)</f>
        <v>2.4E-2</v>
      </c>
      <c r="Q34"/>
      <c r="R34" s="291"/>
      <c r="S34" s="291"/>
      <c r="T34"/>
    </row>
    <row r="35" spans="3:49" ht="16.2" x14ac:dyDescent="0.35">
      <c r="C35" s="223" t="s">
        <v>406</v>
      </c>
      <c r="N35"/>
      <c r="O35" s="290" t="s">
        <v>405</v>
      </c>
      <c r="P35" s="289">
        <f>ROUND((1+P26)/(1+P33)-1,3)</f>
        <v>2.8000000000000001E-2</v>
      </c>
      <c r="Q35"/>
      <c r="R35"/>
      <c r="S35"/>
      <c r="T35"/>
    </row>
    <row r="36" spans="3:49" x14ac:dyDescent="0.3">
      <c r="C36" s="253" t="s">
        <v>404</v>
      </c>
      <c r="D36" s="271" t="s">
        <v>2</v>
      </c>
      <c r="E36" s="270"/>
      <c r="F36" s="270"/>
      <c r="G36" s="270"/>
      <c r="H36" s="269"/>
      <c r="N36"/>
      <c r="O36"/>
      <c r="P36" s="289"/>
      <c r="Q36"/>
      <c r="R36"/>
      <c r="S36"/>
      <c r="T36"/>
    </row>
    <row r="37" spans="3:49" x14ac:dyDescent="0.3">
      <c r="C37" s="276" t="s">
        <v>403</v>
      </c>
      <c r="D37" s="275" t="s">
        <v>402</v>
      </c>
      <c r="E37" s="274"/>
      <c r="F37" s="274"/>
      <c r="G37" s="274"/>
      <c r="H37" s="273"/>
      <c r="N37"/>
      <c r="O37" s="288"/>
      <c r="P37" s="287" t="s">
        <v>401</v>
      </c>
      <c r="Q37" s="286" t="s">
        <v>400</v>
      </c>
      <c r="R37"/>
      <c r="S37"/>
      <c r="T37"/>
    </row>
    <row r="38" spans="3:49" x14ac:dyDescent="0.3">
      <c r="C38" s="277"/>
      <c r="D38" s="266" t="s">
        <v>399</v>
      </c>
      <c r="E38" s="285"/>
      <c r="F38" s="285"/>
      <c r="G38" s="285"/>
      <c r="H38" s="284"/>
      <c r="N38"/>
      <c r="O38" s="283" t="s">
        <v>398</v>
      </c>
      <c r="P38" s="282">
        <f>P25</f>
        <v>4.1000000000000002E-2</v>
      </c>
      <c r="Q38" s="281">
        <f>P26</f>
        <v>4.4999999999999998E-2</v>
      </c>
      <c r="R38"/>
      <c r="S38"/>
      <c r="T38"/>
    </row>
    <row r="39" spans="3:49" x14ac:dyDescent="0.3">
      <c r="C39" s="253" t="s">
        <v>397</v>
      </c>
      <c r="D39" s="271" t="s">
        <v>3</v>
      </c>
      <c r="E39" s="270"/>
      <c r="F39" s="270"/>
      <c r="G39" s="270"/>
      <c r="H39" s="269"/>
      <c r="N39"/>
      <c r="O39" s="283" t="s">
        <v>396</v>
      </c>
      <c r="P39" s="282">
        <f>P34</f>
        <v>2.4E-2</v>
      </c>
      <c r="Q39" s="281">
        <f>P35</f>
        <v>2.8000000000000001E-2</v>
      </c>
      <c r="R39"/>
      <c r="S39"/>
      <c r="T39"/>
    </row>
    <row r="40" spans="3:49" x14ac:dyDescent="0.3">
      <c r="C40" s="276" t="s">
        <v>395</v>
      </c>
      <c r="D40" s="275" t="s">
        <v>394</v>
      </c>
      <c r="E40" s="274"/>
      <c r="F40" s="274"/>
      <c r="G40" s="274"/>
      <c r="H40" s="273"/>
      <c r="N40"/>
      <c r="O40" s="280" t="s">
        <v>393</v>
      </c>
      <c r="P40" s="279">
        <f>ROUND((1+P38)/(1+P39)-1,3)</f>
        <v>1.7000000000000001E-2</v>
      </c>
      <c r="Q40" s="278">
        <f>ROUND((1+Q38)/(1+Q39)-1,3)</f>
        <v>1.7000000000000001E-2</v>
      </c>
      <c r="R40"/>
      <c r="S40"/>
      <c r="T40"/>
    </row>
    <row r="41" spans="3:49" ht="31.5" customHeight="1" x14ac:dyDescent="0.3">
      <c r="C41" s="277"/>
      <c r="D41" s="343" t="s">
        <v>392</v>
      </c>
      <c r="E41" s="344"/>
      <c r="F41" s="344"/>
      <c r="G41" s="344"/>
      <c r="H41" s="345"/>
    </row>
    <row r="42" spans="3:49" x14ac:dyDescent="0.3">
      <c r="C42" s="276" t="s">
        <v>391</v>
      </c>
      <c r="D42" s="275" t="s">
        <v>390</v>
      </c>
      <c r="E42" s="274"/>
      <c r="F42" s="274"/>
      <c r="G42" s="274"/>
      <c r="H42" s="273"/>
      <c r="N42" s="272" t="s">
        <v>389</v>
      </c>
      <c r="O42" s="251" t="s">
        <v>388</v>
      </c>
      <c r="P42" s="250"/>
      <c r="Q42" s="248"/>
      <c r="R42" s="248"/>
      <c r="S42" s="248"/>
      <c r="T42" s="248"/>
      <c r="U42" s="249"/>
      <c r="V42" s="249"/>
      <c r="W42" s="249"/>
      <c r="X42" s="249"/>
      <c r="Y42" s="249"/>
      <c r="Z42" s="249"/>
      <c r="AA42" s="249"/>
      <c r="AB42" s="249"/>
      <c r="AC42" s="249"/>
      <c r="AD42" s="249"/>
      <c r="AE42" s="249"/>
      <c r="AF42" s="249"/>
      <c r="AG42" s="249"/>
      <c r="AH42" s="249"/>
      <c r="AI42" s="249"/>
      <c r="AJ42" s="249"/>
      <c r="AK42" s="249"/>
      <c r="AL42" s="248"/>
      <c r="AM42" s="248"/>
      <c r="AN42" s="248"/>
      <c r="AO42" s="248"/>
      <c r="AP42" s="248"/>
      <c r="AQ42"/>
      <c r="AR42"/>
      <c r="AS42"/>
      <c r="AT42"/>
      <c r="AU42"/>
      <c r="AV42"/>
      <c r="AW42"/>
    </row>
    <row r="43" spans="3:49" x14ac:dyDescent="0.3">
      <c r="C43" s="253" t="s">
        <v>387</v>
      </c>
      <c r="D43" s="271" t="s">
        <v>386</v>
      </c>
      <c r="E43" s="270"/>
      <c r="F43" s="270"/>
      <c r="G43" s="270"/>
      <c r="H43" s="269"/>
      <c r="N43"/>
      <c r="O43" t="s">
        <v>385</v>
      </c>
      <c r="P43"/>
      <c r="Q43"/>
      <c r="R43"/>
      <c r="S43"/>
      <c r="T43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/>
      <c r="AM43"/>
      <c r="AN43"/>
      <c r="AO43"/>
      <c r="AP43"/>
      <c r="AQ43"/>
      <c r="AR43"/>
      <c r="AS43"/>
      <c r="AT43"/>
      <c r="AU43"/>
      <c r="AV43"/>
      <c r="AW43"/>
    </row>
    <row r="44" spans="3:49" x14ac:dyDescent="0.3">
      <c r="C44" s="253" t="s">
        <v>384</v>
      </c>
      <c r="D44" s="271" t="s">
        <v>383</v>
      </c>
      <c r="E44" s="270"/>
      <c r="F44" s="270"/>
      <c r="G44" s="270"/>
      <c r="H44" s="269"/>
      <c r="N44"/>
      <c r="O44"/>
      <c r="P44"/>
      <c r="Q44"/>
      <c r="R44"/>
      <c r="S44" s="245"/>
      <c r="T44"/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/>
      <c r="AM44"/>
      <c r="AN44"/>
      <c r="AO44"/>
      <c r="AP44"/>
      <c r="AQ44"/>
      <c r="AR44"/>
      <c r="AS44"/>
      <c r="AT44"/>
      <c r="AU44"/>
      <c r="AV44"/>
      <c r="AW44"/>
    </row>
    <row r="45" spans="3:49" x14ac:dyDescent="0.3">
      <c r="C45" s="253" t="s">
        <v>382</v>
      </c>
      <c r="D45" s="271" t="s">
        <v>381</v>
      </c>
      <c r="E45" s="270"/>
      <c r="F45" s="270"/>
      <c r="G45" s="270"/>
      <c r="H45" s="269"/>
      <c r="N45"/>
      <c r="O45"/>
      <c r="P45" s="226" t="s">
        <v>323</v>
      </c>
      <c r="Q45" s="247" t="s">
        <v>34</v>
      </c>
      <c r="R45" s="247" t="s">
        <v>146</v>
      </c>
      <c r="S45" s="247" t="s">
        <v>127</v>
      </c>
      <c r="T45" s="247" t="s">
        <v>322</v>
      </c>
      <c r="U45" s="247" t="s">
        <v>321</v>
      </c>
      <c r="V45" s="247" t="s">
        <v>320</v>
      </c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/>
      <c r="AM45"/>
      <c r="AN45"/>
      <c r="AO45"/>
      <c r="AP45"/>
      <c r="AQ45"/>
      <c r="AR45"/>
      <c r="AS45"/>
      <c r="AT45"/>
      <c r="AU45"/>
      <c r="AV45"/>
      <c r="AW45"/>
    </row>
    <row r="46" spans="3:49" x14ac:dyDescent="0.3">
      <c r="N46"/>
      <c r="O46"/>
      <c r="P46">
        <f t="shared" ref="P46:P59" si="0">P47-1</f>
        <v>2009</v>
      </c>
      <c r="R46" s="224"/>
      <c r="S46" s="245"/>
      <c r="T46"/>
      <c r="U46" s="230">
        <f t="shared" ref="U46:U60" si="1">H18</f>
        <v>2444.44</v>
      </c>
      <c r="V46" s="230">
        <f t="shared" ref="V46:V60" si="2">I18</f>
        <v>46300</v>
      </c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224"/>
      <c r="AL46"/>
      <c r="AM46"/>
      <c r="AN46"/>
      <c r="AO46"/>
      <c r="AP46"/>
      <c r="AQ46"/>
      <c r="AR46"/>
      <c r="AS46"/>
      <c r="AT46"/>
      <c r="AU46"/>
      <c r="AV46"/>
      <c r="AW46"/>
    </row>
    <row r="47" spans="3:49" x14ac:dyDescent="0.3">
      <c r="C47" s="223" t="s">
        <v>380</v>
      </c>
      <c r="N47"/>
      <c r="O47"/>
      <c r="P47">
        <f t="shared" si="0"/>
        <v>2010</v>
      </c>
      <c r="R47" s="224"/>
      <c r="S47" s="245"/>
      <c r="T47"/>
      <c r="U47" s="230">
        <f t="shared" si="1"/>
        <v>2494.44</v>
      </c>
      <c r="V47" s="230">
        <f t="shared" si="2"/>
        <v>47200</v>
      </c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  <c r="AL47"/>
      <c r="AM47"/>
      <c r="AN47"/>
      <c r="AO47"/>
      <c r="AP47"/>
      <c r="AQ47"/>
      <c r="AR47"/>
      <c r="AS47"/>
      <c r="AT47"/>
      <c r="AU47"/>
      <c r="AV47"/>
      <c r="AW47"/>
    </row>
    <row r="48" spans="3:49" x14ac:dyDescent="0.3">
      <c r="N48"/>
      <c r="O48"/>
      <c r="P48">
        <f t="shared" si="0"/>
        <v>2011</v>
      </c>
      <c r="R48" s="224"/>
      <c r="S48" s="245"/>
      <c r="T48"/>
      <c r="U48" s="230">
        <f t="shared" si="1"/>
        <v>2552.2199999999998</v>
      </c>
      <c r="V48" s="230">
        <f t="shared" si="2"/>
        <v>48300</v>
      </c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  <c r="AL48"/>
      <c r="AM48"/>
      <c r="AN48"/>
      <c r="AO48"/>
      <c r="AP48"/>
      <c r="AQ48"/>
      <c r="AR48"/>
      <c r="AS48"/>
      <c r="AT48"/>
      <c r="AU48"/>
      <c r="AV48"/>
      <c r="AW48"/>
    </row>
    <row r="49" spans="1:49" ht="46.8" x14ac:dyDescent="0.3">
      <c r="A49" s="259"/>
      <c r="B49" s="259"/>
      <c r="C49" s="268" t="s">
        <v>371</v>
      </c>
      <c r="D49" s="267" t="s">
        <v>379</v>
      </c>
      <c r="E49" s="267" t="s">
        <v>378</v>
      </c>
      <c r="F49" s="267" t="s">
        <v>377</v>
      </c>
      <c r="G49" s="267" t="s">
        <v>376</v>
      </c>
      <c r="H49" s="267" t="s">
        <v>375</v>
      </c>
      <c r="I49" s="259"/>
      <c r="J49" s="259"/>
      <c r="N49"/>
      <c r="O49"/>
      <c r="P49">
        <f t="shared" si="0"/>
        <v>2012</v>
      </c>
      <c r="R49" s="224"/>
      <c r="S49" s="245"/>
      <c r="T49"/>
      <c r="U49" s="230">
        <f t="shared" si="1"/>
        <v>2646.67</v>
      </c>
      <c r="V49" s="230">
        <f t="shared" si="2"/>
        <v>50100</v>
      </c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/>
      <c r="AM49"/>
      <c r="AN49"/>
      <c r="AO49"/>
      <c r="AP49"/>
      <c r="AQ49"/>
      <c r="AR49"/>
      <c r="AS49"/>
      <c r="AT49"/>
      <c r="AU49"/>
      <c r="AV49"/>
      <c r="AW49"/>
    </row>
    <row r="50" spans="1:49" s="258" customFormat="1" x14ac:dyDescent="0.3">
      <c r="A50" s="223"/>
      <c r="B50" s="223"/>
      <c r="C50" s="266"/>
      <c r="D50" s="265" t="s">
        <v>374</v>
      </c>
      <c r="E50" s="265" t="s">
        <v>373</v>
      </c>
      <c r="F50" s="265" t="s">
        <v>372</v>
      </c>
      <c r="G50" s="265"/>
      <c r="H50" s="265"/>
      <c r="I50" s="223"/>
      <c r="J50" s="223"/>
      <c r="K50" s="222"/>
      <c r="L50" s="222"/>
      <c r="N50"/>
      <c r="O50"/>
      <c r="P50">
        <f t="shared" si="0"/>
        <v>2013</v>
      </c>
      <c r="R50" s="224"/>
      <c r="S50" s="245"/>
      <c r="T50"/>
      <c r="U50" s="230">
        <f t="shared" si="1"/>
        <v>2696.67</v>
      </c>
      <c r="V50" s="230">
        <f t="shared" si="2"/>
        <v>51100</v>
      </c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  <c r="AL50"/>
      <c r="AM50"/>
      <c r="AN50"/>
      <c r="AO50"/>
      <c r="AP50"/>
      <c r="AQ50"/>
      <c r="AR50"/>
      <c r="AS50"/>
      <c r="AT50"/>
      <c r="AU50"/>
      <c r="AV50"/>
      <c r="AW50"/>
    </row>
    <row r="51" spans="1:49" x14ac:dyDescent="0.3">
      <c r="C51" s="263">
        <v>45231</v>
      </c>
      <c r="D51" s="262">
        <v>3.3700000000000001E-2</v>
      </c>
      <c r="E51" s="262">
        <v>3.3000000000000002E-2</v>
      </c>
      <c r="F51" s="262">
        <v>1.35E-2</v>
      </c>
      <c r="G51" s="262">
        <v>4.0099999999999997E-2</v>
      </c>
      <c r="H51" s="262">
        <v>4.3400000000000001E-2</v>
      </c>
      <c r="N51"/>
      <c r="O51"/>
      <c r="P51">
        <f t="shared" si="0"/>
        <v>2014</v>
      </c>
      <c r="R51" s="224"/>
      <c r="S51" s="245"/>
      <c r="T51"/>
      <c r="U51" s="230">
        <f t="shared" si="1"/>
        <v>2770</v>
      </c>
      <c r="V51" s="230">
        <f t="shared" si="2"/>
        <v>52500</v>
      </c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4"/>
      <c r="AL51"/>
      <c r="AM51"/>
      <c r="AN51"/>
      <c r="AO51"/>
      <c r="AP51"/>
      <c r="AQ51"/>
      <c r="AR51"/>
      <c r="AS51"/>
      <c r="AT51"/>
      <c r="AU51"/>
      <c r="AV51"/>
      <c r="AW51"/>
    </row>
    <row r="52" spans="1:49" x14ac:dyDescent="0.3">
      <c r="C52" s="263">
        <v>45261</v>
      </c>
      <c r="D52" s="262">
        <v>2.9000000000000001E-2</v>
      </c>
      <c r="E52" s="262">
        <v>3.04E-2</v>
      </c>
      <c r="F52" s="262">
        <v>1.34E-2</v>
      </c>
      <c r="G52" s="262">
        <v>3.5799999999999998E-2</v>
      </c>
      <c r="H52" s="262">
        <v>4.0899999999999999E-2</v>
      </c>
      <c r="N52"/>
      <c r="O52"/>
      <c r="P52">
        <f t="shared" si="0"/>
        <v>2015</v>
      </c>
      <c r="R52" s="224"/>
      <c r="S52" s="245"/>
      <c r="T52"/>
      <c r="U52" s="230">
        <f t="shared" si="1"/>
        <v>2818.89</v>
      </c>
      <c r="V52" s="230">
        <f t="shared" si="2"/>
        <v>53600</v>
      </c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  <c r="AL52"/>
      <c r="AM52"/>
      <c r="AN52"/>
      <c r="AO52"/>
      <c r="AP52"/>
      <c r="AQ52"/>
      <c r="AR52"/>
      <c r="AS52"/>
      <c r="AT52"/>
      <c r="AU52"/>
      <c r="AV52"/>
      <c r="AW52"/>
    </row>
    <row r="53" spans="1:49" x14ac:dyDescent="0.3">
      <c r="C53" s="263">
        <v>45292</v>
      </c>
      <c r="D53" s="262">
        <v>2.92E-2</v>
      </c>
      <c r="E53" s="262">
        <v>3.0599999999999999E-2</v>
      </c>
      <c r="F53" s="262">
        <v>1.37E-2</v>
      </c>
      <c r="G53" s="262">
        <v>3.6499999999999998E-2</v>
      </c>
      <c r="H53" s="262">
        <v>4.1500000000000002E-2</v>
      </c>
      <c r="N53"/>
      <c r="O53"/>
      <c r="P53">
        <f t="shared" si="0"/>
        <v>2016</v>
      </c>
      <c r="R53" s="224"/>
      <c r="S53" s="245"/>
      <c r="T53"/>
      <c r="U53" s="230">
        <f t="shared" si="1"/>
        <v>2890</v>
      </c>
      <c r="V53" s="230">
        <f t="shared" si="2"/>
        <v>54900</v>
      </c>
      <c r="W53" s="224"/>
      <c r="X53" s="224"/>
      <c r="Y53" s="224"/>
      <c r="Z53" s="224"/>
      <c r="AA53" s="224"/>
      <c r="AB53" s="224"/>
      <c r="AC53" s="224"/>
      <c r="AD53" s="224"/>
      <c r="AE53" s="224"/>
      <c r="AF53" s="224"/>
      <c r="AG53" s="224"/>
      <c r="AH53" s="224"/>
      <c r="AI53" s="224"/>
      <c r="AJ53" s="224"/>
      <c r="AK53" s="224"/>
      <c r="AL53"/>
      <c r="AM53"/>
      <c r="AN53"/>
      <c r="AO53"/>
      <c r="AP53"/>
      <c r="AQ53"/>
      <c r="AR53"/>
      <c r="AS53"/>
      <c r="AT53"/>
      <c r="AU53"/>
      <c r="AV53"/>
      <c r="AW53"/>
    </row>
    <row r="54" spans="1:49" x14ac:dyDescent="0.3">
      <c r="N54"/>
      <c r="O54"/>
      <c r="P54">
        <f t="shared" si="0"/>
        <v>2017</v>
      </c>
      <c r="R54" s="224"/>
      <c r="S54" s="245"/>
      <c r="T54"/>
      <c r="U54" s="230">
        <f t="shared" si="1"/>
        <v>2914.44</v>
      </c>
      <c r="V54" s="230">
        <f t="shared" si="2"/>
        <v>55300</v>
      </c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  <c r="AI54" s="224"/>
      <c r="AJ54" s="224"/>
      <c r="AK54" s="224"/>
      <c r="AL54"/>
      <c r="AM54"/>
      <c r="AN54"/>
      <c r="AO54"/>
      <c r="AP54"/>
      <c r="AQ54"/>
      <c r="AR54"/>
      <c r="AS54"/>
      <c r="AT54"/>
      <c r="AU54"/>
      <c r="AV54"/>
      <c r="AW54"/>
    </row>
    <row r="55" spans="1:49" ht="62.4" x14ac:dyDescent="0.3">
      <c r="A55" s="259"/>
      <c r="B55" s="259"/>
      <c r="C55" s="264" t="s">
        <v>371</v>
      </c>
      <c r="D55" s="264" t="s">
        <v>370</v>
      </c>
      <c r="E55" s="264" t="s">
        <v>369</v>
      </c>
      <c r="F55" s="264" t="s">
        <v>368</v>
      </c>
      <c r="G55" s="264" t="s">
        <v>367</v>
      </c>
      <c r="H55" s="259"/>
      <c r="I55" s="259"/>
      <c r="J55" s="259"/>
      <c r="N55"/>
      <c r="O55"/>
      <c r="P55">
        <f t="shared" si="0"/>
        <v>2018</v>
      </c>
      <c r="R55" s="224"/>
      <c r="S55" s="245"/>
      <c r="T55"/>
      <c r="U55" s="230">
        <f t="shared" si="1"/>
        <v>2944.44</v>
      </c>
      <c r="V55" s="230">
        <f t="shared" si="2"/>
        <v>55900</v>
      </c>
      <c r="W55" s="224"/>
      <c r="X55" s="224"/>
      <c r="Y55" s="224"/>
      <c r="Z55" s="224"/>
      <c r="AA55" s="224"/>
      <c r="AB55" s="224"/>
      <c r="AC55" s="224"/>
      <c r="AD55" s="224"/>
      <c r="AE55" s="224"/>
      <c r="AF55" s="224"/>
      <c r="AG55" s="224"/>
      <c r="AH55" s="224"/>
      <c r="AI55" s="224"/>
      <c r="AJ55" s="224"/>
      <c r="AK55" s="224"/>
      <c r="AL55"/>
      <c r="AM55"/>
      <c r="AN55"/>
      <c r="AO55"/>
      <c r="AP55"/>
      <c r="AQ55"/>
      <c r="AR55"/>
      <c r="AS55"/>
      <c r="AT55"/>
      <c r="AU55"/>
      <c r="AV55"/>
      <c r="AW55"/>
    </row>
    <row r="56" spans="1:49" s="258" customFormat="1" x14ac:dyDescent="0.3">
      <c r="A56" s="223"/>
      <c r="B56" s="223"/>
      <c r="C56" s="263">
        <v>45231</v>
      </c>
      <c r="D56" s="262">
        <v>5.1700000000000003E-2</v>
      </c>
      <c r="E56" s="262">
        <v>5.2900000000000003E-2</v>
      </c>
      <c r="F56" s="262">
        <v>3.3799999999999997E-2</v>
      </c>
      <c r="G56" s="262">
        <v>3.0499999999999999E-2</v>
      </c>
      <c r="H56" s="223"/>
      <c r="I56" s="223"/>
      <c r="J56" s="223"/>
      <c r="K56" s="222"/>
      <c r="L56" s="222"/>
      <c r="N56"/>
      <c r="O56"/>
      <c r="P56">
        <f t="shared" si="0"/>
        <v>2019</v>
      </c>
      <c r="Q56" s="245">
        <f>Q57-1</f>
        <v>46</v>
      </c>
      <c r="R56" s="230">
        <f>F28</f>
        <v>1</v>
      </c>
      <c r="S56" s="230">
        <f>E28</f>
        <v>210000</v>
      </c>
      <c r="T56"/>
      <c r="U56" s="230">
        <f t="shared" si="1"/>
        <v>3025.56</v>
      </c>
      <c r="V56" s="230">
        <f t="shared" si="2"/>
        <v>57400</v>
      </c>
      <c r="W56" s="224"/>
      <c r="X56" s="224"/>
      <c r="Y56" s="224"/>
      <c r="Z56" s="224"/>
      <c r="AA56" s="224"/>
      <c r="AB56" s="224"/>
      <c r="AC56" s="224"/>
      <c r="AD56" s="224"/>
      <c r="AE56" s="224"/>
      <c r="AF56" s="224"/>
      <c r="AG56" s="224"/>
      <c r="AH56" s="224"/>
      <c r="AI56" s="224"/>
      <c r="AJ56" s="224"/>
      <c r="AK56" s="224"/>
      <c r="AL56"/>
      <c r="AM56"/>
      <c r="AN56"/>
      <c r="AO56"/>
      <c r="AP56"/>
      <c r="AQ56"/>
      <c r="AR56"/>
      <c r="AS56"/>
      <c r="AT56"/>
      <c r="AU56"/>
      <c r="AV56"/>
      <c r="AW56"/>
    </row>
    <row r="57" spans="1:49" x14ac:dyDescent="0.3">
      <c r="C57" s="263">
        <v>45261</v>
      </c>
      <c r="D57" s="262">
        <v>4.9500000000000002E-2</v>
      </c>
      <c r="E57" s="262">
        <v>5.1200000000000002E-2</v>
      </c>
      <c r="F57" s="262">
        <v>2.92E-2</v>
      </c>
      <c r="G57" s="262">
        <v>3.0499999999999999E-2</v>
      </c>
      <c r="N57"/>
      <c r="O57"/>
      <c r="P57">
        <f t="shared" si="0"/>
        <v>2020</v>
      </c>
      <c r="Q57" s="245">
        <f>Q58-1</f>
        <v>47</v>
      </c>
      <c r="R57" s="230">
        <f>F29</f>
        <v>1</v>
      </c>
      <c r="S57" s="230">
        <f>E29</f>
        <v>215000</v>
      </c>
      <c r="T57"/>
      <c r="U57" s="230">
        <f t="shared" si="1"/>
        <v>3092.22</v>
      </c>
      <c r="V57" s="230">
        <f t="shared" si="2"/>
        <v>58700</v>
      </c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  <c r="AI57" s="224"/>
      <c r="AJ57" s="224"/>
      <c r="AK57" s="224"/>
      <c r="AL57"/>
      <c r="AM57"/>
      <c r="AN57"/>
      <c r="AO57"/>
      <c r="AP57"/>
      <c r="AQ57"/>
      <c r="AR57"/>
      <c r="AS57"/>
      <c r="AT57"/>
      <c r="AU57"/>
      <c r="AV57"/>
      <c r="AW57"/>
    </row>
    <row r="58" spans="1:49" x14ac:dyDescent="0.3">
      <c r="C58" s="263">
        <v>45292</v>
      </c>
      <c r="D58" s="262">
        <v>0.05</v>
      </c>
      <c r="E58" s="262">
        <v>5.1499999999999997E-2</v>
      </c>
      <c r="F58" s="262">
        <v>2.9499999999999998E-2</v>
      </c>
      <c r="G58" s="262">
        <v>3.0499999999999999E-2</v>
      </c>
      <c r="N58"/>
      <c r="O58"/>
      <c r="P58">
        <f t="shared" si="0"/>
        <v>2021</v>
      </c>
      <c r="Q58" s="245">
        <f>Q59-1</f>
        <v>48</v>
      </c>
      <c r="R58" s="230">
        <f>F30</f>
        <v>1</v>
      </c>
      <c r="S58" s="230">
        <f>E30</f>
        <v>245000</v>
      </c>
      <c r="T58"/>
      <c r="U58" s="230">
        <f t="shared" si="1"/>
        <v>3245.56</v>
      </c>
      <c r="V58" s="230">
        <f t="shared" si="2"/>
        <v>61600</v>
      </c>
      <c r="W58" s="224"/>
      <c r="X58" s="224"/>
      <c r="Y58" s="224"/>
      <c r="Z58" s="224"/>
      <c r="AA58" s="224"/>
      <c r="AB58" s="224"/>
      <c r="AC58" s="224"/>
      <c r="AD58" s="224"/>
      <c r="AE58" s="224"/>
      <c r="AF58" s="224"/>
      <c r="AG58" s="224"/>
      <c r="AH58" s="224"/>
      <c r="AI58" s="224"/>
      <c r="AJ58" s="224"/>
      <c r="AK58" s="224"/>
      <c r="AL58"/>
      <c r="AM58"/>
      <c r="AN58"/>
      <c r="AO58"/>
      <c r="AP58"/>
      <c r="AQ58"/>
      <c r="AR58"/>
      <c r="AS58"/>
      <c r="AT58"/>
      <c r="AU58"/>
      <c r="AV58"/>
      <c r="AW58"/>
    </row>
    <row r="59" spans="1:49" x14ac:dyDescent="0.3">
      <c r="N59"/>
      <c r="O59"/>
      <c r="P59">
        <f t="shared" si="0"/>
        <v>2022</v>
      </c>
      <c r="Q59" s="245">
        <f>Q60-1</f>
        <v>49</v>
      </c>
      <c r="R59" s="230">
        <f>F31</f>
        <v>1</v>
      </c>
      <c r="S59" s="230">
        <f>E31</f>
        <v>255500</v>
      </c>
      <c r="T59"/>
      <c r="U59" s="230">
        <f t="shared" si="1"/>
        <v>3420</v>
      </c>
      <c r="V59" s="230">
        <f t="shared" si="2"/>
        <v>64900</v>
      </c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  <c r="AH59" s="224"/>
      <c r="AI59" s="224"/>
      <c r="AJ59" s="224"/>
      <c r="AK59" s="224"/>
      <c r="AL59"/>
      <c r="AM59"/>
      <c r="AN59"/>
      <c r="AO59"/>
      <c r="AP59"/>
      <c r="AQ59"/>
      <c r="AR59"/>
      <c r="AS59"/>
      <c r="AT59"/>
      <c r="AU59"/>
      <c r="AV59"/>
      <c r="AW59"/>
    </row>
    <row r="60" spans="1:49" x14ac:dyDescent="0.3">
      <c r="C60" s="223" t="s">
        <v>366</v>
      </c>
      <c r="N60"/>
      <c r="O60"/>
      <c r="P60">
        <v>2023</v>
      </c>
      <c r="Q60" s="245">
        <f>DATEDIF(D10,D11,"M")/12</f>
        <v>50</v>
      </c>
      <c r="R60" s="230">
        <f>F32</f>
        <v>1</v>
      </c>
      <c r="S60" s="230">
        <f>E32</f>
        <v>230000</v>
      </c>
      <c r="T60" s="245">
        <f>AVERAGE(S56:S60)</f>
        <v>231100</v>
      </c>
      <c r="U60" s="230">
        <f t="shared" si="1"/>
        <v>3506.67</v>
      </c>
      <c r="V60" s="230">
        <f t="shared" si="2"/>
        <v>66600</v>
      </c>
      <c r="W60" s="261"/>
      <c r="X60" s="261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  <c r="AL60"/>
      <c r="AM60"/>
      <c r="AN60"/>
      <c r="AO60"/>
      <c r="AP60"/>
      <c r="AQ60"/>
      <c r="AR60"/>
      <c r="AS60"/>
      <c r="AT60"/>
      <c r="AU60"/>
      <c r="AV60"/>
      <c r="AW60"/>
    </row>
    <row r="61" spans="1:49" ht="31.2" x14ac:dyDescent="0.3">
      <c r="A61" s="259"/>
      <c r="B61" s="259"/>
      <c r="C61" s="260"/>
      <c r="D61" s="260" t="s">
        <v>365</v>
      </c>
      <c r="E61" s="260" t="s">
        <v>364</v>
      </c>
      <c r="F61" s="260"/>
      <c r="G61" s="260" t="s">
        <v>365</v>
      </c>
      <c r="H61" s="260" t="s">
        <v>364</v>
      </c>
      <c r="I61" s="259"/>
      <c r="J61" s="259"/>
      <c r="N61"/>
      <c r="O61"/>
      <c r="P61"/>
      <c r="Q61"/>
      <c r="R61"/>
      <c r="S61"/>
      <c r="T61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  <c r="AL61"/>
      <c r="AM61"/>
      <c r="AN61"/>
      <c r="AO61"/>
      <c r="AP61"/>
      <c r="AQ61"/>
      <c r="AR61"/>
      <c r="AS61"/>
      <c r="AT61"/>
      <c r="AU61"/>
      <c r="AV61"/>
      <c r="AW61"/>
    </row>
    <row r="62" spans="1:49" s="258" customFormat="1" ht="19.8" x14ac:dyDescent="0.3">
      <c r="A62" s="223"/>
      <c r="B62" s="223"/>
      <c r="C62" s="254" t="s">
        <v>363</v>
      </c>
      <c r="D62" s="253">
        <v>22.3</v>
      </c>
      <c r="E62" s="253"/>
      <c r="F62" s="254" t="s">
        <v>362</v>
      </c>
      <c r="G62" s="253">
        <v>7.2</v>
      </c>
      <c r="H62" s="253"/>
      <c r="I62" s="223"/>
      <c r="J62" s="223"/>
      <c r="K62" s="222"/>
      <c r="L62" s="222"/>
      <c r="N62"/>
      <c r="O62"/>
      <c r="P62"/>
      <c r="Q62"/>
      <c r="R62" s="231" t="s">
        <v>319</v>
      </c>
      <c r="S62" s="245" t="str">
        <f>IF((D13+Q60)&gt;55,"Y","N")</f>
        <v>Y</v>
      </c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  <c r="AL62"/>
      <c r="AM62"/>
      <c r="AN62"/>
      <c r="AO62"/>
      <c r="AP62"/>
      <c r="AQ62"/>
      <c r="AR62"/>
      <c r="AS62"/>
      <c r="AT62"/>
      <c r="AU62"/>
      <c r="AV62"/>
      <c r="AW62"/>
    </row>
    <row r="63" spans="1:49" ht="19.8" x14ac:dyDescent="0.3">
      <c r="C63" s="254" t="s">
        <v>361</v>
      </c>
      <c r="D63" s="253">
        <v>21.5</v>
      </c>
      <c r="E63" s="253"/>
      <c r="F63" s="254" t="s">
        <v>360</v>
      </c>
      <c r="G63" s="253">
        <v>6.8</v>
      </c>
      <c r="H63" s="253"/>
      <c r="N63"/>
      <c r="O63"/>
      <c r="P63"/>
      <c r="Q63"/>
      <c r="R63" s="231" t="s">
        <v>318</v>
      </c>
      <c r="S63" s="244">
        <f>MAX(T46:T60)</f>
        <v>231100</v>
      </c>
      <c r="T63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4"/>
      <c r="AL63"/>
      <c r="AM63"/>
      <c r="AN63"/>
      <c r="AO63"/>
      <c r="AP63"/>
      <c r="AQ63"/>
      <c r="AR63"/>
      <c r="AS63"/>
      <c r="AT63"/>
      <c r="AU63"/>
      <c r="AV63"/>
      <c r="AW63"/>
    </row>
    <row r="64" spans="1:49" ht="19.8" x14ac:dyDescent="0.3">
      <c r="C64" s="254" t="s">
        <v>359</v>
      </c>
      <c r="D64" s="253">
        <v>20.7</v>
      </c>
      <c r="E64" s="253"/>
      <c r="F64" s="254" t="s">
        <v>358</v>
      </c>
      <c r="G64" s="253">
        <v>6.5</v>
      </c>
      <c r="H64" s="253"/>
      <c r="N64"/>
      <c r="O64"/>
      <c r="P64"/>
      <c r="Q64"/>
      <c r="R64" s="231" t="s">
        <v>357</v>
      </c>
      <c r="S64" s="257">
        <f>P40+1%</f>
        <v>2.7000000000000003E-2</v>
      </c>
      <c r="T64" s="252" t="s">
        <v>356</v>
      </c>
      <c r="U64" s="224"/>
      <c r="V64" s="224"/>
      <c r="X64" s="224"/>
      <c r="Y64" s="224"/>
      <c r="Z64" s="224"/>
      <c r="AA64" s="224"/>
      <c r="AB64" s="224"/>
      <c r="AC64" s="224"/>
      <c r="AD64" s="224"/>
      <c r="AE64" s="224"/>
      <c r="AJ64" s="224"/>
      <c r="AK64" s="224"/>
      <c r="AO64" s="224"/>
      <c r="AP64" s="224"/>
      <c r="AQ64"/>
      <c r="AR64"/>
      <c r="AS64"/>
      <c r="AT64"/>
      <c r="AU64"/>
      <c r="AV64"/>
      <c r="AW64"/>
    </row>
    <row r="65" spans="1:49" ht="19.8" x14ac:dyDescent="0.3">
      <c r="C65" s="254" t="s">
        <v>355</v>
      </c>
      <c r="D65" s="253">
        <v>19.899999999999999</v>
      </c>
      <c r="E65" s="253"/>
      <c r="F65" s="254" t="s">
        <v>354</v>
      </c>
      <c r="G65" s="253">
        <v>6.1</v>
      </c>
      <c r="H65" s="253"/>
      <c r="N65"/>
      <c r="O65"/>
      <c r="P65"/>
      <c r="Q65"/>
      <c r="R65" s="231"/>
      <c r="S65" s="244"/>
      <c r="Z65" s="224"/>
      <c r="AA65" s="224"/>
      <c r="AB65" s="224"/>
      <c r="AC65" s="224"/>
      <c r="AE65" s="224"/>
      <c r="AF65" s="224"/>
      <c r="AG65" s="224"/>
      <c r="AH65" s="256"/>
      <c r="AI65" s="224"/>
      <c r="AJ65" s="224"/>
      <c r="AK65" s="224"/>
      <c r="AL65"/>
      <c r="AM65"/>
      <c r="AN65"/>
      <c r="AO65"/>
      <c r="AP65"/>
      <c r="AQ65"/>
      <c r="AR65"/>
      <c r="AS65"/>
      <c r="AT65"/>
      <c r="AU65"/>
      <c r="AV65"/>
      <c r="AW65"/>
    </row>
    <row r="66" spans="1:49" ht="19.8" x14ac:dyDescent="0.3">
      <c r="C66" s="254" t="s">
        <v>353</v>
      </c>
      <c r="D66" s="253">
        <v>19.100000000000001</v>
      </c>
      <c r="E66" s="253"/>
      <c r="F66" s="254" t="s">
        <v>352</v>
      </c>
      <c r="G66" s="253">
        <v>5.7</v>
      </c>
      <c r="H66" s="253"/>
      <c r="N66"/>
      <c r="O66"/>
      <c r="P66"/>
      <c r="Q66"/>
      <c r="R66"/>
      <c r="S66"/>
      <c r="T66" s="256"/>
      <c r="U66" s="256"/>
      <c r="V66" s="256"/>
      <c r="W66" s="256"/>
      <c r="X66" s="256"/>
      <c r="Y66" s="224"/>
      <c r="Z66" s="224"/>
      <c r="AA66" s="352" t="s">
        <v>317</v>
      </c>
      <c r="AB66" s="352"/>
      <c r="AC66" s="352"/>
      <c r="AD66" s="352"/>
      <c r="AE66" s="352"/>
      <c r="AF66" s="243"/>
      <c r="AG66" s="353" t="s">
        <v>316</v>
      </c>
      <c r="AH66" s="353"/>
      <c r="AI66" s="353"/>
      <c r="AJ66" s="353"/>
      <c r="AK66" s="353"/>
      <c r="AL66" s="354" t="s">
        <v>315</v>
      </c>
      <c r="AM66" s="354"/>
      <c r="AN66" s="354"/>
      <c r="AO66" s="354"/>
      <c r="AP66" s="354"/>
      <c r="AQ66"/>
      <c r="AR66"/>
      <c r="AS66"/>
      <c r="AT66"/>
      <c r="AU66"/>
      <c r="AV66"/>
      <c r="AW66"/>
    </row>
    <row r="67" spans="1:49" ht="72" x14ac:dyDescent="0.3">
      <c r="C67" s="254" t="s">
        <v>351</v>
      </c>
      <c r="D67" s="253">
        <v>18.3</v>
      </c>
      <c r="E67" s="253"/>
      <c r="F67" s="254" t="s">
        <v>350</v>
      </c>
      <c r="G67" s="253">
        <v>5.4</v>
      </c>
      <c r="H67" s="253"/>
      <c r="N67"/>
      <c r="O67"/>
      <c r="P67" s="242" t="s">
        <v>34</v>
      </c>
      <c r="Q67" s="242" t="s">
        <v>156</v>
      </c>
      <c r="R67" s="242" t="s">
        <v>314</v>
      </c>
      <c r="S67" s="242" t="s">
        <v>313</v>
      </c>
      <c r="T67" s="242" t="s">
        <v>312</v>
      </c>
      <c r="U67" s="242" t="s">
        <v>311</v>
      </c>
      <c r="V67" s="242" t="s">
        <v>349</v>
      </c>
      <c r="W67" s="242" t="s">
        <v>309</v>
      </c>
      <c r="X67" s="242" t="s">
        <v>308</v>
      </c>
      <c r="Y67" s="242" t="s">
        <v>307</v>
      </c>
      <c r="Z67" s="242" t="s">
        <v>306</v>
      </c>
      <c r="AA67" s="242" t="s">
        <v>305</v>
      </c>
      <c r="AB67" s="242" t="s">
        <v>304</v>
      </c>
      <c r="AC67" s="242" t="s">
        <v>303</v>
      </c>
      <c r="AD67" s="242" t="s">
        <v>302</v>
      </c>
      <c r="AE67" s="242" t="s">
        <v>301</v>
      </c>
      <c r="AF67" s="242" t="s">
        <v>300</v>
      </c>
      <c r="AG67" s="242" t="s">
        <v>298</v>
      </c>
      <c r="AH67" s="242" t="s">
        <v>297</v>
      </c>
      <c r="AI67" s="242" t="s">
        <v>296</v>
      </c>
      <c r="AJ67" s="242" t="s">
        <v>299</v>
      </c>
      <c r="AK67" s="242" t="s">
        <v>162</v>
      </c>
      <c r="AL67" s="242" t="s">
        <v>298</v>
      </c>
      <c r="AM67" s="242" t="s">
        <v>297</v>
      </c>
      <c r="AN67" s="242" t="s">
        <v>296</v>
      </c>
      <c r="AO67" s="242" t="s">
        <v>295</v>
      </c>
      <c r="AP67" s="242" t="s">
        <v>162</v>
      </c>
      <c r="AQ67"/>
      <c r="AR67"/>
      <c r="AS67"/>
      <c r="AT67"/>
      <c r="AU67"/>
      <c r="AV67"/>
      <c r="AW67"/>
    </row>
    <row r="68" spans="1:49" ht="19.8" x14ac:dyDescent="0.3">
      <c r="C68" s="254" t="s">
        <v>348</v>
      </c>
      <c r="D68" s="253">
        <v>17.600000000000001</v>
      </c>
      <c r="E68" s="253"/>
      <c r="F68" s="254" t="s">
        <v>347</v>
      </c>
      <c r="G68" s="253">
        <v>5.0999999999999996</v>
      </c>
      <c r="H68" s="253"/>
      <c r="N68"/>
      <c r="O68">
        <v>1</v>
      </c>
      <c r="P68" s="255">
        <f>Q60</f>
        <v>50</v>
      </c>
      <c r="Q68" s="241">
        <f>SUM(R46:R60)</f>
        <v>5</v>
      </c>
      <c r="R68" s="241">
        <f>D13</f>
        <v>6</v>
      </c>
      <c r="S68" s="239">
        <f t="shared" ref="S68:S83" si="3">P68+R68</f>
        <v>56</v>
      </c>
      <c r="T68" s="240">
        <f>2%*$S$63*Q68</f>
        <v>23110</v>
      </c>
      <c r="U68" s="240">
        <f>500*Q68</f>
        <v>2500</v>
      </c>
      <c r="V68" s="240">
        <f>$U$60*Q68</f>
        <v>17533.349999999999</v>
      </c>
      <c r="W68" s="240">
        <f>25%*AVERAGE($V$58:$V$60)*Q68/35</f>
        <v>2298.8095238095239</v>
      </c>
      <c r="X68" s="238">
        <f t="shared" ref="X68:X83" si="4">SUM(V68:W68)</f>
        <v>19832.159523809521</v>
      </c>
      <c r="Y68" s="224"/>
      <c r="Z68" s="224"/>
      <c r="AA68" s="230"/>
      <c r="AB68" s="230"/>
      <c r="AC68" s="230"/>
      <c r="AD68" s="230"/>
      <c r="AE68" s="230"/>
      <c r="AF68" s="230"/>
      <c r="AG68" s="224"/>
      <c r="AH68" s="224"/>
      <c r="AI68" s="224"/>
      <c r="AJ68" s="224"/>
      <c r="AK68" s="224"/>
      <c r="AL68"/>
      <c r="AM68"/>
      <c r="AN68"/>
      <c r="AO68"/>
      <c r="AP68"/>
      <c r="AQ68"/>
      <c r="AR68"/>
      <c r="AS68"/>
      <c r="AT68"/>
      <c r="AU68"/>
      <c r="AV68"/>
      <c r="AW68"/>
    </row>
    <row r="69" spans="1:49" ht="19.8" x14ac:dyDescent="0.3">
      <c r="C69" s="254" t="s">
        <v>346</v>
      </c>
      <c r="D69" s="253">
        <v>16.8</v>
      </c>
      <c r="E69" s="253">
        <v>2.4</v>
      </c>
      <c r="F69" s="254" t="s">
        <v>345</v>
      </c>
      <c r="G69" s="253">
        <v>4.8999999999999995</v>
      </c>
      <c r="H69" s="253">
        <v>0.9</v>
      </c>
      <c r="N69"/>
      <c r="O69">
        <f t="shared" ref="O69:O83" si="5">O68+1</f>
        <v>2</v>
      </c>
      <c r="P69">
        <f t="shared" ref="P69:P83" si="6">P68+1</f>
        <v>51</v>
      </c>
      <c r="Q69"/>
      <c r="R69">
        <f t="shared" ref="R69:R83" si="7">R68+1</f>
        <v>7</v>
      </c>
      <c r="S69">
        <f t="shared" si="3"/>
        <v>58</v>
      </c>
      <c r="T69" s="238">
        <f t="shared" ref="T69:T83" si="8">T68*(1+2%)</f>
        <v>23572.2</v>
      </c>
      <c r="U69" s="238">
        <f t="shared" ref="U69:U83" si="9">U68*(1+2%)</f>
        <v>2550</v>
      </c>
      <c r="V69" s="238">
        <f t="shared" ref="V69:V83" si="10">V68*(1+$S$64)</f>
        <v>18006.750449999996</v>
      </c>
      <c r="W69" s="238">
        <f t="shared" ref="W69:W83" si="11">W68*(1+$S$64)</f>
        <v>2360.8773809523809</v>
      </c>
      <c r="X69" s="238">
        <f t="shared" si="4"/>
        <v>20367.627830952377</v>
      </c>
      <c r="Y69" s="224"/>
      <c r="Z69" s="224"/>
      <c r="AA69" s="230"/>
      <c r="AB69" s="230"/>
      <c r="AC69" s="230"/>
      <c r="AD69" s="230"/>
      <c r="AE69" s="230"/>
      <c r="AF69" s="230"/>
      <c r="AG69" s="224"/>
      <c r="AH69" s="224"/>
      <c r="AI69" s="224"/>
      <c r="AJ69" s="224"/>
      <c r="AK69" s="224"/>
      <c r="AL69"/>
      <c r="AM69"/>
      <c r="AN69"/>
      <c r="AO69"/>
      <c r="AP69"/>
      <c r="AQ69"/>
      <c r="AR69"/>
      <c r="AS69"/>
      <c r="AT69"/>
      <c r="AU69"/>
      <c r="AV69"/>
      <c r="AW69"/>
    </row>
    <row r="70" spans="1:49" ht="19.8" x14ac:dyDescent="0.3">
      <c r="C70" s="254" t="s">
        <v>344</v>
      </c>
      <c r="D70" s="253">
        <v>16.100000000000001</v>
      </c>
      <c r="E70" s="253">
        <v>1.6</v>
      </c>
      <c r="F70" s="254" t="s">
        <v>343</v>
      </c>
      <c r="G70" s="253">
        <v>4.5</v>
      </c>
      <c r="H70" s="253">
        <v>0.6</v>
      </c>
      <c r="N70"/>
      <c r="O70">
        <f t="shared" si="5"/>
        <v>3</v>
      </c>
      <c r="P70">
        <f t="shared" si="6"/>
        <v>52</v>
      </c>
      <c r="Q70"/>
      <c r="R70">
        <f t="shared" si="7"/>
        <v>8</v>
      </c>
      <c r="S70">
        <f t="shared" si="3"/>
        <v>60</v>
      </c>
      <c r="T70" s="238">
        <f t="shared" si="8"/>
        <v>24043.644</v>
      </c>
      <c r="U70" s="238">
        <f t="shared" si="9"/>
        <v>2601</v>
      </c>
      <c r="V70" s="238">
        <f t="shared" si="10"/>
        <v>18492.932712149995</v>
      </c>
      <c r="W70" s="238">
        <f t="shared" si="11"/>
        <v>2424.6210702380949</v>
      </c>
      <c r="X70" s="238">
        <f t="shared" si="4"/>
        <v>20917.553782388091</v>
      </c>
      <c r="Y70" s="224"/>
      <c r="Z70" s="224"/>
      <c r="AA70" s="230"/>
      <c r="AB70" s="230"/>
      <c r="AC70" s="230"/>
      <c r="AD70" s="230"/>
      <c r="AE70" s="230"/>
      <c r="AF70" s="230"/>
      <c r="AG70" s="224"/>
      <c r="AH70" s="224"/>
      <c r="AI70" s="224"/>
      <c r="AJ70" s="224"/>
      <c r="AK70" s="224"/>
      <c r="AL70"/>
      <c r="AM70"/>
      <c r="AN70"/>
      <c r="AO70"/>
      <c r="AP70"/>
      <c r="AQ70"/>
      <c r="AR70"/>
      <c r="AS70"/>
      <c r="AT70"/>
      <c r="AU70"/>
      <c r="AV70"/>
      <c r="AW70"/>
    </row>
    <row r="71" spans="1:49" ht="19.8" x14ac:dyDescent="0.3">
      <c r="C71" s="254" t="s">
        <v>342</v>
      </c>
      <c r="D71" s="253">
        <v>15.4</v>
      </c>
      <c r="E71" s="253">
        <v>0.8</v>
      </c>
      <c r="F71" s="254" t="s">
        <v>341</v>
      </c>
      <c r="G71" s="253">
        <v>4.2</v>
      </c>
      <c r="H71" s="253">
        <v>0.3</v>
      </c>
      <c r="N71"/>
      <c r="O71">
        <f t="shared" si="5"/>
        <v>4</v>
      </c>
      <c r="P71">
        <f t="shared" si="6"/>
        <v>53</v>
      </c>
      <c r="Q71"/>
      <c r="R71">
        <f t="shared" si="7"/>
        <v>9</v>
      </c>
      <c r="S71">
        <f t="shared" si="3"/>
        <v>62</v>
      </c>
      <c r="T71" s="238">
        <f t="shared" si="8"/>
        <v>24524.516879999999</v>
      </c>
      <c r="U71" s="238">
        <f t="shared" si="9"/>
        <v>2653.02</v>
      </c>
      <c r="V71" s="238">
        <f t="shared" si="10"/>
        <v>18992.241895378043</v>
      </c>
      <c r="W71" s="238">
        <f t="shared" si="11"/>
        <v>2490.0858391345232</v>
      </c>
      <c r="X71" s="238">
        <f t="shared" si="4"/>
        <v>21482.327734512568</v>
      </c>
      <c r="Y71" s="224"/>
      <c r="Z71" s="224"/>
      <c r="AA71" s="230"/>
      <c r="AB71" s="230"/>
      <c r="AC71" s="230"/>
      <c r="AD71" s="230"/>
      <c r="AE71" s="230"/>
      <c r="AF71" s="230"/>
      <c r="AG71" s="224"/>
      <c r="AH71" s="224"/>
      <c r="AI71" s="224"/>
      <c r="AJ71" s="224"/>
      <c r="AK71" s="224"/>
      <c r="AL71"/>
      <c r="AM71"/>
      <c r="AN71"/>
      <c r="AO71"/>
      <c r="AP71"/>
      <c r="AQ71"/>
      <c r="AR71"/>
      <c r="AS71"/>
      <c r="AT71"/>
      <c r="AU71"/>
      <c r="AV71"/>
      <c r="AW71"/>
    </row>
    <row r="72" spans="1:49" ht="19.8" x14ac:dyDescent="0.3">
      <c r="C72" s="254" t="s">
        <v>340</v>
      </c>
      <c r="D72" s="253">
        <v>14.7</v>
      </c>
      <c r="E72" s="253">
        <v>0</v>
      </c>
      <c r="F72" s="254" t="s">
        <v>339</v>
      </c>
      <c r="G72" s="253">
        <v>4</v>
      </c>
      <c r="H72" s="253">
        <v>0</v>
      </c>
      <c r="N72"/>
      <c r="O72">
        <f t="shared" si="5"/>
        <v>5</v>
      </c>
      <c r="P72">
        <f t="shared" si="6"/>
        <v>54</v>
      </c>
      <c r="Q72"/>
      <c r="R72">
        <f t="shared" si="7"/>
        <v>10</v>
      </c>
      <c r="S72">
        <f t="shared" si="3"/>
        <v>64</v>
      </c>
      <c r="T72" s="238">
        <f t="shared" si="8"/>
        <v>25015.007217599999</v>
      </c>
      <c r="U72" s="238">
        <f t="shared" si="9"/>
        <v>2706.0803999999998</v>
      </c>
      <c r="V72" s="238">
        <f t="shared" si="10"/>
        <v>19505.032426553247</v>
      </c>
      <c r="W72" s="238">
        <f t="shared" si="11"/>
        <v>2557.3181567911552</v>
      </c>
      <c r="X72" s="238">
        <f t="shared" si="4"/>
        <v>22062.350583344403</v>
      </c>
      <c r="Y72" s="224"/>
      <c r="Z72" s="224"/>
      <c r="AA72" s="230"/>
      <c r="AB72" s="230"/>
      <c r="AC72" s="230"/>
      <c r="AD72" s="230"/>
      <c r="AE72" s="230"/>
      <c r="AF72" s="230"/>
      <c r="AG72" s="224"/>
      <c r="AH72" s="224"/>
      <c r="AI72" s="224"/>
      <c r="AJ72" s="224"/>
      <c r="AK72" s="224"/>
      <c r="AL72"/>
      <c r="AM72"/>
      <c r="AN72"/>
      <c r="AO72"/>
      <c r="AP72"/>
      <c r="AQ72"/>
      <c r="AR72"/>
      <c r="AS72"/>
      <c r="AT72"/>
      <c r="AU72"/>
      <c r="AV72"/>
      <c r="AW72"/>
    </row>
    <row r="73" spans="1:49" x14ac:dyDescent="0.3">
      <c r="N73"/>
      <c r="O73">
        <f t="shared" si="5"/>
        <v>6</v>
      </c>
      <c r="P73">
        <f t="shared" si="6"/>
        <v>55</v>
      </c>
      <c r="Q73"/>
      <c r="R73">
        <f t="shared" si="7"/>
        <v>11</v>
      </c>
      <c r="S73">
        <f t="shared" si="3"/>
        <v>66</v>
      </c>
      <c r="T73" s="238">
        <f t="shared" si="8"/>
        <v>25515.307361952</v>
      </c>
      <c r="U73" s="238">
        <f t="shared" si="9"/>
        <v>2760.2020079999998</v>
      </c>
      <c r="V73" s="238">
        <f t="shared" si="10"/>
        <v>20031.668302070182</v>
      </c>
      <c r="W73" s="238">
        <f t="shared" si="11"/>
        <v>2626.3657470245162</v>
      </c>
      <c r="X73" s="238">
        <f t="shared" si="4"/>
        <v>22658.034049094698</v>
      </c>
      <c r="Y73" s="224">
        <f t="shared" ref="Y73:Y83" si="12">D62</f>
        <v>22.3</v>
      </c>
      <c r="Z73" s="224"/>
      <c r="AA73" s="224">
        <f t="shared" ref="AA73:AA83" si="13">MAX(0,30-R73)</f>
        <v>19</v>
      </c>
      <c r="AB73" s="224">
        <f t="shared" ref="AB73:AB83" si="14">MAX(0,60-P73)</f>
        <v>5</v>
      </c>
      <c r="AC73" s="224">
        <f t="shared" ref="AC73:AC83" si="15">MAX(0,(80-S73)/2)</f>
        <v>7</v>
      </c>
      <c r="AD73" s="235">
        <f t="shared" ref="AD73:AD83" si="16">100%-3%*MIN(AA73:AC73)</f>
        <v>0.85</v>
      </c>
      <c r="AE73" s="230">
        <f t="shared" ref="AE73:AE83" si="17">V73*AD73</f>
        <v>17026.918056759656</v>
      </c>
      <c r="AF73" s="230"/>
      <c r="AG73" s="235">
        <f t="shared" ref="AG73:AG82" si="18">AG74-4%</f>
        <v>0.59999999999999964</v>
      </c>
      <c r="AH73" s="230">
        <f t="shared" ref="AH73:AH83" si="19">T73*AG73</f>
        <v>15309.184417171191</v>
      </c>
      <c r="AI73" s="230">
        <f t="shared" ref="AI73:AI83" si="20">MIN(AE73,AH73)</f>
        <v>15309.184417171191</v>
      </c>
      <c r="AJ73" s="224"/>
      <c r="AK73" s="238">
        <f t="shared" ref="AK73:AK83" si="21">$Y73*AI73+$Z73*AJ73</f>
        <v>341394.81250291754</v>
      </c>
      <c r="AL73" s="235">
        <f t="shared" ref="AL73:AL79" si="22">AL74-3%</f>
        <v>0.78999999999999981</v>
      </c>
      <c r="AM73" s="230">
        <f t="shared" ref="AM73:AM83" si="23">T73*AL73+IF($C72&gt;=62,U73,0)</f>
        <v>22917.294823942077</v>
      </c>
      <c r="AN73" s="230">
        <f t="shared" ref="AN73:AN83" si="24">MIN(AE73,AM73)</f>
        <v>17026.918056759656</v>
      </c>
      <c r="AO73" s="230"/>
      <c r="AP73" s="238">
        <f t="shared" ref="AP73:AP83" si="25">$Y73*AN73+$Z73*AO73</f>
        <v>379700.27266574034</v>
      </c>
      <c r="AQ73"/>
      <c r="AR73" s="238"/>
      <c r="AS73"/>
      <c r="AT73"/>
      <c r="AU73"/>
      <c r="AV73"/>
      <c r="AW73"/>
    </row>
    <row r="74" spans="1:49" x14ac:dyDescent="0.3">
      <c r="N74"/>
      <c r="O74">
        <f t="shared" si="5"/>
        <v>7</v>
      </c>
      <c r="P74">
        <f t="shared" si="6"/>
        <v>56</v>
      </c>
      <c r="Q74"/>
      <c r="R74">
        <f t="shared" si="7"/>
        <v>12</v>
      </c>
      <c r="S74">
        <f t="shared" si="3"/>
        <v>68</v>
      </c>
      <c r="T74" s="238">
        <f t="shared" si="8"/>
        <v>26025.61350919104</v>
      </c>
      <c r="U74" s="238">
        <f t="shared" si="9"/>
        <v>2815.40604816</v>
      </c>
      <c r="V74" s="238">
        <f t="shared" si="10"/>
        <v>20572.523346226077</v>
      </c>
      <c r="W74" s="238">
        <f t="shared" si="11"/>
        <v>2697.2776221941781</v>
      </c>
      <c r="X74" s="238">
        <f t="shared" si="4"/>
        <v>23269.800968420255</v>
      </c>
      <c r="Y74" s="224">
        <f t="shared" si="12"/>
        <v>21.5</v>
      </c>
      <c r="Z74" s="224"/>
      <c r="AA74" s="224">
        <f t="shared" si="13"/>
        <v>18</v>
      </c>
      <c r="AB74" s="224">
        <f t="shared" si="14"/>
        <v>4</v>
      </c>
      <c r="AC74" s="224">
        <f t="shared" si="15"/>
        <v>6</v>
      </c>
      <c r="AD74" s="235">
        <f t="shared" si="16"/>
        <v>0.88</v>
      </c>
      <c r="AE74" s="230">
        <f t="shared" si="17"/>
        <v>18103.820544678947</v>
      </c>
      <c r="AF74" s="230"/>
      <c r="AG74" s="235">
        <f t="shared" si="18"/>
        <v>0.63999999999999968</v>
      </c>
      <c r="AH74" s="230">
        <f t="shared" si="19"/>
        <v>16656.392645882257</v>
      </c>
      <c r="AI74" s="230">
        <f t="shared" si="20"/>
        <v>16656.392645882257</v>
      </c>
      <c r="AJ74" s="224"/>
      <c r="AK74" s="238">
        <f t="shared" si="21"/>
        <v>358112.4418864685</v>
      </c>
      <c r="AL74" s="235">
        <f t="shared" si="22"/>
        <v>0.81999999999999984</v>
      </c>
      <c r="AM74" s="230">
        <f t="shared" si="23"/>
        <v>21341.00307753665</v>
      </c>
      <c r="AN74" s="230">
        <f t="shared" si="24"/>
        <v>18103.820544678947</v>
      </c>
      <c r="AO74" s="230"/>
      <c r="AP74" s="238">
        <f t="shared" si="25"/>
        <v>389232.14171059738</v>
      </c>
      <c r="AQ74"/>
      <c r="AR74" s="238"/>
      <c r="AS74"/>
      <c r="AT74"/>
      <c r="AU74"/>
      <c r="AV74"/>
      <c r="AW74"/>
    </row>
    <row r="75" spans="1:49" x14ac:dyDescent="0.3">
      <c r="A75" s="223" t="s">
        <v>338</v>
      </c>
      <c r="B75" s="223" t="s">
        <v>337</v>
      </c>
      <c r="C75" s="223" t="s">
        <v>336</v>
      </c>
      <c r="N75"/>
      <c r="O75">
        <f t="shared" si="5"/>
        <v>8</v>
      </c>
      <c r="P75">
        <f t="shared" si="6"/>
        <v>57</v>
      </c>
      <c r="Q75"/>
      <c r="R75">
        <f t="shared" si="7"/>
        <v>13</v>
      </c>
      <c r="S75">
        <f t="shared" si="3"/>
        <v>70</v>
      </c>
      <c r="T75" s="238">
        <f t="shared" si="8"/>
        <v>26546.125779374863</v>
      </c>
      <c r="U75" s="238">
        <f t="shared" si="9"/>
        <v>2871.7141691232</v>
      </c>
      <c r="V75" s="238">
        <f t="shared" si="10"/>
        <v>21127.981476574179</v>
      </c>
      <c r="W75" s="238">
        <f t="shared" si="11"/>
        <v>2770.1041179934205</v>
      </c>
      <c r="X75" s="238">
        <f t="shared" si="4"/>
        <v>23898.085594567601</v>
      </c>
      <c r="Y75" s="224">
        <f t="shared" si="12"/>
        <v>20.7</v>
      </c>
      <c r="Z75" s="224"/>
      <c r="AA75" s="224">
        <f t="shared" si="13"/>
        <v>17</v>
      </c>
      <c r="AB75" s="224">
        <f t="shared" si="14"/>
        <v>3</v>
      </c>
      <c r="AC75" s="224">
        <f t="shared" si="15"/>
        <v>5</v>
      </c>
      <c r="AD75" s="235">
        <f t="shared" si="16"/>
        <v>0.91</v>
      </c>
      <c r="AE75" s="230">
        <f t="shared" si="17"/>
        <v>19226.463143682504</v>
      </c>
      <c r="AF75" s="230"/>
      <c r="AG75" s="235">
        <f t="shared" si="18"/>
        <v>0.67999999999999972</v>
      </c>
      <c r="AH75" s="230">
        <f t="shared" si="19"/>
        <v>18051.365529974901</v>
      </c>
      <c r="AI75" s="230">
        <f t="shared" si="20"/>
        <v>18051.365529974901</v>
      </c>
      <c r="AJ75" s="224"/>
      <c r="AK75" s="238">
        <f t="shared" si="21"/>
        <v>373663.26647048042</v>
      </c>
      <c r="AL75" s="235">
        <f t="shared" si="22"/>
        <v>0.84999999999999987</v>
      </c>
      <c r="AM75" s="230">
        <f t="shared" si="23"/>
        <v>22564.206912468631</v>
      </c>
      <c r="AN75" s="230">
        <f t="shared" si="24"/>
        <v>19226.463143682504</v>
      </c>
      <c r="AO75" s="230"/>
      <c r="AP75" s="238">
        <f t="shared" si="25"/>
        <v>397987.78707422782</v>
      </c>
      <c r="AQ75"/>
      <c r="AR75" s="238"/>
      <c r="AS75"/>
      <c r="AT75"/>
      <c r="AU75"/>
      <c r="AV75"/>
      <c r="AW75"/>
    </row>
    <row r="76" spans="1:49" x14ac:dyDescent="0.3">
      <c r="C76" s="223" t="s">
        <v>335</v>
      </c>
      <c r="N76"/>
      <c r="O76">
        <f t="shared" si="5"/>
        <v>9</v>
      </c>
      <c r="P76">
        <f t="shared" si="6"/>
        <v>58</v>
      </c>
      <c r="Q76"/>
      <c r="R76">
        <f t="shared" si="7"/>
        <v>14</v>
      </c>
      <c r="S76">
        <f t="shared" si="3"/>
        <v>72</v>
      </c>
      <c r="T76" s="238">
        <f t="shared" si="8"/>
        <v>27077.048294962362</v>
      </c>
      <c r="U76" s="238">
        <f t="shared" si="9"/>
        <v>2929.148452505664</v>
      </c>
      <c r="V76" s="238">
        <f t="shared" si="10"/>
        <v>21698.436976441681</v>
      </c>
      <c r="W76" s="238">
        <f t="shared" si="11"/>
        <v>2844.8969291792428</v>
      </c>
      <c r="X76" s="238">
        <f t="shared" si="4"/>
        <v>24543.333905620922</v>
      </c>
      <c r="Y76" s="224">
        <f t="shared" si="12"/>
        <v>19.899999999999999</v>
      </c>
      <c r="Z76" s="224"/>
      <c r="AA76" s="224">
        <f t="shared" si="13"/>
        <v>16</v>
      </c>
      <c r="AB76" s="224">
        <f t="shared" si="14"/>
        <v>2</v>
      </c>
      <c r="AC76" s="224">
        <f t="shared" si="15"/>
        <v>4</v>
      </c>
      <c r="AD76" s="235">
        <f t="shared" si="16"/>
        <v>0.94</v>
      </c>
      <c r="AE76" s="230">
        <f t="shared" si="17"/>
        <v>20396.53075785518</v>
      </c>
      <c r="AF76" s="230"/>
      <c r="AG76" s="235">
        <f t="shared" si="18"/>
        <v>0.71999999999999975</v>
      </c>
      <c r="AH76" s="230">
        <f t="shared" si="19"/>
        <v>19495.474772372894</v>
      </c>
      <c r="AI76" s="230">
        <f t="shared" si="20"/>
        <v>19495.474772372894</v>
      </c>
      <c r="AJ76" s="224"/>
      <c r="AK76" s="238">
        <f t="shared" si="21"/>
        <v>387959.94797022059</v>
      </c>
      <c r="AL76" s="235">
        <f t="shared" si="22"/>
        <v>0.87999999999999989</v>
      </c>
      <c r="AM76" s="230">
        <f t="shared" si="23"/>
        <v>26756.950952072541</v>
      </c>
      <c r="AN76" s="230">
        <f t="shared" si="24"/>
        <v>20396.53075785518</v>
      </c>
      <c r="AO76" s="230"/>
      <c r="AP76" s="238">
        <f t="shared" si="25"/>
        <v>405890.96208131808</v>
      </c>
      <c r="AQ76"/>
      <c r="AR76" s="238"/>
      <c r="AS76"/>
      <c r="AT76"/>
      <c r="AU76"/>
      <c r="AV76"/>
      <c r="AW76"/>
    </row>
    <row r="77" spans="1:49" x14ac:dyDescent="0.3">
      <c r="N77"/>
      <c r="O77">
        <f t="shared" si="5"/>
        <v>10</v>
      </c>
      <c r="P77">
        <f t="shared" si="6"/>
        <v>59</v>
      </c>
      <c r="Q77"/>
      <c r="R77">
        <f t="shared" si="7"/>
        <v>15</v>
      </c>
      <c r="S77">
        <f t="shared" si="3"/>
        <v>74</v>
      </c>
      <c r="T77" s="238">
        <f t="shared" si="8"/>
        <v>27618.589260861609</v>
      </c>
      <c r="U77" s="238">
        <f t="shared" si="9"/>
        <v>2987.7314215557772</v>
      </c>
      <c r="V77" s="238">
        <f t="shared" si="10"/>
        <v>22284.294774805603</v>
      </c>
      <c r="W77" s="238">
        <f t="shared" si="11"/>
        <v>2921.7091462670819</v>
      </c>
      <c r="X77" s="238">
        <f t="shared" si="4"/>
        <v>25206.003921072686</v>
      </c>
      <c r="Y77" s="224">
        <f t="shared" si="12"/>
        <v>19.100000000000001</v>
      </c>
      <c r="Z77" s="224"/>
      <c r="AA77" s="224">
        <f t="shared" si="13"/>
        <v>15</v>
      </c>
      <c r="AB77" s="224">
        <f t="shared" si="14"/>
        <v>1</v>
      </c>
      <c r="AC77" s="224">
        <f t="shared" si="15"/>
        <v>3</v>
      </c>
      <c r="AD77" s="235">
        <f t="shared" si="16"/>
        <v>0.97</v>
      </c>
      <c r="AE77" s="230">
        <f t="shared" si="17"/>
        <v>21615.765931561433</v>
      </c>
      <c r="AF77" s="230"/>
      <c r="AG77" s="235">
        <f t="shared" si="18"/>
        <v>0.75999999999999979</v>
      </c>
      <c r="AH77" s="230">
        <f t="shared" si="19"/>
        <v>20990.127838254815</v>
      </c>
      <c r="AI77" s="230">
        <f t="shared" si="20"/>
        <v>20990.127838254815</v>
      </c>
      <c r="AJ77" s="224"/>
      <c r="AK77" s="238">
        <f t="shared" si="21"/>
        <v>400911.44171066699</v>
      </c>
      <c r="AL77" s="235">
        <f t="shared" si="22"/>
        <v>0.90999999999999992</v>
      </c>
      <c r="AM77" s="230">
        <f t="shared" si="23"/>
        <v>28120.647648939841</v>
      </c>
      <c r="AN77" s="230">
        <f t="shared" si="24"/>
        <v>21615.765931561433</v>
      </c>
      <c r="AO77" s="230"/>
      <c r="AP77" s="238">
        <f t="shared" si="25"/>
        <v>412861.12929282337</v>
      </c>
      <c r="AQ77"/>
      <c r="AR77" s="238"/>
      <c r="AS77"/>
      <c r="AT77"/>
      <c r="AU77"/>
      <c r="AV77"/>
      <c r="AW77"/>
    </row>
    <row r="78" spans="1:49" x14ac:dyDescent="0.3">
      <c r="C78" s="346" t="s">
        <v>325</v>
      </c>
      <c r="D78" s="347"/>
      <c r="E78" s="347"/>
      <c r="F78" s="347"/>
      <c r="G78" s="347"/>
      <c r="H78" s="347"/>
      <c r="I78" s="348"/>
      <c r="N78"/>
      <c r="O78">
        <f t="shared" si="5"/>
        <v>11</v>
      </c>
      <c r="P78">
        <f t="shared" si="6"/>
        <v>60</v>
      </c>
      <c r="Q78"/>
      <c r="R78">
        <f t="shared" si="7"/>
        <v>16</v>
      </c>
      <c r="S78">
        <f t="shared" si="3"/>
        <v>76</v>
      </c>
      <c r="T78" s="238">
        <f t="shared" si="8"/>
        <v>28170.961046078843</v>
      </c>
      <c r="U78" s="238">
        <f t="shared" si="9"/>
        <v>3047.4860499868928</v>
      </c>
      <c r="V78" s="238">
        <f t="shared" si="10"/>
        <v>22885.970733725353</v>
      </c>
      <c r="W78" s="238">
        <f t="shared" si="11"/>
        <v>3000.5952932162927</v>
      </c>
      <c r="X78" s="238">
        <f t="shared" si="4"/>
        <v>25886.566026941648</v>
      </c>
      <c r="Y78" s="224">
        <f t="shared" si="12"/>
        <v>18.3</v>
      </c>
      <c r="Z78" s="224"/>
      <c r="AA78" s="224">
        <f t="shared" si="13"/>
        <v>14</v>
      </c>
      <c r="AB78" s="224">
        <f t="shared" si="14"/>
        <v>0</v>
      </c>
      <c r="AC78" s="224">
        <f t="shared" si="15"/>
        <v>2</v>
      </c>
      <c r="AD78" s="235">
        <f t="shared" si="16"/>
        <v>1</v>
      </c>
      <c r="AE78" s="230">
        <f t="shared" si="17"/>
        <v>22885.970733725353</v>
      </c>
      <c r="AF78" s="230"/>
      <c r="AG78" s="235">
        <f t="shared" si="18"/>
        <v>0.79999999999999982</v>
      </c>
      <c r="AH78" s="230">
        <f t="shared" si="19"/>
        <v>22536.76883686307</v>
      </c>
      <c r="AI78" s="230">
        <f t="shared" si="20"/>
        <v>22536.76883686307</v>
      </c>
      <c r="AJ78" s="224"/>
      <c r="AK78" s="238">
        <f t="shared" si="21"/>
        <v>412422.86971459421</v>
      </c>
      <c r="AL78" s="235">
        <f t="shared" si="22"/>
        <v>0.94</v>
      </c>
      <c r="AM78" s="230">
        <f t="shared" si="23"/>
        <v>26480.70338331411</v>
      </c>
      <c r="AN78" s="230">
        <f t="shared" si="24"/>
        <v>22885.970733725353</v>
      </c>
      <c r="AO78" s="230"/>
      <c r="AP78" s="238">
        <f t="shared" si="25"/>
        <v>418813.264427174</v>
      </c>
      <c r="AQ78"/>
      <c r="AR78" s="238"/>
      <c r="AS78"/>
      <c r="AT78"/>
      <c r="AU78"/>
      <c r="AV78"/>
      <c r="AW78"/>
    </row>
    <row r="79" spans="1:49" x14ac:dyDescent="0.3">
      <c r="C79" s="349"/>
      <c r="D79" s="350"/>
      <c r="E79" s="350"/>
      <c r="F79" s="350"/>
      <c r="G79" s="350"/>
      <c r="H79" s="350"/>
      <c r="I79" s="351"/>
      <c r="N79"/>
      <c r="O79">
        <f t="shared" si="5"/>
        <v>12</v>
      </c>
      <c r="P79">
        <f t="shared" si="6"/>
        <v>61</v>
      </c>
      <c r="Q79"/>
      <c r="R79">
        <f t="shared" si="7"/>
        <v>17</v>
      </c>
      <c r="S79">
        <f t="shared" si="3"/>
        <v>78</v>
      </c>
      <c r="T79" s="238">
        <f t="shared" si="8"/>
        <v>28734.380267000419</v>
      </c>
      <c r="U79" s="238">
        <f t="shared" si="9"/>
        <v>3108.4357709866308</v>
      </c>
      <c r="V79" s="238">
        <f t="shared" si="10"/>
        <v>23503.891943535935</v>
      </c>
      <c r="W79" s="238">
        <f t="shared" si="11"/>
        <v>3081.6113661331324</v>
      </c>
      <c r="X79" s="238">
        <f t="shared" si="4"/>
        <v>26585.503309669068</v>
      </c>
      <c r="Y79" s="224">
        <f t="shared" si="12"/>
        <v>17.600000000000001</v>
      </c>
      <c r="Z79" s="224"/>
      <c r="AA79" s="224">
        <f t="shared" si="13"/>
        <v>13</v>
      </c>
      <c r="AB79" s="224">
        <f t="shared" si="14"/>
        <v>0</v>
      </c>
      <c r="AC79" s="224">
        <f t="shared" si="15"/>
        <v>1</v>
      </c>
      <c r="AD79" s="235">
        <f t="shared" si="16"/>
        <v>1</v>
      </c>
      <c r="AE79" s="230">
        <f t="shared" si="17"/>
        <v>23503.891943535935</v>
      </c>
      <c r="AF79" s="230"/>
      <c r="AG79" s="235">
        <f t="shared" si="18"/>
        <v>0.83999999999999986</v>
      </c>
      <c r="AH79" s="230">
        <f t="shared" si="19"/>
        <v>24136.879424280349</v>
      </c>
      <c r="AI79" s="230">
        <f t="shared" si="20"/>
        <v>23503.891943535935</v>
      </c>
      <c r="AJ79" s="224"/>
      <c r="AK79" s="238">
        <f t="shared" si="21"/>
        <v>413668.4982062325</v>
      </c>
      <c r="AL79" s="235">
        <f t="shared" si="22"/>
        <v>0.97</v>
      </c>
      <c r="AM79" s="230">
        <f t="shared" si="23"/>
        <v>30980.784629977035</v>
      </c>
      <c r="AN79" s="230">
        <f t="shared" si="24"/>
        <v>23503.891943535935</v>
      </c>
      <c r="AO79" s="230"/>
      <c r="AP79" s="238">
        <f t="shared" si="25"/>
        <v>413668.4982062325</v>
      </c>
      <c r="AQ79"/>
      <c r="AR79" s="238"/>
      <c r="AS79"/>
      <c r="AT79"/>
      <c r="AU79"/>
      <c r="AV79"/>
      <c r="AW79"/>
    </row>
    <row r="80" spans="1:49" x14ac:dyDescent="0.3">
      <c r="N80"/>
      <c r="O80">
        <f t="shared" si="5"/>
        <v>13</v>
      </c>
      <c r="P80">
        <f t="shared" si="6"/>
        <v>62</v>
      </c>
      <c r="Q80"/>
      <c r="R80">
        <f t="shared" si="7"/>
        <v>18</v>
      </c>
      <c r="S80">
        <f t="shared" si="3"/>
        <v>80</v>
      </c>
      <c r="T80" s="238">
        <f t="shared" si="8"/>
        <v>29309.067872340427</v>
      </c>
      <c r="U80" s="238">
        <f t="shared" si="9"/>
        <v>3170.6044864063633</v>
      </c>
      <c r="V80" s="238">
        <f t="shared" si="10"/>
        <v>24138.497026011402</v>
      </c>
      <c r="W80" s="238">
        <f t="shared" si="11"/>
        <v>3164.8148730187268</v>
      </c>
      <c r="X80" s="238">
        <f t="shared" si="4"/>
        <v>27303.31189903013</v>
      </c>
      <c r="Y80" s="224">
        <f t="shared" si="12"/>
        <v>16.8</v>
      </c>
      <c r="Z80" s="224">
        <f>E69</f>
        <v>2.4</v>
      </c>
      <c r="AA80" s="224">
        <f t="shared" si="13"/>
        <v>12</v>
      </c>
      <c r="AB80" s="224">
        <f t="shared" si="14"/>
        <v>0</v>
      </c>
      <c r="AC80" s="224">
        <f t="shared" si="15"/>
        <v>0</v>
      </c>
      <c r="AD80" s="235">
        <f t="shared" si="16"/>
        <v>1</v>
      </c>
      <c r="AE80" s="230">
        <f t="shared" si="17"/>
        <v>24138.497026011402</v>
      </c>
      <c r="AF80" s="230">
        <f>X80-AE80</f>
        <v>3164.8148730187277</v>
      </c>
      <c r="AG80" s="235">
        <f t="shared" si="18"/>
        <v>0.87999999999999989</v>
      </c>
      <c r="AH80" s="230">
        <f t="shared" si="19"/>
        <v>25791.979727659575</v>
      </c>
      <c r="AI80" s="230">
        <f t="shared" si="20"/>
        <v>24138.497026011402</v>
      </c>
      <c r="AJ80" s="230">
        <v>0</v>
      </c>
      <c r="AK80" s="238">
        <f t="shared" si="21"/>
        <v>405526.75003699155</v>
      </c>
      <c r="AL80" s="234">
        <v>1</v>
      </c>
      <c r="AM80" s="230">
        <f t="shared" si="23"/>
        <v>29309.067872340427</v>
      </c>
      <c r="AN80" s="230">
        <f t="shared" si="24"/>
        <v>24138.497026011402</v>
      </c>
      <c r="AO80" s="230">
        <f>MIN(AF80,U80)</f>
        <v>3164.8148730187277</v>
      </c>
      <c r="AP80" s="238">
        <f t="shared" si="25"/>
        <v>413122.30573223648</v>
      </c>
      <c r="AQ80" s="252"/>
      <c r="AR80"/>
      <c r="AS80"/>
      <c r="AT80"/>
      <c r="AU80"/>
      <c r="AV80"/>
      <c r="AW80"/>
    </row>
    <row r="81" spans="1:49" x14ac:dyDescent="0.3">
      <c r="A81" s="223" t="s">
        <v>334</v>
      </c>
      <c r="B81" s="223" t="s">
        <v>333</v>
      </c>
      <c r="C81" s="223" t="s">
        <v>332</v>
      </c>
      <c r="N81"/>
      <c r="O81">
        <f t="shared" si="5"/>
        <v>14</v>
      </c>
      <c r="P81">
        <f t="shared" si="6"/>
        <v>63</v>
      </c>
      <c r="Q81"/>
      <c r="R81">
        <f t="shared" si="7"/>
        <v>19</v>
      </c>
      <c r="S81">
        <f t="shared" si="3"/>
        <v>82</v>
      </c>
      <c r="T81" s="238">
        <f t="shared" si="8"/>
        <v>29895.249229787238</v>
      </c>
      <c r="U81" s="238">
        <f t="shared" si="9"/>
        <v>3234.0165761344906</v>
      </c>
      <c r="V81" s="238">
        <f t="shared" si="10"/>
        <v>24790.236445713708</v>
      </c>
      <c r="W81" s="238">
        <f t="shared" si="11"/>
        <v>3250.264874590232</v>
      </c>
      <c r="X81" s="238">
        <f t="shared" si="4"/>
        <v>28040.501320303942</v>
      </c>
      <c r="Y81" s="224">
        <f t="shared" si="12"/>
        <v>16.100000000000001</v>
      </c>
      <c r="Z81" s="224">
        <f>E70</f>
        <v>1.6</v>
      </c>
      <c r="AA81" s="224">
        <f t="shared" si="13"/>
        <v>11</v>
      </c>
      <c r="AB81" s="224">
        <f t="shared" si="14"/>
        <v>0</v>
      </c>
      <c r="AC81" s="224">
        <f t="shared" si="15"/>
        <v>0</v>
      </c>
      <c r="AD81" s="235">
        <f t="shared" si="16"/>
        <v>1</v>
      </c>
      <c r="AE81" s="230">
        <f t="shared" si="17"/>
        <v>24790.236445713708</v>
      </c>
      <c r="AF81" s="230">
        <f>X81-AE81</f>
        <v>3250.2648745902334</v>
      </c>
      <c r="AG81" s="235">
        <f t="shared" si="18"/>
        <v>0.91999999999999993</v>
      </c>
      <c r="AH81" s="230">
        <f t="shared" si="19"/>
        <v>27503.629291404257</v>
      </c>
      <c r="AI81" s="230">
        <f t="shared" si="20"/>
        <v>24790.236445713708</v>
      </c>
      <c r="AJ81" s="230">
        <v>0</v>
      </c>
      <c r="AK81" s="238">
        <f t="shared" si="21"/>
        <v>399122.80677599076</v>
      </c>
      <c r="AL81" s="234">
        <v>1</v>
      </c>
      <c r="AM81" s="230">
        <f t="shared" si="23"/>
        <v>29895.249229787238</v>
      </c>
      <c r="AN81" s="230">
        <f t="shared" si="24"/>
        <v>24790.236445713708</v>
      </c>
      <c r="AO81" s="230">
        <f>MIN(AF81,U81)</f>
        <v>3234.0165761344906</v>
      </c>
      <c r="AP81" s="238">
        <f t="shared" si="25"/>
        <v>404297.23329780594</v>
      </c>
      <c r="AQ81"/>
      <c r="AR81"/>
      <c r="AS81"/>
      <c r="AT81"/>
      <c r="AU81"/>
      <c r="AV81"/>
      <c r="AW81"/>
    </row>
    <row r="82" spans="1:49" x14ac:dyDescent="0.3">
      <c r="C82" s="223" t="s">
        <v>331</v>
      </c>
      <c r="N82"/>
      <c r="O82">
        <f t="shared" si="5"/>
        <v>15</v>
      </c>
      <c r="P82">
        <f t="shared" si="6"/>
        <v>64</v>
      </c>
      <c r="Q82"/>
      <c r="R82">
        <f t="shared" si="7"/>
        <v>20</v>
      </c>
      <c r="S82">
        <f t="shared" si="3"/>
        <v>84</v>
      </c>
      <c r="T82" s="238">
        <f t="shared" si="8"/>
        <v>30493.154214382983</v>
      </c>
      <c r="U82" s="238">
        <f t="shared" si="9"/>
        <v>3298.6969076571804</v>
      </c>
      <c r="V82" s="238">
        <f t="shared" si="10"/>
        <v>25459.572829747976</v>
      </c>
      <c r="W82" s="238">
        <f t="shared" si="11"/>
        <v>3338.022026204168</v>
      </c>
      <c r="X82" s="238">
        <f t="shared" si="4"/>
        <v>28797.594855952146</v>
      </c>
      <c r="Y82" s="224">
        <f t="shared" si="12"/>
        <v>15.4</v>
      </c>
      <c r="Z82" s="224">
        <f>E71</f>
        <v>0.8</v>
      </c>
      <c r="AA82" s="224">
        <f t="shared" si="13"/>
        <v>10</v>
      </c>
      <c r="AB82" s="224">
        <f t="shared" si="14"/>
        <v>0</v>
      </c>
      <c r="AC82" s="224">
        <f t="shared" si="15"/>
        <v>0</v>
      </c>
      <c r="AD82" s="235">
        <f t="shared" si="16"/>
        <v>1</v>
      </c>
      <c r="AE82" s="230">
        <f t="shared" si="17"/>
        <v>25459.572829747976</v>
      </c>
      <c r="AF82" s="230">
        <f>X82-AE82</f>
        <v>3338.0220262041694</v>
      </c>
      <c r="AG82" s="235">
        <f t="shared" si="18"/>
        <v>0.96</v>
      </c>
      <c r="AH82" s="230">
        <f t="shared" si="19"/>
        <v>29273.428045807661</v>
      </c>
      <c r="AI82" s="230">
        <f t="shared" si="20"/>
        <v>25459.572829747976</v>
      </c>
      <c r="AJ82" s="230">
        <v>0</v>
      </c>
      <c r="AK82" s="238">
        <f t="shared" si="21"/>
        <v>392077.42157811887</v>
      </c>
      <c r="AL82" s="234">
        <v>1</v>
      </c>
      <c r="AM82" s="230">
        <f t="shared" si="23"/>
        <v>33791.851122040163</v>
      </c>
      <c r="AN82" s="230">
        <f t="shared" si="24"/>
        <v>25459.572829747976</v>
      </c>
      <c r="AO82" s="230">
        <f>MIN(AF82,U82)</f>
        <v>3298.6969076571804</v>
      </c>
      <c r="AP82" s="238">
        <f t="shared" si="25"/>
        <v>394716.37910424464</v>
      </c>
      <c r="AQ82"/>
      <c r="AR82"/>
      <c r="AS82"/>
      <c r="AT82"/>
      <c r="AU82"/>
      <c r="AV82"/>
      <c r="AW82"/>
    </row>
    <row r="83" spans="1:49" x14ac:dyDescent="0.3">
      <c r="N83"/>
      <c r="O83">
        <f t="shared" si="5"/>
        <v>16</v>
      </c>
      <c r="P83">
        <f t="shared" si="6"/>
        <v>65</v>
      </c>
      <c r="Q83"/>
      <c r="R83">
        <f t="shared" si="7"/>
        <v>21</v>
      </c>
      <c r="S83">
        <f t="shared" si="3"/>
        <v>86</v>
      </c>
      <c r="T83" s="238">
        <f t="shared" si="8"/>
        <v>31103.017298670642</v>
      </c>
      <c r="U83" s="238">
        <f t="shared" si="9"/>
        <v>3364.670845810324</v>
      </c>
      <c r="V83" s="238">
        <f t="shared" si="10"/>
        <v>26146.981296151171</v>
      </c>
      <c r="W83" s="238">
        <f t="shared" si="11"/>
        <v>3428.1486209116802</v>
      </c>
      <c r="X83" s="238">
        <f t="shared" si="4"/>
        <v>29575.129917062852</v>
      </c>
      <c r="Y83" s="224">
        <f t="shared" si="12"/>
        <v>14.7</v>
      </c>
      <c r="Z83" s="224">
        <f>E72</f>
        <v>0</v>
      </c>
      <c r="AA83" s="224">
        <f t="shared" si="13"/>
        <v>9</v>
      </c>
      <c r="AB83" s="224">
        <f t="shared" si="14"/>
        <v>0</v>
      </c>
      <c r="AC83" s="224">
        <f t="shared" si="15"/>
        <v>0</v>
      </c>
      <c r="AD83" s="235">
        <f t="shared" si="16"/>
        <v>1</v>
      </c>
      <c r="AE83" s="230">
        <f t="shared" si="17"/>
        <v>26146.981296151171</v>
      </c>
      <c r="AF83" s="230">
        <f>X83-AE83</f>
        <v>3428.1486209116811</v>
      </c>
      <c r="AG83" s="234">
        <v>1</v>
      </c>
      <c r="AH83" s="230">
        <f t="shared" si="19"/>
        <v>31103.017298670642</v>
      </c>
      <c r="AI83" s="230">
        <f t="shared" si="20"/>
        <v>26146.981296151171</v>
      </c>
      <c r="AJ83" s="230">
        <v>0</v>
      </c>
      <c r="AK83" s="238">
        <f t="shared" si="21"/>
        <v>384360.62505342218</v>
      </c>
      <c r="AL83" s="234">
        <v>1</v>
      </c>
      <c r="AM83" s="230">
        <f t="shared" si="23"/>
        <v>34467.68814448097</v>
      </c>
      <c r="AN83" s="230">
        <f t="shared" si="24"/>
        <v>26146.981296151171</v>
      </c>
      <c r="AO83" s="230">
        <f>MIN(AF83,U83)</f>
        <v>3364.670845810324</v>
      </c>
      <c r="AP83" s="238">
        <f t="shared" si="25"/>
        <v>384360.62505342218</v>
      </c>
      <c r="AQ83"/>
      <c r="AR83"/>
      <c r="AS83"/>
      <c r="AT83"/>
      <c r="AU83"/>
      <c r="AV83"/>
      <c r="AW83"/>
    </row>
    <row r="84" spans="1:49" x14ac:dyDescent="0.3">
      <c r="C84" s="346" t="s">
        <v>325</v>
      </c>
      <c r="D84" s="347"/>
      <c r="E84" s="347"/>
      <c r="F84" s="347"/>
      <c r="G84" s="347"/>
      <c r="H84" s="347"/>
      <c r="I84" s="348"/>
      <c r="N84"/>
      <c r="O84"/>
      <c r="P84"/>
      <c r="Q84"/>
      <c r="R84"/>
      <c r="S84"/>
      <c r="T84"/>
      <c r="U84"/>
      <c r="V84"/>
      <c r="W84"/>
      <c r="X8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/>
      <c r="AM84"/>
      <c r="AN84"/>
      <c r="AO84"/>
      <c r="AP84"/>
      <c r="AQ84"/>
      <c r="AR84"/>
      <c r="AS84"/>
      <c r="AT84"/>
      <c r="AU84"/>
      <c r="AV84"/>
      <c r="AW84"/>
    </row>
    <row r="85" spans="1:49" x14ac:dyDescent="0.3">
      <c r="C85" s="349"/>
      <c r="D85" s="350"/>
      <c r="E85" s="350"/>
      <c r="F85" s="350"/>
      <c r="G85" s="350"/>
      <c r="H85" s="350"/>
      <c r="I85" s="351"/>
      <c r="N85"/>
      <c r="O85"/>
      <c r="P85"/>
      <c r="Q85"/>
      <c r="R85"/>
      <c r="S85"/>
      <c r="T85"/>
      <c r="U85"/>
      <c r="V85"/>
      <c r="W85"/>
      <c r="X85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31" t="s">
        <v>294</v>
      </c>
      <c r="AK85" s="230">
        <f>MAX(AK73:AK83)</f>
        <v>413668.4982062325</v>
      </c>
      <c r="AN85" s="231"/>
      <c r="AO85" s="231" t="s">
        <v>294</v>
      </c>
      <c r="AP85" s="230">
        <f>MAX(AP73:AP83)</f>
        <v>418813.264427174</v>
      </c>
      <c r="AQ85"/>
      <c r="AR85"/>
      <c r="AS85"/>
      <c r="AT85"/>
      <c r="AU85"/>
      <c r="AV85"/>
      <c r="AW85"/>
    </row>
    <row r="86" spans="1:49" x14ac:dyDescent="0.3">
      <c r="N86"/>
      <c r="O86"/>
      <c r="P86"/>
      <c r="Q86"/>
      <c r="R86"/>
      <c r="S86"/>
      <c r="T86"/>
      <c r="U86"/>
      <c r="V86"/>
      <c r="W86"/>
      <c r="X86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32"/>
      <c r="AJ86" s="231" t="s">
        <v>293</v>
      </c>
      <c r="AK86" s="230">
        <f>AK79</f>
        <v>413668.4982062325</v>
      </c>
      <c r="AN86" s="232"/>
      <c r="AO86" s="231" t="s">
        <v>293</v>
      </c>
      <c r="AP86" s="230">
        <f>_xlfn.XLOOKUP(1,AD73:AD83,AP73:AP83)</f>
        <v>418813.264427174</v>
      </c>
      <c r="AQ86"/>
      <c r="AR86"/>
      <c r="AS86"/>
      <c r="AT86"/>
      <c r="AU86"/>
      <c r="AV86"/>
      <c r="AW86"/>
    </row>
    <row r="87" spans="1:49" x14ac:dyDescent="0.3">
      <c r="A87" s="223" t="s">
        <v>330</v>
      </c>
      <c r="B87" s="223" t="s">
        <v>329</v>
      </c>
      <c r="C87" s="223" t="s">
        <v>328</v>
      </c>
      <c r="N87"/>
      <c r="O87"/>
      <c r="P87"/>
      <c r="Q87"/>
      <c r="R87"/>
      <c r="S87"/>
      <c r="T87"/>
      <c r="U87"/>
      <c r="V87"/>
      <c r="W87"/>
      <c r="X87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6" t="s">
        <v>292</v>
      </c>
      <c r="AK87" s="225">
        <f>0.5*SUM(AK85:AK86)</f>
        <v>413668.4982062325</v>
      </c>
      <c r="AN87" s="226"/>
      <c r="AO87" s="226" t="s">
        <v>292</v>
      </c>
      <c r="AP87" s="225">
        <f>0.5*SUM(AP85:AP86)</f>
        <v>418813.264427174</v>
      </c>
      <c r="AQ87"/>
      <c r="AR87"/>
      <c r="AS87"/>
      <c r="AT87"/>
      <c r="AU87"/>
      <c r="AV87"/>
      <c r="AW87"/>
    </row>
    <row r="88" spans="1:49" x14ac:dyDescent="0.3">
      <c r="C88" s="223" t="s">
        <v>327</v>
      </c>
      <c r="N88"/>
      <c r="O88"/>
      <c r="P88"/>
      <c r="Q88"/>
      <c r="R88"/>
      <c r="S88"/>
      <c r="T88"/>
      <c r="U88"/>
      <c r="V88"/>
      <c r="W88"/>
      <c r="X88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N88" s="224"/>
      <c r="AO88" s="224"/>
      <c r="AP88"/>
      <c r="AQ88"/>
      <c r="AR88"/>
      <c r="AS88"/>
      <c r="AT88"/>
      <c r="AU88"/>
      <c r="AV88"/>
      <c r="AW88"/>
    </row>
    <row r="89" spans="1:49" x14ac:dyDescent="0.3">
      <c r="C89" s="223" t="s">
        <v>326</v>
      </c>
      <c r="N89"/>
      <c r="O89"/>
      <c r="P89"/>
      <c r="Q89"/>
      <c r="R89"/>
      <c r="S89"/>
      <c r="T89"/>
      <c r="U89"/>
      <c r="V89"/>
      <c r="W89"/>
      <c r="X89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31" t="s">
        <v>291</v>
      </c>
      <c r="AK89" s="230">
        <f>0.5*AK87</f>
        <v>206834.24910311625</v>
      </c>
      <c r="AL89"/>
      <c r="AM89"/>
      <c r="AN89" s="231"/>
      <c r="AO89" s="231" t="s">
        <v>291</v>
      </c>
      <c r="AP89" s="230">
        <f>0.5*AP87</f>
        <v>209406.632213587</v>
      </c>
      <c r="AQ89"/>
      <c r="AR89"/>
      <c r="AS89"/>
      <c r="AT89"/>
      <c r="AU89"/>
      <c r="AV89"/>
      <c r="AW89"/>
    </row>
    <row r="90" spans="1:49" x14ac:dyDescent="0.3">
      <c r="N90"/>
      <c r="O90"/>
      <c r="P90"/>
      <c r="Q90"/>
      <c r="R90"/>
      <c r="S90"/>
      <c r="T90"/>
      <c r="U90"/>
      <c r="V90"/>
      <c r="W90"/>
      <c r="X90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6" t="s">
        <v>290</v>
      </c>
      <c r="AK90" s="227">
        <f>MAX($D$14-AK89,0)</f>
        <v>0</v>
      </c>
      <c r="AL90" s="224"/>
      <c r="AM90"/>
      <c r="AN90" s="226"/>
      <c r="AO90" s="226" t="s">
        <v>290</v>
      </c>
      <c r="AP90" s="227">
        <f>MAX($D$14-AP89,0)</f>
        <v>0</v>
      </c>
      <c r="AQ90"/>
      <c r="AR90"/>
      <c r="AS90"/>
      <c r="AT90"/>
      <c r="AU90"/>
      <c r="AV90"/>
      <c r="AW90"/>
    </row>
    <row r="91" spans="1:49" x14ac:dyDescent="0.3">
      <c r="C91" s="346" t="s">
        <v>325</v>
      </c>
      <c r="D91" s="347"/>
      <c r="E91" s="347"/>
      <c r="F91" s="347"/>
      <c r="G91" s="347"/>
      <c r="H91" s="347"/>
      <c r="I91" s="348"/>
      <c r="N91"/>
      <c r="O91"/>
      <c r="P91"/>
      <c r="Q91"/>
      <c r="R91"/>
      <c r="S91"/>
      <c r="T91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9" t="s">
        <v>289</v>
      </c>
      <c r="AK91" s="228">
        <f>AK87+AK90</f>
        <v>413668.4982062325</v>
      </c>
      <c r="AL91" s="224"/>
      <c r="AM91"/>
      <c r="AN91" s="226"/>
      <c r="AO91" s="229" t="s">
        <v>289</v>
      </c>
      <c r="AP91" s="228">
        <f>AP87+AP90</f>
        <v>418813.264427174</v>
      </c>
      <c r="AQ91"/>
      <c r="AR91"/>
      <c r="AS91"/>
      <c r="AT91"/>
      <c r="AU91"/>
      <c r="AV91"/>
      <c r="AW91"/>
    </row>
    <row r="92" spans="1:49" x14ac:dyDescent="0.3">
      <c r="C92" s="349"/>
      <c r="D92" s="350"/>
      <c r="E92" s="350"/>
      <c r="F92" s="350"/>
      <c r="G92" s="350"/>
      <c r="H92" s="350"/>
      <c r="I92" s="351"/>
      <c r="N92"/>
      <c r="O92"/>
      <c r="P92"/>
      <c r="Q92"/>
      <c r="R92"/>
      <c r="S92"/>
      <c r="T92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6"/>
      <c r="AI92" s="226"/>
      <c r="AJ92" s="226"/>
      <c r="AK92" s="225"/>
      <c r="AL92"/>
      <c r="AM92" s="226"/>
      <c r="AN92" s="226"/>
      <c r="AO92" s="226"/>
      <c r="AP92" s="225"/>
      <c r="AQ92"/>
      <c r="AR92"/>
      <c r="AS92"/>
      <c r="AT92"/>
      <c r="AU92"/>
      <c r="AV92"/>
      <c r="AW92"/>
    </row>
    <row r="93" spans="1:49" x14ac:dyDescent="0.3">
      <c r="N93"/>
      <c r="O93" s="251" t="s">
        <v>324</v>
      </c>
      <c r="P93" s="250"/>
      <c r="Q93" s="248"/>
      <c r="R93" s="248"/>
      <c r="S93" s="248"/>
      <c r="T93" s="248"/>
      <c r="U93" s="249"/>
      <c r="V93" s="249"/>
      <c r="W93" s="249"/>
      <c r="X93" s="249"/>
      <c r="Y93" s="249"/>
      <c r="Z93" s="249"/>
      <c r="AA93" s="249"/>
      <c r="AB93" s="249"/>
      <c r="AC93" s="249"/>
      <c r="AD93" s="249"/>
      <c r="AE93" s="249"/>
      <c r="AF93" s="249"/>
      <c r="AG93" s="249"/>
      <c r="AH93" s="249"/>
      <c r="AI93" s="249"/>
      <c r="AJ93" s="249"/>
      <c r="AK93" s="249"/>
      <c r="AL93" s="248"/>
      <c r="AM93" s="248"/>
      <c r="AN93" s="248"/>
      <c r="AO93" s="248"/>
      <c r="AP93" s="248"/>
      <c r="AQ93"/>
      <c r="AR93"/>
      <c r="AS93"/>
      <c r="AT93"/>
      <c r="AU93"/>
      <c r="AV93"/>
      <c r="AW93"/>
    </row>
    <row r="94" spans="1:49" x14ac:dyDescent="0.3"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</row>
    <row r="95" spans="1:49" x14ac:dyDescent="0.3">
      <c r="N95"/>
      <c r="O95"/>
      <c r="P95" s="247" t="s">
        <v>323</v>
      </c>
      <c r="Q95" s="247" t="s">
        <v>34</v>
      </c>
      <c r="R95" s="247" t="s">
        <v>146</v>
      </c>
      <c r="S95" s="247" t="s">
        <v>127</v>
      </c>
      <c r="T95" s="247" t="s">
        <v>322</v>
      </c>
      <c r="U95" s="247" t="s">
        <v>321</v>
      </c>
      <c r="V95" s="247" t="s">
        <v>320</v>
      </c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</row>
    <row r="96" spans="1:49" x14ac:dyDescent="0.3">
      <c r="N96"/>
      <c r="O96"/>
      <c r="P96">
        <f t="shared" ref="P96:P109" si="26">P97-1</f>
        <v>2009</v>
      </c>
      <c r="R96" s="224">
        <f t="shared" ref="R96:R110" si="27">F18</f>
        <v>1</v>
      </c>
      <c r="S96" s="245">
        <f t="shared" ref="S96:S110" si="28">G18</f>
        <v>75000</v>
      </c>
      <c r="T96" s="246">
        <f>AVERAGE(S96)</f>
        <v>75000</v>
      </c>
      <c r="U96" s="230">
        <f t="shared" ref="U96:V110" si="29">U46</f>
        <v>2444.44</v>
      </c>
      <c r="V96" s="245">
        <f t="shared" si="29"/>
        <v>46300</v>
      </c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</row>
    <row r="97" spans="14:49" x14ac:dyDescent="0.3">
      <c r="N97"/>
      <c r="O97"/>
      <c r="P97">
        <f t="shared" si="26"/>
        <v>2010</v>
      </c>
      <c r="R97" s="224">
        <f t="shared" si="27"/>
        <v>1</v>
      </c>
      <c r="S97" s="245">
        <f t="shared" si="28"/>
        <v>77500</v>
      </c>
      <c r="T97" s="246">
        <f>AVERAGE($S$96:S97)</f>
        <v>76250</v>
      </c>
      <c r="U97" s="230">
        <f t="shared" si="29"/>
        <v>2494.44</v>
      </c>
      <c r="V97" s="245">
        <f t="shared" si="29"/>
        <v>47200</v>
      </c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</row>
    <row r="98" spans="14:49" x14ac:dyDescent="0.3">
      <c r="N98"/>
      <c r="O98"/>
      <c r="P98">
        <f t="shared" si="26"/>
        <v>2011</v>
      </c>
      <c r="R98" s="224">
        <f t="shared" si="27"/>
        <v>1</v>
      </c>
      <c r="S98" s="245">
        <f t="shared" si="28"/>
        <v>80000</v>
      </c>
      <c r="T98" s="246">
        <f>AVERAGE($S$96:S98)</f>
        <v>77500</v>
      </c>
      <c r="U98" s="230">
        <f t="shared" si="29"/>
        <v>2552.2199999999998</v>
      </c>
      <c r="V98" s="245">
        <f t="shared" si="29"/>
        <v>48300</v>
      </c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</row>
    <row r="99" spans="14:49" x14ac:dyDescent="0.3">
      <c r="N99"/>
      <c r="O99"/>
      <c r="P99">
        <f t="shared" si="26"/>
        <v>2012</v>
      </c>
      <c r="R99" s="224">
        <f t="shared" si="27"/>
        <v>1</v>
      </c>
      <c r="S99" s="245">
        <f t="shared" si="28"/>
        <v>82400</v>
      </c>
      <c r="T99" s="246">
        <f>AVERAGE($S$96:S99)</f>
        <v>78725</v>
      </c>
      <c r="U99" s="230">
        <f t="shared" si="29"/>
        <v>2646.67</v>
      </c>
      <c r="V99" s="245">
        <f t="shared" si="29"/>
        <v>50100</v>
      </c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</row>
    <row r="100" spans="14:49" x14ac:dyDescent="0.3">
      <c r="N100"/>
      <c r="O100"/>
      <c r="P100">
        <f t="shared" si="26"/>
        <v>2013</v>
      </c>
      <c r="R100" s="224">
        <f t="shared" si="27"/>
        <v>1</v>
      </c>
      <c r="S100" s="245">
        <f t="shared" si="28"/>
        <v>83000</v>
      </c>
      <c r="T100" s="246">
        <f>AVERAGE($S$96:S100)</f>
        <v>79580</v>
      </c>
      <c r="U100" s="230">
        <f t="shared" si="29"/>
        <v>2696.67</v>
      </c>
      <c r="V100" s="245">
        <f t="shared" si="29"/>
        <v>51100</v>
      </c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</row>
    <row r="101" spans="14:49" x14ac:dyDescent="0.3">
      <c r="N101"/>
      <c r="O101"/>
      <c r="P101">
        <f t="shared" si="26"/>
        <v>2014</v>
      </c>
      <c r="R101" s="224">
        <f t="shared" si="27"/>
        <v>1</v>
      </c>
      <c r="S101" s="245">
        <f t="shared" si="28"/>
        <v>85200</v>
      </c>
      <c r="T101" s="245">
        <f t="shared" ref="T101:T110" si="30">AVERAGE(S97:S101)</f>
        <v>81620</v>
      </c>
      <c r="U101" s="230">
        <f t="shared" si="29"/>
        <v>2770</v>
      </c>
      <c r="V101" s="245">
        <f t="shared" si="29"/>
        <v>52500</v>
      </c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</row>
    <row r="102" spans="14:49" x14ac:dyDescent="0.3">
      <c r="N102"/>
      <c r="O102"/>
      <c r="P102">
        <f t="shared" si="26"/>
        <v>2015</v>
      </c>
      <c r="R102" s="224">
        <f t="shared" si="27"/>
        <v>1</v>
      </c>
      <c r="S102" s="245">
        <f t="shared" si="28"/>
        <v>85700</v>
      </c>
      <c r="T102" s="245">
        <f t="shared" si="30"/>
        <v>83260</v>
      </c>
      <c r="U102" s="230">
        <f t="shared" si="29"/>
        <v>2818.89</v>
      </c>
      <c r="V102" s="245">
        <f t="shared" si="29"/>
        <v>53600</v>
      </c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</row>
    <row r="103" spans="14:49" x14ac:dyDescent="0.3">
      <c r="N103"/>
      <c r="O103"/>
      <c r="P103">
        <f t="shared" si="26"/>
        <v>2016</v>
      </c>
      <c r="R103" s="224">
        <f t="shared" si="27"/>
        <v>1</v>
      </c>
      <c r="S103" s="245">
        <f t="shared" si="28"/>
        <v>85900</v>
      </c>
      <c r="T103" s="245">
        <f t="shared" si="30"/>
        <v>84440</v>
      </c>
      <c r="U103" s="230">
        <f t="shared" si="29"/>
        <v>2890</v>
      </c>
      <c r="V103" s="245">
        <f t="shared" si="29"/>
        <v>54900</v>
      </c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</row>
    <row r="104" spans="14:49" x14ac:dyDescent="0.3">
      <c r="N104"/>
      <c r="O104"/>
      <c r="P104">
        <f t="shared" si="26"/>
        <v>2017</v>
      </c>
      <c r="R104" s="224">
        <f t="shared" si="27"/>
        <v>1</v>
      </c>
      <c r="S104" s="245">
        <f t="shared" si="28"/>
        <v>86400</v>
      </c>
      <c r="T104" s="245">
        <f t="shared" si="30"/>
        <v>85240</v>
      </c>
      <c r="U104" s="230">
        <f t="shared" si="29"/>
        <v>2914.44</v>
      </c>
      <c r="V104" s="245">
        <f t="shared" si="29"/>
        <v>55300</v>
      </c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</row>
    <row r="105" spans="14:49" x14ac:dyDescent="0.3">
      <c r="N105"/>
      <c r="O105"/>
      <c r="P105">
        <f t="shared" si="26"/>
        <v>2018</v>
      </c>
      <c r="R105" s="224">
        <f t="shared" si="27"/>
        <v>1</v>
      </c>
      <c r="S105" s="245">
        <f t="shared" si="28"/>
        <v>84800</v>
      </c>
      <c r="T105" s="245">
        <f t="shared" si="30"/>
        <v>85600</v>
      </c>
      <c r="U105" s="230">
        <f t="shared" si="29"/>
        <v>2944.44</v>
      </c>
      <c r="V105" s="245">
        <f t="shared" si="29"/>
        <v>55900</v>
      </c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</row>
    <row r="106" spans="14:49" x14ac:dyDescent="0.3">
      <c r="N106"/>
      <c r="O106"/>
      <c r="P106">
        <f t="shared" si="26"/>
        <v>2019</v>
      </c>
      <c r="R106" s="224">
        <f t="shared" si="27"/>
        <v>1</v>
      </c>
      <c r="S106" s="245">
        <f t="shared" si="28"/>
        <v>84800</v>
      </c>
      <c r="T106" s="245">
        <f t="shared" si="30"/>
        <v>85520</v>
      </c>
      <c r="U106" s="230">
        <f t="shared" si="29"/>
        <v>3025.56</v>
      </c>
      <c r="V106" s="245">
        <f t="shared" si="29"/>
        <v>57400</v>
      </c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</row>
    <row r="107" spans="14:49" x14ac:dyDescent="0.3">
      <c r="N107"/>
      <c r="O107"/>
      <c r="P107">
        <f t="shared" si="26"/>
        <v>2020</v>
      </c>
      <c r="R107" s="224">
        <f t="shared" si="27"/>
        <v>1</v>
      </c>
      <c r="S107" s="245">
        <f t="shared" si="28"/>
        <v>85100</v>
      </c>
      <c r="T107" s="245">
        <f t="shared" si="30"/>
        <v>85400</v>
      </c>
      <c r="U107" s="230">
        <f t="shared" si="29"/>
        <v>3092.22</v>
      </c>
      <c r="V107" s="245">
        <f t="shared" si="29"/>
        <v>58700</v>
      </c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</row>
    <row r="108" spans="14:49" x14ac:dyDescent="0.3">
      <c r="N108"/>
      <c r="O108"/>
      <c r="P108">
        <f t="shared" si="26"/>
        <v>2021</v>
      </c>
      <c r="R108" s="224">
        <f t="shared" si="27"/>
        <v>1</v>
      </c>
      <c r="S108" s="245">
        <f t="shared" si="28"/>
        <v>85400</v>
      </c>
      <c r="T108" s="245">
        <f t="shared" si="30"/>
        <v>85300</v>
      </c>
      <c r="U108" s="230">
        <f t="shared" si="29"/>
        <v>3245.56</v>
      </c>
      <c r="V108" s="245">
        <f t="shared" si="29"/>
        <v>61600</v>
      </c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</row>
    <row r="109" spans="14:49" x14ac:dyDescent="0.3">
      <c r="N109"/>
      <c r="O109"/>
      <c r="P109">
        <f t="shared" si="26"/>
        <v>2022</v>
      </c>
      <c r="R109" s="224">
        <f t="shared" si="27"/>
        <v>1</v>
      </c>
      <c r="S109" s="245">
        <f t="shared" si="28"/>
        <v>86000</v>
      </c>
      <c r="T109" s="245">
        <f t="shared" si="30"/>
        <v>85220</v>
      </c>
      <c r="U109" s="230">
        <f t="shared" si="29"/>
        <v>3420</v>
      </c>
      <c r="V109" s="245">
        <f t="shared" si="29"/>
        <v>64900</v>
      </c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</row>
    <row r="110" spans="14:49" x14ac:dyDescent="0.3">
      <c r="N110"/>
      <c r="O110"/>
      <c r="P110">
        <v>2023</v>
      </c>
      <c r="Q110" s="224">
        <f>DATEDIF(E10,E11,"M")/12</f>
        <v>35</v>
      </c>
      <c r="R110" s="224">
        <f t="shared" si="27"/>
        <v>1</v>
      </c>
      <c r="S110" s="245">
        <f t="shared" si="28"/>
        <v>86500</v>
      </c>
      <c r="T110" s="245">
        <f t="shared" si="30"/>
        <v>85560</v>
      </c>
      <c r="U110" s="230">
        <f t="shared" si="29"/>
        <v>3506.67</v>
      </c>
      <c r="V110" s="245">
        <f t="shared" si="29"/>
        <v>66600</v>
      </c>
      <c r="W110" s="224"/>
      <c r="X110" s="224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</row>
    <row r="111" spans="14:49" x14ac:dyDescent="0.3"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</row>
    <row r="112" spans="14:49" x14ac:dyDescent="0.3">
      <c r="N112"/>
      <c r="O112"/>
      <c r="P112"/>
      <c r="Q112"/>
      <c r="R112" s="231" t="s">
        <v>319</v>
      </c>
      <c r="S112" s="245" t="str">
        <f>IF((Q110+E13)&gt;55,"Y","N")</f>
        <v>N</v>
      </c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</row>
    <row r="113" spans="14:49" x14ac:dyDescent="0.3">
      <c r="N113"/>
      <c r="O113"/>
      <c r="P113"/>
      <c r="Q113"/>
      <c r="R113" s="231" t="s">
        <v>318</v>
      </c>
      <c r="S113" s="244">
        <f>MAX(T96:T110)</f>
        <v>85600</v>
      </c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</row>
    <row r="114" spans="14:49" x14ac:dyDescent="0.3">
      <c r="N114"/>
      <c r="O114"/>
      <c r="P114"/>
      <c r="Q114"/>
      <c r="R114"/>
      <c r="S114"/>
      <c r="T114"/>
      <c r="U114"/>
      <c r="V114"/>
      <c r="W114"/>
      <c r="X114"/>
      <c r="Y114" s="224"/>
      <c r="Z114" s="224"/>
      <c r="AA114" s="352" t="s">
        <v>317</v>
      </c>
      <c r="AB114" s="352"/>
      <c r="AC114" s="352"/>
      <c r="AD114" s="352"/>
      <c r="AE114" s="352"/>
      <c r="AF114" s="243"/>
      <c r="AG114" s="353" t="s">
        <v>316</v>
      </c>
      <c r="AH114" s="353"/>
      <c r="AI114" s="353"/>
      <c r="AJ114" s="353"/>
      <c r="AK114" s="353"/>
      <c r="AL114" s="354" t="s">
        <v>315</v>
      </c>
      <c r="AM114" s="354"/>
      <c r="AN114" s="354"/>
      <c r="AO114" s="354"/>
      <c r="AP114" s="354"/>
      <c r="AQ114"/>
      <c r="AR114"/>
      <c r="AS114"/>
      <c r="AT114"/>
      <c r="AU114"/>
      <c r="AV114"/>
      <c r="AW114"/>
    </row>
    <row r="115" spans="14:49" ht="72" x14ac:dyDescent="0.3">
      <c r="N115"/>
      <c r="O115"/>
      <c r="P115" t="s">
        <v>34</v>
      </c>
      <c r="Q115" s="242" t="s">
        <v>156</v>
      </c>
      <c r="R115" s="242" t="s">
        <v>314</v>
      </c>
      <c r="S115" s="242" t="s">
        <v>313</v>
      </c>
      <c r="T115" s="242" t="s">
        <v>312</v>
      </c>
      <c r="U115" s="242" t="s">
        <v>311</v>
      </c>
      <c r="V115" s="242" t="s">
        <v>310</v>
      </c>
      <c r="W115" s="242" t="s">
        <v>309</v>
      </c>
      <c r="X115" s="242" t="s">
        <v>308</v>
      </c>
      <c r="Y115" s="242" t="s">
        <v>307</v>
      </c>
      <c r="Z115" s="242" t="s">
        <v>306</v>
      </c>
      <c r="AA115" s="242" t="s">
        <v>305</v>
      </c>
      <c r="AB115" s="242" t="s">
        <v>304</v>
      </c>
      <c r="AC115" s="242" t="s">
        <v>303</v>
      </c>
      <c r="AD115" s="242" t="s">
        <v>302</v>
      </c>
      <c r="AE115" s="242" t="s">
        <v>301</v>
      </c>
      <c r="AF115" s="242" t="s">
        <v>300</v>
      </c>
      <c r="AG115" s="242" t="s">
        <v>298</v>
      </c>
      <c r="AH115" s="242" t="s">
        <v>297</v>
      </c>
      <c r="AI115" s="242" t="s">
        <v>296</v>
      </c>
      <c r="AJ115" s="242" t="s">
        <v>299</v>
      </c>
      <c r="AK115" s="242" t="s">
        <v>162</v>
      </c>
      <c r="AL115" s="242" t="s">
        <v>298</v>
      </c>
      <c r="AM115" s="242" t="s">
        <v>297</v>
      </c>
      <c r="AN115" s="242" t="s">
        <v>296</v>
      </c>
      <c r="AO115" s="242" t="s">
        <v>295</v>
      </c>
      <c r="AP115" s="242" t="s">
        <v>162</v>
      </c>
      <c r="AQ115"/>
      <c r="AR115"/>
      <c r="AS115"/>
      <c r="AT115"/>
      <c r="AU115"/>
      <c r="AV115"/>
      <c r="AW115"/>
    </row>
    <row r="116" spans="14:49" x14ac:dyDescent="0.3">
      <c r="N116"/>
      <c r="O116">
        <v>1</v>
      </c>
      <c r="P116" s="241">
        <f>Q110</f>
        <v>35</v>
      </c>
      <c r="Q116" s="241">
        <f>E12</f>
        <v>15</v>
      </c>
      <c r="R116" s="241">
        <f>E13</f>
        <v>15</v>
      </c>
      <c r="S116" s="239">
        <f t="shared" ref="S116:S146" si="31">P116+R116</f>
        <v>50</v>
      </c>
      <c r="T116" s="240">
        <f>2%*$S$113*Q116</f>
        <v>25680</v>
      </c>
      <c r="U116" s="240">
        <f>500*R116</f>
        <v>7500</v>
      </c>
      <c r="V116" s="240">
        <f>$U$110*Q116</f>
        <v>52600.05</v>
      </c>
      <c r="W116" s="240">
        <f>25%*AVERAGE($V$108:$V$110)*Q116/35</f>
        <v>6896.4285714285716</v>
      </c>
      <c r="X116" s="238">
        <f t="shared" ref="X116:X146" si="32">SUM(V116:W116)</f>
        <v>59496.478571428575</v>
      </c>
      <c r="Y116" s="230"/>
      <c r="Z116" s="230"/>
      <c r="AA116" s="230"/>
      <c r="AB116" s="230"/>
      <c r="AC116" s="230"/>
      <c r="AD116" s="230"/>
      <c r="AE116" s="230"/>
      <c r="AF116" s="230"/>
      <c r="AG116" s="224"/>
      <c r="AH116" s="224"/>
      <c r="AI116" s="224"/>
      <c r="AJ116" s="224"/>
      <c r="AK116" s="224"/>
      <c r="AL116" s="224"/>
      <c r="AM116"/>
      <c r="AN116"/>
      <c r="AO116"/>
      <c r="AP116"/>
      <c r="AQ116"/>
      <c r="AR116"/>
      <c r="AS116"/>
      <c r="AT116"/>
      <c r="AU116"/>
      <c r="AV116"/>
      <c r="AW116"/>
    </row>
    <row r="117" spans="14:49" x14ac:dyDescent="0.3">
      <c r="N117"/>
      <c r="O117">
        <f t="shared" ref="O117:O146" si="33">O116+1</f>
        <v>2</v>
      </c>
      <c r="P117">
        <f t="shared" ref="P117:P146" si="34">P116+1</f>
        <v>36</v>
      </c>
      <c r="Q117"/>
      <c r="R117">
        <f t="shared" ref="R117:R146" si="35">R116+1</f>
        <v>16</v>
      </c>
      <c r="S117" s="239">
        <f t="shared" si="31"/>
        <v>52</v>
      </c>
      <c r="T117" s="238">
        <f t="shared" ref="T117:T146" si="36">T116*(1+2%)</f>
        <v>26193.600000000002</v>
      </c>
      <c r="U117" s="238">
        <f t="shared" ref="U117:U146" si="37">U116*(1+2%)</f>
        <v>7650</v>
      </c>
      <c r="V117" s="238">
        <f t="shared" ref="V117:V146" si="38">V116*(1+$S$64)</f>
        <v>54020.251349999999</v>
      </c>
      <c r="W117" s="238">
        <f t="shared" ref="W117:W146" si="39">W116*(1+$S$64)</f>
        <v>7082.6321428571428</v>
      </c>
      <c r="X117" s="238">
        <f t="shared" si="32"/>
        <v>61102.883492857145</v>
      </c>
      <c r="Y117" s="230"/>
      <c r="Z117" s="230"/>
      <c r="AA117" s="230"/>
      <c r="AB117" s="230"/>
      <c r="AC117" s="230"/>
      <c r="AD117" s="230"/>
      <c r="AE117" s="230"/>
      <c r="AF117" s="230"/>
      <c r="AG117" s="224"/>
      <c r="AH117" s="224"/>
      <c r="AI117" s="224"/>
      <c r="AJ117" s="224"/>
      <c r="AK117" s="224"/>
      <c r="AL117" s="224"/>
      <c r="AM117"/>
      <c r="AN117"/>
      <c r="AO117"/>
      <c r="AP117"/>
      <c r="AQ117"/>
      <c r="AR117"/>
      <c r="AS117"/>
      <c r="AT117"/>
      <c r="AU117"/>
      <c r="AV117"/>
      <c r="AW117"/>
    </row>
    <row r="118" spans="14:49" x14ac:dyDescent="0.3">
      <c r="N118"/>
      <c r="O118">
        <f t="shared" si="33"/>
        <v>3</v>
      </c>
      <c r="P118">
        <f t="shared" si="34"/>
        <v>37</v>
      </c>
      <c r="Q118"/>
      <c r="R118">
        <f t="shared" si="35"/>
        <v>17</v>
      </c>
      <c r="S118" s="239">
        <f t="shared" si="31"/>
        <v>54</v>
      </c>
      <c r="T118" s="238">
        <f t="shared" si="36"/>
        <v>26717.472000000002</v>
      </c>
      <c r="U118" s="238">
        <f t="shared" si="37"/>
        <v>7803</v>
      </c>
      <c r="V118" s="238">
        <f t="shared" si="38"/>
        <v>55478.798136449994</v>
      </c>
      <c r="W118" s="238">
        <f t="shared" si="39"/>
        <v>7273.8632107142848</v>
      </c>
      <c r="X118" s="238">
        <f t="shared" si="32"/>
        <v>62752.661347164278</v>
      </c>
      <c r="Y118" s="230"/>
      <c r="Z118" s="230"/>
      <c r="AA118" s="230"/>
      <c r="AB118" s="230"/>
      <c r="AC118" s="230"/>
      <c r="AD118" s="230"/>
      <c r="AE118" s="230"/>
      <c r="AF118" s="230"/>
      <c r="AG118" s="224"/>
      <c r="AH118" s="224"/>
      <c r="AI118" s="224"/>
      <c r="AJ118" s="224"/>
      <c r="AK118" s="224"/>
      <c r="AL118" s="224"/>
      <c r="AM118"/>
      <c r="AN118"/>
      <c r="AO118"/>
      <c r="AP118"/>
      <c r="AQ118"/>
      <c r="AR118"/>
      <c r="AS118"/>
      <c r="AT118"/>
      <c r="AU118"/>
      <c r="AV118"/>
      <c r="AW118"/>
    </row>
    <row r="119" spans="14:49" x14ac:dyDescent="0.3">
      <c r="N119"/>
      <c r="O119">
        <f t="shared" si="33"/>
        <v>4</v>
      </c>
      <c r="P119">
        <f t="shared" si="34"/>
        <v>38</v>
      </c>
      <c r="Q119"/>
      <c r="R119">
        <f t="shared" si="35"/>
        <v>18</v>
      </c>
      <c r="S119" s="239">
        <f t="shared" si="31"/>
        <v>56</v>
      </c>
      <c r="T119" s="238">
        <f t="shared" si="36"/>
        <v>27251.821440000003</v>
      </c>
      <c r="U119" s="238">
        <f t="shared" si="37"/>
        <v>7959.06</v>
      </c>
      <c r="V119" s="238">
        <f t="shared" si="38"/>
        <v>56976.725686134138</v>
      </c>
      <c r="W119" s="238">
        <f t="shared" si="39"/>
        <v>7470.2575174035701</v>
      </c>
      <c r="X119" s="238">
        <f t="shared" si="32"/>
        <v>64446.983203537704</v>
      </c>
      <c r="Y119" s="230"/>
      <c r="Z119" s="230"/>
      <c r="AA119" s="230"/>
      <c r="AB119" s="230"/>
      <c r="AC119" s="230"/>
      <c r="AD119" s="230"/>
      <c r="AE119" s="230"/>
      <c r="AF119" s="230"/>
      <c r="AG119" s="224"/>
      <c r="AH119" s="224"/>
      <c r="AI119" s="224"/>
      <c r="AJ119" s="224"/>
      <c r="AK119" s="224"/>
      <c r="AL119" s="224"/>
      <c r="AM119"/>
      <c r="AN119"/>
      <c r="AO119"/>
      <c r="AP119"/>
      <c r="AQ119"/>
      <c r="AR119"/>
      <c r="AS119"/>
      <c r="AT119"/>
      <c r="AU119"/>
      <c r="AV119"/>
      <c r="AW119"/>
    </row>
    <row r="120" spans="14:49" x14ac:dyDescent="0.3">
      <c r="N120"/>
      <c r="O120">
        <f t="shared" si="33"/>
        <v>5</v>
      </c>
      <c r="P120">
        <f t="shared" si="34"/>
        <v>39</v>
      </c>
      <c r="Q120"/>
      <c r="R120">
        <f t="shared" si="35"/>
        <v>19</v>
      </c>
      <c r="S120" s="239">
        <f t="shared" si="31"/>
        <v>58</v>
      </c>
      <c r="T120" s="238">
        <f t="shared" si="36"/>
        <v>27796.857868800005</v>
      </c>
      <c r="U120" s="238">
        <f t="shared" si="37"/>
        <v>8118.2412000000004</v>
      </c>
      <c r="V120" s="238">
        <f t="shared" si="38"/>
        <v>58515.097279659756</v>
      </c>
      <c r="W120" s="238">
        <f t="shared" si="39"/>
        <v>7671.9544703734655</v>
      </c>
      <c r="X120" s="238">
        <f t="shared" si="32"/>
        <v>66187.051750033221</v>
      </c>
      <c r="Y120" s="230"/>
      <c r="Z120" s="230"/>
      <c r="AA120" s="230"/>
      <c r="AB120" s="230"/>
      <c r="AC120" s="230"/>
      <c r="AD120" s="230"/>
      <c r="AE120" s="230"/>
      <c r="AF120" s="230"/>
      <c r="AG120" s="224"/>
      <c r="AH120" s="224"/>
      <c r="AI120" s="224"/>
      <c r="AJ120" s="224"/>
      <c r="AK120" s="224"/>
      <c r="AL120" s="224"/>
      <c r="AM120"/>
      <c r="AN120"/>
      <c r="AO120"/>
      <c r="AP120"/>
      <c r="AQ120"/>
      <c r="AR120"/>
      <c r="AS120"/>
      <c r="AT120"/>
      <c r="AU120"/>
      <c r="AV120"/>
      <c r="AW120"/>
    </row>
    <row r="121" spans="14:49" x14ac:dyDescent="0.3">
      <c r="N121"/>
      <c r="O121">
        <f t="shared" si="33"/>
        <v>6</v>
      </c>
      <c r="P121">
        <f t="shared" si="34"/>
        <v>40</v>
      </c>
      <c r="Q121"/>
      <c r="R121">
        <f t="shared" si="35"/>
        <v>20</v>
      </c>
      <c r="S121" s="239">
        <f t="shared" si="31"/>
        <v>60</v>
      </c>
      <c r="T121" s="238">
        <f t="shared" si="36"/>
        <v>28352.795026176005</v>
      </c>
      <c r="U121" s="238">
        <f t="shared" si="37"/>
        <v>8280.6060240000006</v>
      </c>
      <c r="V121" s="238">
        <f t="shared" si="38"/>
        <v>60095.004906210561</v>
      </c>
      <c r="W121" s="238">
        <f t="shared" si="39"/>
        <v>7879.0972410735485</v>
      </c>
      <c r="X121" s="238">
        <f t="shared" si="32"/>
        <v>67974.102147284109</v>
      </c>
      <c r="Y121" s="230"/>
      <c r="Z121" s="230"/>
      <c r="AA121" s="230"/>
      <c r="AB121" s="230"/>
      <c r="AC121" s="230"/>
      <c r="AD121" s="230"/>
      <c r="AE121" s="230"/>
      <c r="AF121" s="230"/>
      <c r="AG121" s="224"/>
      <c r="AH121" s="224"/>
      <c r="AI121" s="224"/>
      <c r="AJ121" s="224"/>
      <c r="AK121" s="224"/>
      <c r="AL121" s="224"/>
      <c r="AM121"/>
      <c r="AN121"/>
      <c r="AO121"/>
      <c r="AP121"/>
      <c r="AQ121"/>
      <c r="AR121"/>
      <c r="AS121"/>
      <c r="AT121"/>
      <c r="AU121"/>
      <c r="AV121"/>
      <c r="AW121"/>
    </row>
    <row r="122" spans="14:49" x14ac:dyDescent="0.3">
      <c r="N122"/>
      <c r="O122">
        <f t="shared" si="33"/>
        <v>7</v>
      </c>
      <c r="P122">
        <f t="shared" si="34"/>
        <v>41</v>
      </c>
      <c r="Q122"/>
      <c r="R122">
        <f t="shared" si="35"/>
        <v>21</v>
      </c>
      <c r="S122" s="239">
        <f t="shared" si="31"/>
        <v>62</v>
      </c>
      <c r="T122" s="238">
        <f t="shared" si="36"/>
        <v>28919.850926699524</v>
      </c>
      <c r="U122" s="238">
        <f t="shared" si="37"/>
        <v>8446.2181444800008</v>
      </c>
      <c r="V122" s="238">
        <f t="shared" si="38"/>
        <v>61717.570038678241</v>
      </c>
      <c r="W122" s="238">
        <f t="shared" si="39"/>
        <v>8091.8328665825338</v>
      </c>
      <c r="X122" s="238">
        <f t="shared" si="32"/>
        <v>69809.40290526078</v>
      </c>
      <c r="Y122" s="230"/>
      <c r="Z122" s="230"/>
      <c r="AA122" s="230"/>
      <c r="AB122" s="230"/>
      <c r="AC122" s="230"/>
      <c r="AD122" s="230"/>
      <c r="AE122" s="230"/>
      <c r="AF122" s="230"/>
      <c r="AG122" s="224"/>
      <c r="AH122" s="224"/>
      <c r="AI122" s="224"/>
      <c r="AJ122" s="224"/>
      <c r="AK122" s="224"/>
      <c r="AL122" s="224"/>
      <c r="AM122"/>
      <c r="AN122"/>
      <c r="AO122"/>
      <c r="AP122"/>
      <c r="AQ122"/>
      <c r="AR122"/>
      <c r="AS122"/>
      <c r="AT122"/>
      <c r="AU122"/>
      <c r="AV122"/>
      <c r="AW122"/>
    </row>
    <row r="123" spans="14:49" x14ac:dyDescent="0.3">
      <c r="N123"/>
      <c r="O123">
        <f t="shared" si="33"/>
        <v>8</v>
      </c>
      <c r="P123">
        <f t="shared" si="34"/>
        <v>42</v>
      </c>
      <c r="Q123"/>
      <c r="R123">
        <f t="shared" si="35"/>
        <v>22</v>
      </c>
      <c r="S123" s="239">
        <f t="shared" si="31"/>
        <v>64</v>
      </c>
      <c r="T123" s="238">
        <f t="shared" si="36"/>
        <v>29498.247945233514</v>
      </c>
      <c r="U123" s="238">
        <f t="shared" si="37"/>
        <v>8615.1425073696009</v>
      </c>
      <c r="V123" s="238">
        <f t="shared" si="38"/>
        <v>63383.944429722549</v>
      </c>
      <c r="W123" s="238">
        <f t="shared" si="39"/>
        <v>8310.3123539802618</v>
      </c>
      <c r="X123" s="238">
        <f t="shared" si="32"/>
        <v>71694.256783702818</v>
      </c>
      <c r="Y123" s="230"/>
      <c r="Z123" s="230"/>
      <c r="AA123" s="230"/>
      <c r="AB123" s="230"/>
      <c r="AC123" s="230"/>
      <c r="AD123" s="230"/>
      <c r="AE123" s="230"/>
      <c r="AF123" s="230"/>
      <c r="AG123" s="224"/>
      <c r="AH123" s="224"/>
      <c r="AI123" s="224"/>
      <c r="AJ123" s="224"/>
      <c r="AK123" s="224"/>
      <c r="AL123" s="224"/>
      <c r="AM123"/>
      <c r="AN123"/>
      <c r="AO123"/>
      <c r="AP123"/>
      <c r="AQ123"/>
      <c r="AR123"/>
      <c r="AS123"/>
      <c r="AT123"/>
      <c r="AU123"/>
      <c r="AV123"/>
      <c r="AW123"/>
    </row>
    <row r="124" spans="14:49" x14ac:dyDescent="0.3">
      <c r="N124"/>
      <c r="O124">
        <f t="shared" si="33"/>
        <v>9</v>
      </c>
      <c r="P124">
        <f t="shared" si="34"/>
        <v>43</v>
      </c>
      <c r="Q124"/>
      <c r="R124">
        <f t="shared" si="35"/>
        <v>23</v>
      </c>
      <c r="S124" s="239">
        <f t="shared" si="31"/>
        <v>66</v>
      </c>
      <c r="T124" s="238">
        <f t="shared" si="36"/>
        <v>30088.212904138185</v>
      </c>
      <c r="U124" s="238">
        <f t="shared" si="37"/>
        <v>8787.4453575169937</v>
      </c>
      <c r="V124" s="238">
        <f t="shared" si="38"/>
        <v>65095.310929325053</v>
      </c>
      <c r="W124" s="238">
        <f t="shared" si="39"/>
        <v>8534.6907875377274</v>
      </c>
      <c r="X124" s="238">
        <f t="shared" si="32"/>
        <v>73630.001716862782</v>
      </c>
      <c r="Y124" s="230"/>
      <c r="Z124" s="230"/>
      <c r="AA124" s="230"/>
      <c r="AB124" s="230"/>
      <c r="AC124" s="230"/>
      <c r="AD124" s="230"/>
      <c r="AE124" s="230"/>
      <c r="AF124" s="230"/>
      <c r="AG124" s="224"/>
      <c r="AH124" s="224"/>
      <c r="AI124" s="224"/>
      <c r="AJ124" s="224"/>
      <c r="AK124" s="224"/>
      <c r="AL124" s="224"/>
      <c r="AM124"/>
      <c r="AN124"/>
      <c r="AO124"/>
      <c r="AP124"/>
      <c r="AQ124"/>
      <c r="AR124"/>
      <c r="AS124"/>
      <c r="AT124"/>
      <c r="AU124"/>
      <c r="AV124"/>
      <c r="AW124"/>
    </row>
    <row r="125" spans="14:49" x14ac:dyDescent="0.3">
      <c r="N125"/>
      <c r="O125">
        <f t="shared" si="33"/>
        <v>10</v>
      </c>
      <c r="P125">
        <f t="shared" si="34"/>
        <v>44</v>
      </c>
      <c r="Q125"/>
      <c r="R125">
        <f t="shared" si="35"/>
        <v>24</v>
      </c>
      <c r="S125" s="239">
        <f t="shared" si="31"/>
        <v>68</v>
      </c>
      <c r="T125" s="238">
        <f t="shared" si="36"/>
        <v>30689.977162220948</v>
      </c>
      <c r="U125" s="238">
        <f t="shared" si="37"/>
        <v>8963.1942646673342</v>
      </c>
      <c r="V125" s="238">
        <f t="shared" si="38"/>
        <v>66852.884324416824</v>
      </c>
      <c r="W125" s="238">
        <f t="shared" si="39"/>
        <v>8765.1274388012462</v>
      </c>
      <c r="X125" s="238">
        <f t="shared" si="32"/>
        <v>75618.011763218063</v>
      </c>
      <c r="Y125" s="230"/>
      <c r="Z125" s="230"/>
      <c r="AA125" s="230"/>
      <c r="AB125" s="230"/>
      <c r="AC125" s="230"/>
      <c r="AD125" s="230"/>
      <c r="AE125" s="230"/>
      <c r="AF125" s="230"/>
      <c r="AG125" s="224"/>
      <c r="AH125" s="224"/>
      <c r="AI125" s="224"/>
      <c r="AJ125" s="224"/>
      <c r="AK125" s="224"/>
      <c r="AL125" s="224"/>
      <c r="AM125"/>
      <c r="AN125"/>
      <c r="AO125"/>
      <c r="AP125"/>
      <c r="AQ125"/>
      <c r="AR125"/>
      <c r="AS125"/>
      <c r="AT125"/>
      <c r="AU125"/>
      <c r="AV125"/>
      <c r="AW125"/>
    </row>
    <row r="126" spans="14:49" x14ac:dyDescent="0.3">
      <c r="N126"/>
      <c r="O126">
        <f t="shared" si="33"/>
        <v>11</v>
      </c>
      <c r="P126">
        <f t="shared" si="34"/>
        <v>45</v>
      </c>
      <c r="Q126"/>
      <c r="R126">
        <f t="shared" si="35"/>
        <v>25</v>
      </c>
      <c r="S126" s="239">
        <f t="shared" si="31"/>
        <v>70</v>
      </c>
      <c r="T126" s="238">
        <f t="shared" si="36"/>
        <v>31303.776705465367</v>
      </c>
      <c r="U126" s="238">
        <f t="shared" si="37"/>
        <v>9142.4581499606811</v>
      </c>
      <c r="V126" s="238">
        <f t="shared" si="38"/>
        <v>68657.912201176077</v>
      </c>
      <c r="W126" s="238">
        <f t="shared" si="39"/>
        <v>9001.7858796488799</v>
      </c>
      <c r="X126" s="238">
        <f t="shared" si="32"/>
        <v>77659.69808082495</v>
      </c>
      <c r="Y126" s="230"/>
      <c r="Z126" s="230"/>
      <c r="AA126" s="230"/>
      <c r="AB126" s="230"/>
      <c r="AC126" s="230"/>
      <c r="AD126" s="230"/>
      <c r="AE126" s="230"/>
      <c r="AF126" s="230"/>
      <c r="AG126" s="224"/>
      <c r="AH126" s="224"/>
      <c r="AI126" s="224"/>
      <c r="AJ126" s="224"/>
      <c r="AK126" s="224"/>
      <c r="AL126" s="224"/>
      <c r="AM126"/>
      <c r="AN126"/>
      <c r="AO126"/>
      <c r="AP126"/>
      <c r="AQ126"/>
      <c r="AR126"/>
      <c r="AS126"/>
      <c r="AT126"/>
      <c r="AU126"/>
      <c r="AV126"/>
      <c r="AW126"/>
    </row>
    <row r="127" spans="14:49" x14ac:dyDescent="0.3">
      <c r="N127"/>
      <c r="O127">
        <f t="shared" si="33"/>
        <v>12</v>
      </c>
      <c r="P127">
        <f t="shared" si="34"/>
        <v>46</v>
      </c>
      <c r="Q127"/>
      <c r="R127">
        <f t="shared" si="35"/>
        <v>26</v>
      </c>
      <c r="S127" s="239">
        <f t="shared" si="31"/>
        <v>72</v>
      </c>
      <c r="T127" s="238">
        <f t="shared" si="36"/>
        <v>31929.852239574673</v>
      </c>
      <c r="U127" s="238">
        <f t="shared" si="37"/>
        <v>9325.3073129598943</v>
      </c>
      <c r="V127" s="238">
        <f t="shared" si="38"/>
        <v>70511.675830607826</v>
      </c>
      <c r="W127" s="238">
        <f t="shared" si="39"/>
        <v>9244.8340983993985</v>
      </c>
      <c r="X127" s="238">
        <f t="shared" si="32"/>
        <v>79756.509929007225</v>
      </c>
      <c r="Y127" s="230"/>
      <c r="Z127" s="230"/>
      <c r="AA127" s="230"/>
      <c r="AB127" s="230"/>
      <c r="AC127" s="230"/>
      <c r="AD127" s="230"/>
      <c r="AE127" s="230"/>
      <c r="AF127" s="230"/>
      <c r="AG127" s="224"/>
      <c r="AH127" s="224"/>
      <c r="AI127" s="224"/>
      <c r="AJ127" s="224"/>
      <c r="AK127" s="224"/>
      <c r="AL127" s="224"/>
      <c r="AM127"/>
      <c r="AN127"/>
      <c r="AO127"/>
      <c r="AP127"/>
      <c r="AQ127"/>
      <c r="AR127"/>
      <c r="AS127"/>
      <c r="AT127"/>
      <c r="AU127"/>
      <c r="AV127"/>
      <c r="AW127"/>
    </row>
    <row r="128" spans="14:49" x14ac:dyDescent="0.3">
      <c r="N128"/>
      <c r="O128">
        <f t="shared" si="33"/>
        <v>13</v>
      </c>
      <c r="P128">
        <f t="shared" si="34"/>
        <v>47</v>
      </c>
      <c r="Q128"/>
      <c r="R128">
        <f t="shared" si="35"/>
        <v>27</v>
      </c>
      <c r="S128" s="239">
        <f t="shared" si="31"/>
        <v>74</v>
      </c>
      <c r="T128" s="238">
        <f t="shared" si="36"/>
        <v>32568.449284366168</v>
      </c>
      <c r="U128" s="238">
        <f t="shared" si="37"/>
        <v>9511.8134592190927</v>
      </c>
      <c r="V128" s="238">
        <f t="shared" si="38"/>
        <v>72415.491078034232</v>
      </c>
      <c r="W128" s="238">
        <f t="shared" si="39"/>
        <v>9494.4446190561812</v>
      </c>
      <c r="X128" s="238">
        <f t="shared" si="32"/>
        <v>81909.935697090419</v>
      </c>
      <c r="Y128" s="230"/>
      <c r="Z128" s="230"/>
      <c r="AA128" s="230"/>
      <c r="AB128" s="230"/>
      <c r="AC128" s="230"/>
      <c r="AD128" s="230"/>
      <c r="AE128" s="230"/>
      <c r="AF128" s="230"/>
      <c r="AG128" s="224"/>
      <c r="AH128" s="224"/>
      <c r="AI128" s="224"/>
      <c r="AJ128" s="224"/>
      <c r="AK128" s="224"/>
      <c r="AL128" s="224"/>
      <c r="AM128"/>
      <c r="AN128"/>
      <c r="AO128"/>
      <c r="AP128"/>
      <c r="AQ128"/>
      <c r="AR128"/>
      <c r="AS128"/>
      <c r="AT128"/>
      <c r="AU128"/>
      <c r="AV128"/>
      <c r="AW128"/>
    </row>
    <row r="129" spans="14:49" x14ac:dyDescent="0.3">
      <c r="N129"/>
      <c r="O129">
        <f t="shared" si="33"/>
        <v>14</v>
      </c>
      <c r="P129">
        <f t="shared" si="34"/>
        <v>48</v>
      </c>
      <c r="Q129"/>
      <c r="R129">
        <f t="shared" si="35"/>
        <v>28</v>
      </c>
      <c r="S129" s="239">
        <f t="shared" si="31"/>
        <v>76</v>
      </c>
      <c r="T129" s="238">
        <f t="shared" si="36"/>
        <v>33219.818270053489</v>
      </c>
      <c r="U129" s="238">
        <f t="shared" si="37"/>
        <v>9702.0497284034755</v>
      </c>
      <c r="V129" s="238">
        <f t="shared" si="38"/>
        <v>74370.709337141147</v>
      </c>
      <c r="W129" s="238">
        <f t="shared" si="39"/>
        <v>9750.7946237706965</v>
      </c>
      <c r="X129" s="238">
        <f t="shared" si="32"/>
        <v>84121.503960911839</v>
      </c>
      <c r="Y129" s="230"/>
      <c r="Z129" s="230"/>
      <c r="AA129" s="230"/>
      <c r="AB129" s="230"/>
      <c r="AC129" s="230"/>
      <c r="AD129" s="230"/>
      <c r="AE129" s="230"/>
      <c r="AF129" s="230"/>
      <c r="AG129" s="224"/>
      <c r="AH129" s="224"/>
      <c r="AI129" s="224"/>
      <c r="AJ129" s="224"/>
      <c r="AK129" s="224"/>
      <c r="AL129" s="224"/>
      <c r="AM129"/>
      <c r="AN129"/>
      <c r="AO129"/>
      <c r="AP129"/>
      <c r="AQ129"/>
      <c r="AR129"/>
      <c r="AS129"/>
      <c r="AT129"/>
      <c r="AU129"/>
      <c r="AV129"/>
      <c r="AW129"/>
    </row>
    <row r="130" spans="14:49" x14ac:dyDescent="0.3">
      <c r="N130"/>
      <c r="O130">
        <f t="shared" si="33"/>
        <v>15</v>
      </c>
      <c r="P130">
        <f t="shared" si="34"/>
        <v>49</v>
      </c>
      <c r="Q130"/>
      <c r="R130">
        <f t="shared" si="35"/>
        <v>29</v>
      </c>
      <c r="S130" s="239">
        <f t="shared" si="31"/>
        <v>78</v>
      </c>
      <c r="T130" s="238">
        <f t="shared" si="36"/>
        <v>33884.214635454562</v>
      </c>
      <c r="U130" s="238">
        <f t="shared" si="37"/>
        <v>9896.0907229715449</v>
      </c>
      <c r="V130" s="238">
        <f t="shared" si="38"/>
        <v>76378.718489243955</v>
      </c>
      <c r="W130" s="238">
        <f t="shared" si="39"/>
        <v>10014.066078612504</v>
      </c>
      <c r="X130" s="238">
        <f t="shared" si="32"/>
        <v>86392.784567856463</v>
      </c>
      <c r="Y130" s="230"/>
      <c r="Z130" s="230"/>
      <c r="AA130" s="230"/>
      <c r="AB130" s="230"/>
      <c r="AC130" s="230"/>
      <c r="AD130" s="230"/>
      <c r="AE130" s="230"/>
      <c r="AF130" s="230"/>
      <c r="AG130" s="224"/>
      <c r="AH130" s="224"/>
      <c r="AI130" s="224"/>
      <c r="AJ130" s="224"/>
      <c r="AK130" s="224"/>
      <c r="AL130" s="224"/>
      <c r="AM130"/>
      <c r="AN130"/>
      <c r="AO130"/>
      <c r="AP130"/>
      <c r="AQ130"/>
      <c r="AR130"/>
      <c r="AS130"/>
      <c r="AT130"/>
      <c r="AU130"/>
      <c r="AV130"/>
      <c r="AW130"/>
    </row>
    <row r="131" spans="14:49" x14ac:dyDescent="0.3">
      <c r="N131"/>
      <c r="O131">
        <f t="shared" si="33"/>
        <v>16</v>
      </c>
      <c r="P131">
        <f t="shared" si="34"/>
        <v>50</v>
      </c>
      <c r="Q131"/>
      <c r="R131">
        <f t="shared" si="35"/>
        <v>30</v>
      </c>
      <c r="S131" s="239">
        <f t="shared" si="31"/>
        <v>80</v>
      </c>
      <c r="T131" s="238">
        <f t="shared" si="36"/>
        <v>34561.898928163653</v>
      </c>
      <c r="U131" s="238">
        <f t="shared" si="37"/>
        <v>10094.012537430975</v>
      </c>
      <c r="V131" s="238">
        <f t="shared" si="38"/>
        <v>78440.943888453534</v>
      </c>
      <c r="W131" s="238">
        <f t="shared" si="39"/>
        <v>10284.445862735041</v>
      </c>
      <c r="X131" s="238">
        <f t="shared" si="32"/>
        <v>88725.389751188573</v>
      </c>
      <c r="Y131" s="230"/>
      <c r="Z131" s="230"/>
      <c r="AA131" s="230"/>
      <c r="AB131" s="230"/>
      <c r="AC131" s="230"/>
      <c r="AD131" s="230"/>
      <c r="AE131" s="230"/>
      <c r="AF131" s="230"/>
      <c r="AG131" s="224"/>
      <c r="AH131" s="224"/>
      <c r="AI131" s="224"/>
      <c r="AJ131" s="224"/>
      <c r="AK131" s="224"/>
      <c r="AL131" s="224"/>
      <c r="AM131"/>
      <c r="AN131"/>
      <c r="AO131"/>
      <c r="AP131"/>
      <c r="AQ131"/>
      <c r="AR131"/>
      <c r="AS131"/>
      <c r="AT131"/>
      <c r="AU131"/>
      <c r="AV131"/>
      <c r="AW131"/>
    </row>
    <row r="132" spans="14:49" x14ac:dyDescent="0.3">
      <c r="N132"/>
      <c r="O132">
        <f t="shared" si="33"/>
        <v>17</v>
      </c>
      <c r="P132">
        <f t="shared" si="34"/>
        <v>51</v>
      </c>
      <c r="Q132"/>
      <c r="R132">
        <f t="shared" si="35"/>
        <v>31</v>
      </c>
      <c r="S132" s="239">
        <f t="shared" si="31"/>
        <v>82</v>
      </c>
      <c r="T132" s="238">
        <f t="shared" si="36"/>
        <v>35253.136906726926</v>
      </c>
      <c r="U132" s="238">
        <f t="shared" si="37"/>
        <v>10295.892788179595</v>
      </c>
      <c r="V132" s="238">
        <f t="shared" si="38"/>
        <v>80558.849373441772</v>
      </c>
      <c r="W132" s="238">
        <f t="shared" si="39"/>
        <v>10562.125901028887</v>
      </c>
      <c r="X132" s="238">
        <f t="shared" si="32"/>
        <v>91120.975274470664</v>
      </c>
      <c r="Y132" s="230"/>
      <c r="Z132" s="230"/>
      <c r="AA132" s="230"/>
      <c r="AB132" s="230"/>
      <c r="AC132" s="230"/>
      <c r="AD132" s="230"/>
      <c r="AE132" s="230"/>
      <c r="AF132" s="230"/>
      <c r="AG132" s="224"/>
      <c r="AH132" s="224"/>
      <c r="AI132" s="224"/>
      <c r="AJ132" s="224"/>
      <c r="AK132" s="224"/>
      <c r="AL132" s="224"/>
      <c r="AM132"/>
      <c r="AN132"/>
      <c r="AO132"/>
      <c r="AP132"/>
      <c r="AQ132"/>
      <c r="AR132"/>
      <c r="AS132"/>
      <c r="AT132"/>
      <c r="AU132"/>
      <c r="AV132"/>
      <c r="AW132"/>
    </row>
    <row r="133" spans="14:49" x14ac:dyDescent="0.3">
      <c r="N133"/>
      <c r="O133">
        <f t="shared" si="33"/>
        <v>18</v>
      </c>
      <c r="P133">
        <f t="shared" si="34"/>
        <v>52</v>
      </c>
      <c r="Q133"/>
      <c r="R133">
        <f t="shared" si="35"/>
        <v>32</v>
      </c>
      <c r="S133" s="239">
        <f t="shared" si="31"/>
        <v>84</v>
      </c>
      <c r="T133" s="238">
        <f t="shared" si="36"/>
        <v>35958.199644861466</v>
      </c>
      <c r="U133" s="238">
        <f t="shared" si="37"/>
        <v>10501.810643943187</v>
      </c>
      <c r="V133" s="238">
        <f t="shared" si="38"/>
        <v>82733.938306524695</v>
      </c>
      <c r="W133" s="238">
        <f t="shared" si="39"/>
        <v>10847.303300356665</v>
      </c>
      <c r="X133" s="238">
        <f t="shared" si="32"/>
        <v>93581.241606881362</v>
      </c>
      <c r="Y133" s="230"/>
      <c r="Z133" s="230"/>
      <c r="AA133" s="230"/>
      <c r="AB133" s="230"/>
      <c r="AC133" s="230"/>
      <c r="AD133" s="230"/>
      <c r="AE133" s="230"/>
      <c r="AF133" s="230"/>
      <c r="AG133" s="224"/>
      <c r="AH133" s="224"/>
      <c r="AI133" s="224"/>
      <c r="AJ133" s="224"/>
      <c r="AK133" s="224"/>
      <c r="AL133" s="224"/>
      <c r="AM133"/>
      <c r="AN133"/>
      <c r="AO133"/>
      <c r="AP133"/>
      <c r="AQ133"/>
      <c r="AR133"/>
      <c r="AS133"/>
      <c r="AT133"/>
      <c r="AU133"/>
      <c r="AV133"/>
      <c r="AW133"/>
    </row>
    <row r="134" spans="14:49" x14ac:dyDescent="0.3">
      <c r="N134"/>
      <c r="O134">
        <f t="shared" si="33"/>
        <v>19</v>
      </c>
      <c r="P134">
        <f t="shared" si="34"/>
        <v>53</v>
      </c>
      <c r="Q134"/>
      <c r="R134">
        <f t="shared" si="35"/>
        <v>33</v>
      </c>
      <c r="S134" s="239">
        <f t="shared" si="31"/>
        <v>86</v>
      </c>
      <c r="T134" s="238">
        <f t="shared" si="36"/>
        <v>36677.363637758695</v>
      </c>
      <c r="U134" s="238">
        <f t="shared" si="37"/>
        <v>10711.846856822051</v>
      </c>
      <c r="V134" s="238">
        <f t="shared" si="38"/>
        <v>84967.754640800849</v>
      </c>
      <c r="W134" s="238">
        <f t="shared" si="39"/>
        <v>11140.180489466295</v>
      </c>
      <c r="X134" s="238">
        <f t="shared" si="32"/>
        <v>96107.935130267142</v>
      </c>
      <c r="Y134" s="230"/>
      <c r="Z134" s="230"/>
      <c r="AA134" s="230"/>
      <c r="AB134" s="230"/>
      <c r="AC134" s="230"/>
      <c r="AD134" s="230"/>
      <c r="AE134" s="230"/>
      <c r="AF134" s="230"/>
      <c r="AG134" s="224"/>
      <c r="AH134" s="224"/>
      <c r="AI134" s="224"/>
      <c r="AJ134" s="224"/>
      <c r="AK134" s="224"/>
      <c r="AL134" s="224"/>
      <c r="AM134"/>
      <c r="AN134"/>
      <c r="AO134"/>
      <c r="AP134"/>
      <c r="AQ134"/>
      <c r="AR134"/>
      <c r="AS134"/>
      <c r="AT134"/>
      <c r="AU134"/>
      <c r="AV134"/>
      <c r="AW134"/>
    </row>
    <row r="135" spans="14:49" x14ac:dyDescent="0.3">
      <c r="N135"/>
      <c r="O135">
        <f t="shared" si="33"/>
        <v>20</v>
      </c>
      <c r="P135">
        <f t="shared" si="34"/>
        <v>54</v>
      </c>
      <c r="Q135"/>
      <c r="R135">
        <f t="shared" si="35"/>
        <v>34</v>
      </c>
      <c r="S135" s="239">
        <f t="shared" si="31"/>
        <v>88</v>
      </c>
      <c r="T135" s="238">
        <f t="shared" si="36"/>
        <v>37410.91091051387</v>
      </c>
      <c r="U135" s="238">
        <f t="shared" si="37"/>
        <v>10926.083793958493</v>
      </c>
      <c r="V135" s="238">
        <f t="shared" si="38"/>
        <v>87261.884016102471</v>
      </c>
      <c r="W135" s="238">
        <f t="shared" si="39"/>
        <v>11440.965362681884</v>
      </c>
      <c r="X135" s="238">
        <f t="shared" si="32"/>
        <v>98702.849378784362</v>
      </c>
      <c r="Y135" s="230"/>
      <c r="Z135" s="230"/>
      <c r="AA135" s="230"/>
      <c r="AB135" s="230"/>
      <c r="AC135" s="230"/>
      <c r="AD135" s="230"/>
      <c r="AE135" s="230"/>
      <c r="AF135" s="230"/>
      <c r="AG135" s="224"/>
      <c r="AH135" s="224"/>
      <c r="AI135" s="224"/>
      <c r="AJ135" s="224"/>
      <c r="AK135" s="224"/>
      <c r="AL135" s="224"/>
      <c r="AM135"/>
      <c r="AN135"/>
      <c r="AO135"/>
      <c r="AP135"/>
      <c r="AQ135"/>
      <c r="AR135"/>
      <c r="AS135"/>
      <c r="AT135"/>
      <c r="AU135"/>
      <c r="AV135"/>
      <c r="AW135"/>
    </row>
    <row r="136" spans="14:49" x14ac:dyDescent="0.3">
      <c r="N136"/>
      <c r="O136">
        <f t="shared" si="33"/>
        <v>21</v>
      </c>
      <c r="P136">
        <f t="shared" si="34"/>
        <v>55</v>
      </c>
      <c r="Q136"/>
      <c r="R136">
        <f t="shared" si="35"/>
        <v>35</v>
      </c>
      <c r="S136" s="239">
        <f t="shared" si="31"/>
        <v>90</v>
      </c>
      <c r="T136" s="238">
        <f t="shared" si="36"/>
        <v>38159.129128724147</v>
      </c>
      <c r="U136" s="238">
        <f t="shared" si="37"/>
        <v>11144.605469837663</v>
      </c>
      <c r="V136" s="238">
        <f t="shared" si="38"/>
        <v>89617.954884537234</v>
      </c>
      <c r="W136" s="238">
        <f t="shared" si="39"/>
        <v>11749.871427474294</v>
      </c>
      <c r="X136" s="238">
        <f t="shared" si="32"/>
        <v>101367.82631201153</v>
      </c>
      <c r="Y136" s="237">
        <f t="shared" ref="Y136:Y146" si="40">G62</f>
        <v>7.2</v>
      </c>
      <c r="Z136" s="237"/>
      <c r="AA136" s="224">
        <f t="shared" ref="AA136:AA146" si="41">MAX(0,30-R136)</f>
        <v>0</v>
      </c>
      <c r="AB136" s="224">
        <f t="shared" ref="AB136:AB146" si="42">MAX(0,60-P136)</f>
        <v>5</v>
      </c>
      <c r="AC136" s="224">
        <f t="shared" ref="AC136:AC146" si="43">MAX(0,(80-S136)/2)</f>
        <v>0</v>
      </c>
      <c r="AD136" s="235">
        <f t="shared" ref="AD136:AD146" si="44">100%-3%*MIN(AA136:AC136)</f>
        <v>1</v>
      </c>
      <c r="AE136" s="230">
        <f t="shared" ref="AE136:AE146" si="45">V136*AD136</f>
        <v>89617.954884537234</v>
      </c>
      <c r="AF136" s="230"/>
      <c r="AG136" s="235">
        <f t="shared" ref="AG136:AG145" si="46">AG137-4%</f>
        <v>0.59999999999999964</v>
      </c>
      <c r="AH136" s="230">
        <f t="shared" ref="AH136:AH146" si="47">T136*AG136</f>
        <v>22895.477477234475</v>
      </c>
      <c r="AI136" s="230">
        <f t="shared" ref="AI136:AI146" si="48">MIN(AH136,$AE136)</f>
        <v>22895.477477234475</v>
      </c>
      <c r="AJ136" s="230"/>
      <c r="AK136" s="238">
        <f t="shared" ref="AK136:AK146" si="49">$Y136*AI136+$Z136*AJ136</f>
        <v>164847.43783608824</v>
      </c>
      <c r="AL136" s="235">
        <f t="shared" ref="AL136:AL145" si="50">AL137-4%</f>
        <v>0.59999999999999964</v>
      </c>
      <c r="AM136" s="230">
        <f t="shared" ref="AM136:AM146" si="51">T136*AL136</f>
        <v>22895.477477234475</v>
      </c>
      <c r="AN136" s="230">
        <f t="shared" ref="AN136:AN146" si="52">MIN(AM136,$AK136)</f>
        <v>22895.477477234475</v>
      </c>
      <c r="AO136" s="230"/>
      <c r="AP136" s="238">
        <f t="shared" ref="AP136:AP146" si="53">$Y136*AN136+$Z136*AO136</f>
        <v>164847.43783608824</v>
      </c>
      <c r="AQ136"/>
      <c r="AR136"/>
      <c r="AS136"/>
      <c r="AT136"/>
      <c r="AU136"/>
      <c r="AV136"/>
      <c r="AW136"/>
    </row>
    <row r="137" spans="14:49" x14ac:dyDescent="0.3">
      <c r="N137"/>
      <c r="O137">
        <f t="shared" si="33"/>
        <v>22</v>
      </c>
      <c r="P137">
        <f t="shared" si="34"/>
        <v>56</v>
      </c>
      <c r="Q137"/>
      <c r="R137">
        <f t="shared" si="35"/>
        <v>36</v>
      </c>
      <c r="S137" s="239">
        <f t="shared" si="31"/>
        <v>92</v>
      </c>
      <c r="T137" s="238">
        <f t="shared" si="36"/>
        <v>38922.311711298629</v>
      </c>
      <c r="U137" s="238">
        <f t="shared" si="37"/>
        <v>11367.497579234416</v>
      </c>
      <c r="V137" s="238">
        <f t="shared" si="38"/>
        <v>92037.639666419738</v>
      </c>
      <c r="W137" s="238">
        <f t="shared" si="39"/>
        <v>12067.1179560161</v>
      </c>
      <c r="X137" s="238">
        <f t="shared" si="32"/>
        <v>104104.75762243583</v>
      </c>
      <c r="Y137" s="237">
        <f t="shared" si="40"/>
        <v>6.8</v>
      </c>
      <c r="Z137" s="237"/>
      <c r="AA137" s="224">
        <f t="shared" si="41"/>
        <v>0</v>
      </c>
      <c r="AB137" s="224">
        <f t="shared" si="42"/>
        <v>4</v>
      </c>
      <c r="AC137" s="224">
        <f t="shared" si="43"/>
        <v>0</v>
      </c>
      <c r="AD137" s="235">
        <f t="shared" si="44"/>
        <v>1</v>
      </c>
      <c r="AE137" s="230">
        <f t="shared" si="45"/>
        <v>92037.639666419738</v>
      </c>
      <c r="AF137" s="230"/>
      <c r="AG137" s="235">
        <f t="shared" si="46"/>
        <v>0.63999999999999968</v>
      </c>
      <c r="AH137" s="230">
        <f t="shared" si="47"/>
        <v>24910.279495231109</v>
      </c>
      <c r="AI137" s="230">
        <f t="shared" si="48"/>
        <v>24910.279495231109</v>
      </c>
      <c r="AJ137" s="230"/>
      <c r="AK137" s="238">
        <f t="shared" si="49"/>
        <v>169389.90056757155</v>
      </c>
      <c r="AL137" s="235">
        <f t="shared" si="50"/>
        <v>0.63999999999999968</v>
      </c>
      <c r="AM137" s="230">
        <f t="shared" si="51"/>
        <v>24910.279495231109</v>
      </c>
      <c r="AN137" s="230">
        <f t="shared" si="52"/>
        <v>24910.279495231109</v>
      </c>
      <c r="AO137" s="230"/>
      <c r="AP137" s="238">
        <f t="shared" si="53"/>
        <v>169389.90056757155</v>
      </c>
      <c r="AQ137"/>
      <c r="AR137"/>
      <c r="AS137"/>
      <c r="AT137"/>
      <c r="AU137"/>
      <c r="AV137"/>
      <c r="AW137"/>
    </row>
    <row r="138" spans="14:49" x14ac:dyDescent="0.3">
      <c r="N138"/>
      <c r="O138">
        <f t="shared" si="33"/>
        <v>23</v>
      </c>
      <c r="P138">
        <f t="shared" si="34"/>
        <v>57</v>
      </c>
      <c r="Q138"/>
      <c r="R138">
        <f t="shared" si="35"/>
        <v>37</v>
      </c>
      <c r="S138" s="239">
        <f t="shared" si="31"/>
        <v>94</v>
      </c>
      <c r="T138" s="238">
        <f t="shared" si="36"/>
        <v>39700.757945524601</v>
      </c>
      <c r="U138" s="238">
        <f t="shared" si="37"/>
        <v>11594.847530819105</v>
      </c>
      <c r="V138" s="238">
        <f t="shared" si="38"/>
        <v>94522.655937413059</v>
      </c>
      <c r="W138" s="238">
        <f t="shared" si="39"/>
        <v>12392.930140828534</v>
      </c>
      <c r="X138" s="238">
        <f t="shared" si="32"/>
        <v>106915.5860782416</v>
      </c>
      <c r="Y138" s="237">
        <f t="shared" si="40"/>
        <v>6.5</v>
      </c>
      <c r="Z138" s="237"/>
      <c r="AA138" s="224">
        <f t="shared" si="41"/>
        <v>0</v>
      </c>
      <c r="AB138" s="224">
        <f t="shared" si="42"/>
        <v>3</v>
      </c>
      <c r="AC138" s="224">
        <f t="shared" si="43"/>
        <v>0</v>
      </c>
      <c r="AD138" s="235">
        <f t="shared" si="44"/>
        <v>1</v>
      </c>
      <c r="AE138" s="230">
        <f t="shared" si="45"/>
        <v>94522.655937413059</v>
      </c>
      <c r="AF138" s="230"/>
      <c r="AG138" s="235">
        <f t="shared" si="46"/>
        <v>0.67999999999999972</v>
      </c>
      <c r="AH138" s="230">
        <f t="shared" si="47"/>
        <v>26996.515402956717</v>
      </c>
      <c r="AI138" s="230">
        <f t="shared" si="48"/>
        <v>26996.515402956717</v>
      </c>
      <c r="AJ138" s="230"/>
      <c r="AK138" s="238">
        <f t="shared" si="49"/>
        <v>175477.35011921867</v>
      </c>
      <c r="AL138" s="235">
        <f t="shared" si="50"/>
        <v>0.67999999999999972</v>
      </c>
      <c r="AM138" s="230">
        <f t="shared" si="51"/>
        <v>26996.515402956717</v>
      </c>
      <c r="AN138" s="230">
        <f t="shared" si="52"/>
        <v>26996.515402956717</v>
      </c>
      <c r="AO138" s="230"/>
      <c r="AP138" s="238">
        <f t="shared" si="53"/>
        <v>175477.35011921867</v>
      </c>
      <c r="AQ138"/>
      <c r="AR138"/>
      <c r="AS138"/>
      <c r="AT138"/>
      <c r="AU138"/>
      <c r="AV138"/>
      <c r="AW138"/>
    </row>
    <row r="139" spans="14:49" x14ac:dyDescent="0.3">
      <c r="N139"/>
      <c r="O139">
        <f t="shared" si="33"/>
        <v>24</v>
      </c>
      <c r="P139">
        <f t="shared" si="34"/>
        <v>58</v>
      </c>
      <c r="Q139"/>
      <c r="R139">
        <f t="shared" si="35"/>
        <v>38</v>
      </c>
      <c r="S139" s="239">
        <f t="shared" si="31"/>
        <v>96</v>
      </c>
      <c r="T139" s="238">
        <f t="shared" si="36"/>
        <v>40494.773104435095</v>
      </c>
      <c r="U139" s="238">
        <f t="shared" si="37"/>
        <v>11826.744481435488</v>
      </c>
      <c r="V139" s="238">
        <f t="shared" si="38"/>
        <v>97074.767647723202</v>
      </c>
      <c r="W139" s="238">
        <f t="shared" si="39"/>
        <v>12727.539254630903</v>
      </c>
      <c r="X139" s="238">
        <f t="shared" si="32"/>
        <v>109802.3069023541</v>
      </c>
      <c r="Y139" s="237">
        <f t="shared" si="40"/>
        <v>6.1</v>
      </c>
      <c r="Z139" s="237"/>
      <c r="AA139" s="224">
        <f t="shared" si="41"/>
        <v>0</v>
      </c>
      <c r="AB139" s="224">
        <f t="shared" si="42"/>
        <v>2</v>
      </c>
      <c r="AC139" s="224">
        <f t="shared" si="43"/>
        <v>0</v>
      </c>
      <c r="AD139" s="235">
        <f t="shared" si="44"/>
        <v>1</v>
      </c>
      <c r="AE139" s="230">
        <f t="shared" si="45"/>
        <v>97074.767647723202</v>
      </c>
      <c r="AF139" s="230"/>
      <c r="AG139" s="235">
        <f t="shared" si="46"/>
        <v>0.71999999999999975</v>
      </c>
      <c r="AH139" s="230">
        <f t="shared" si="47"/>
        <v>29156.236635193258</v>
      </c>
      <c r="AI139" s="230">
        <f t="shared" si="48"/>
        <v>29156.236635193258</v>
      </c>
      <c r="AJ139" s="230"/>
      <c r="AK139" s="238">
        <f t="shared" si="49"/>
        <v>177853.04347467885</v>
      </c>
      <c r="AL139" s="235">
        <f t="shared" si="50"/>
        <v>0.71999999999999975</v>
      </c>
      <c r="AM139" s="230">
        <f t="shared" si="51"/>
        <v>29156.236635193258</v>
      </c>
      <c r="AN139" s="230">
        <f t="shared" si="52"/>
        <v>29156.236635193258</v>
      </c>
      <c r="AO139" s="230"/>
      <c r="AP139" s="238">
        <f t="shared" si="53"/>
        <v>177853.04347467885</v>
      </c>
      <c r="AQ139"/>
      <c r="AR139"/>
      <c r="AS139"/>
      <c r="AT139"/>
      <c r="AU139"/>
      <c r="AV139"/>
      <c r="AW139"/>
    </row>
    <row r="140" spans="14:49" x14ac:dyDescent="0.3">
      <c r="N140"/>
      <c r="O140">
        <f t="shared" si="33"/>
        <v>25</v>
      </c>
      <c r="P140">
        <f t="shared" si="34"/>
        <v>59</v>
      </c>
      <c r="Q140"/>
      <c r="R140">
        <f t="shared" si="35"/>
        <v>39</v>
      </c>
      <c r="S140" s="239">
        <f t="shared" si="31"/>
        <v>98</v>
      </c>
      <c r="T140" s="238">
        <f t="shared" si="36"/>
        <v>41304.668566523796</v>
      </c>
      <c r="U140" s="238">
        <f t="shared" si="37"/>
        <v>12063.279371064198</v>
      </c>
      <c r="V140" s="238">
        <f t="shared" si="38"/>
        <v>99695.786374211719</v>
      </c>
      <c r="W140" s="238">
        <f t="shared" si="39"/>
        <v>13071.182814505937</v>
      </c>
      <c r="X140" s="238">
        <f t="shared" si="32"/>
        <v>112766.96918871766</v>
      </c>
      <c r="Y140" s="237">
        <f t="shared" si="40"/>
        <v>5.7</v>
      </c>
      <c r="Z140" s="237"/>
      <c r="AA140" s="224">
        <f t="shared" si="41"/>
        <v>0</v>
      </c>
      <c r="AB140" s="224">
        <f t="shared" si="42"/>
        <v>1</v>
      </c>
      <c r="AC140" s="224">
        <f t="shared" si="43"/>
        <v>0</v>
      </c>
      <c r="AD140" s="235">
        <f t="shared" si="44"/>
        <v>1</v>
      </c>
      <c r="AE140" s="230">
        <f t="shared" si="45"/>
        <v>99695.786374211719</v>
      </c>
      <c r="AF140" s="230"/>
      <c r="AG140" s="235">
        <f t="shared" si="46"/>
        <v>0.75999999999999979</v>
      </c>
      <c r="AH140" s="230">
        <f t="shared" si="47"/>
        <v>31391.548110558077</v>
      </c>
      <c r="AI140" s="230">
        <f t="shared" si="48"/>
        <v>31391.548110558077</v>
      </c>
      <c r="AJ140" s="230"/>
      <c r="AK140" s="238">
        <f t="shared" si="49"/>
        <v>178931.82423018105</v>
      </c>
      <c r="AL140" s="235">
        <f t="shared" si="50"/>
        <v>0.75999999999999979</v>
      </c>
      <c r="AM140" s="230">
        <f t="shared" si="51"/>
        <v>31391.548110558077</v>
      </c>
      <c r="AN140" s="230">
        <f t="shared" si="52"/>
        <v>31391.548110558077</v>
      </c>
      <c r="AO140" s="230"/>
      <c r="AP140" s="238">
        <f t="shared" si="53"/>
        <v>178931.82423018105</v>
      </c>
      <c r="AQ140"/>
      <c r="AR140"/>
      <c r="AS140"/>
      <c r="AT140"/>
      <c r="AU140"/>
      <c r="AV140"/>
      <c r="AW140"/>
    </row>
    <row r="141" spans="14:49" x14ac:dyDescent="0.3">
      <c r="N141"/>
      <c r="O141">
        <f t="shared" si="33"/>
        <v>26</v>
      </c>
      <c r="P141">
        <f t="shared" si="34"/>
        <v>60</v>
      </c>
      <c r="Q141"/>
      <c r="R141">
        <f t="shared" si="35"/>
        <v>40</v>
      </c>
      <c r="S141" s="239">
        <f t="shared" si="31"/>
        <v>100</v>
      </c>
      <c r="T141" s="238">
        <f t="shared" si="36"/>
        <v>42130.761937854273</v>
      </c>
      <c r="U141" s="238">
        <f t="shared" si="37"/>
        <v>12304.544958485481</v>
      </c>
      <c r="V141" s="238">
        <f t="shared" si="38"/>
        <v>102387.57260631543</v>
      </c>
      <c r="W141" s="238">
        <f t="shared" si="39"/>
        <v>13424.104750497596</v>
      </c>
      <c r="X141" s="238">
        <f t="shared" si="32"/>
        <v>115811.67735681303</v>
      </c>
      <c r="Y141" s="237">
        <f t="shared" si="40"/>
        <v>5.4</v>
      </c>
      <c r="Z141" s="237"/>
      <c r="AA141" s="224">
        <f t="shared" si="41"/>
        <v>0</v>
      </c>
      <c r="AB141" s="224">
        <f t="shared" si="42"/>
        <v>0</v>
      </c>
      <c r="AC141" s="224">
        <f t="shared" si="43"/>
        <v>0</v>
      </c>
      <c r="AD141" s="235">
        <f t="shared" si="44"/>
        <v>1</v>
      </c>
      <c r="AE141" s="230">
        <f t="shared" si="45"/>
        <v>102387.57260631543</v>
      </c>
      <c r="AF141" s="230"/>
      <c r="AG141" s="235">
        <f t="shared" si="46"/>
        <v>0.79999999999999982</v>
      </c>
      <c r="AH141" s="230">
        <f t="shared" si="47"/>
        <v>33704.609550283414</v>
      </c>
      <c r="AI141" s="230">
        <f t="shared" si="48"/>
        <v>33704.609550283414</v>
      </c>
      <c r="AJ141" s="230"/>
      <c r="AK141" s="238">
        <f t="shared" si="49"/>
        <v>182004.89157153046</v>
      </c>
      <c r="AL141" s="235">
        <f t="shared" si="50"/>
        <v>0.79999999999999982</v>
      </c>
      <c r="AM141" s="230">
        <f t="shared" si="51"/>
        <v>33704.609550283414</v>
      </c>
      <c r="AN141" s="230">
        <f t="shared" si="52"/>
        <v>33704.609550283414</v>
      </c>
      <c r="AO141" s="230"/>
      <c r="AP141" s="238">
        <f t="shared" si="53"/>
        <v>182004.89157153046</v>
      </c>
      <c r="AQ141"/>
      <c r="AR141"/>
      <c r="AS141"/>
      <c r="AT141"/>
      <c r="AU141"/>
      <c r="AV141"/>
      <c r="AW141"/>
    </row>
    <row r="142" spans="14:49" x14ac:dyDescent="0.3">
      <c r="N142"/>
      <c r="O142">
        <f t="shared" si="33"/>
        <v>27</v>
      </c>
      <c r="P142">
        <f t="shared" si="34"/>
        <v>61</v>
      </c>
      <c r="Q142"/>
      <c r="R142">
        <f t="shared" si="35"/>
        <v>41</v>
      </c>
      <c r="S142" s="239">
        <f t="shared" si="31"/>
        <v>102</v>
      </c>
      <c r="T142" s="238">
        <f t="shared" si="36"/>
        <v>42973.377176611357</v>
      </c>
      <c r="U142" s="238">
        <f t="shared" si="37"/>
        <v>12550.635857655192</v>
      </c>
      <c r="V142" s="238">
        <f t="shared" si="38"/>
        <v>105152.03706668594</v>
      </c>
      <c r="W142" s="238">
        <f t="shared" si="39"/>
        <v>13786.55557876103</v>
      </c>
      <c r="X142" s="238">
        <f t="shared" si="32"/>
        <v>118938.59264544697</v>
      </c>
      <c r="Y142" s="237">
        <f t="shared" si="40"/>
        <v>5.0999999999999996</v>
      </c>
      <c r="Z142" s="237"/>
      <c r="AA142" s="224">
        <f t="shared" si="41"/>
        <v>0</v>
      </c>
      <c r="AB142" s="224">
        <f t="shared" si="42"/>
        <v>0</v>
      </c>
      <c r="AC142" s="224">
        <f t="shared" si="43"/>
        <v>0</v>
      </c>
      <c r="AD142" s="235">
        <f t="shared" si="44"/>
        <v>1</v>
      </c>
      <c r="AE142" s="230">
        <f t="shared" si="45"/>
        <v>105152.03706668594</v>
      </c>
      <c r="AF142" s="230"/>
      <c r="AG142" s="235">
        <f t="shared" si="46"/>
        <v>0.83999999999999986</v>
      </c>
      <c r="AH142" s="230">
        <f t="shared" si="47"/>
        <v>36097.636828353534</v>
      </c>
      <c r="AI142" s="230">
        <f t="shared" si="48"/>
        <v>36097.636828353534</v>
      </c>
      <c r="AJ142" s="230"/>
      <c r="AK142" s="238">
        <f t="shared" si="49"/>
        <v>184097.947824603</v>
      </c>
      <c r="AL142" s="235">
        <f t="shared" si="50"/>
        <v>0.83999999999999986</v>
      </c>
      <c r="AM142" s="230">
        <f t="shared" si="51"/>
        <v>36097.636828353534</v>
      </c>
      <c r="AN142" s="230">
        <f t="shared" si="52"/>
        <v>36097.636828353534</v>
      </c>
      <c r="AO142" s="230"/>
      <c r="AP142" s="238">
        <f t="shared" si="53"/>
        <v>184097.947824603</v>
      </c>
      <c r="AQ142"/>
      <c r="AR142"/>
      <c r="AS142"/>
      <c r="AT142"/>
      <c r="AU142"/>
      <c r="AV142"/>
      <c r="AW142"/>
    </row>
    <row r="143" spans="14:49" x14ac:dyDescent="0.3">
      <c r="N143"/>
      <c r="O143">
        <f t="shared" si="33"/>
        <v>28</v>
      </c>
      <c r="P143">
        <f t="shared" si="34"/>
        <v>62</v>
      </c>
      <c r="Q143"/>
      <c r="R143">
        <f t="shared" si="35"/>
        <v>42</v>
      </c>
      <c r="S143" s="239">
        <f t="shared" si="31"/>
        <v>104</v>
      </c>
      <c r="T143" s="238">
        <f t="shared" si="36"/>
        <v>43832.844720143585</v>
      </c>
      <c r="U143" s="238">
        <f t="shared" si="37"/>
        <v>12801.648574808296</v>
      </c>
      <c r="V143" s="238">
        <f t="shared" si="38"/>
        <v>107991.14206748645</v>
      </c>
      <c r="W143" s="238">
        <f t="shared" si="39"/>
        <v>14158.792579387577</v>
      </c>
      <c r="X143" s="238">
        <f t="shared" si="32"/>
        <v>122149.93464687403</v>
      </c>
      <c r="Y143" s="236">
        <f t="shared" si="40"/>
        <v>4.8999999999999995</v>
      </c>
      <c r="Z143" s="236">
        <f>H69</f>
        <v>0.9</v>
      </c>
      <c r="AA143" s="224">
        <f t="shared" si="41"/>
        <v>0</v>
      </c>
      <c r="AB143" s="224">
        <f t="shared" si="42"/>
        <v>0</v>
      </c>
      <c r="AC143" s="224">
        <f t="shared" si="43"/>
        <v>0</v>
      </c>
      <c r="AD143" s="235">
        <f t="shared" si="44"/>
        <v>1</v>
      </c>
      <c r="AE143" s="230">
        <f t="shared" si="45"/>
        <v>107991.14206748645</v>
      </c>
      <c r="AF143" s="230">
        <f>X143-AE143</f>
        <v>14158.792579387577</v>
      </c>
      <c r="AG143" s="235">
        <f t="shared" si="46"/>
        <v>0.87999999999999989</v>
      </c>
      <c r="AH143" s="230">
        <f t="shared" si="47"/>
        <v>38572.903353726353</v>
      </c>
      <c r="AI143" s="230">
        <f t="shared" si="48"/>
        <v>38572.903353726353</v>
      </c>
      <c r="AJ143" s="230">
        <v>0</v>
      </c>
      <c r="AK143" s="233">
        <f t="shared" si="49"/>
        <v>189007.22643325911</v>
      </c>
      <c r="AL143" s="235">
        <f t="shared" si="50"/>
        <v>0.87999999999999989</v>
      </c>
      <c r="AM143" s="230">
        <f t="shared" si="51"/>
        <v>38572.903353726353</v>
      </c>
      <c r="AN143" s="230">
        <f t="shared" si="52"/>
        <v>38572.903353726353</v>
      </c>
      <c r="AO143" s="230">
        <v>0</v>
      </c>
      <c r="AP143" s="233">
        <f t="shared" si="53"/>
        <v>189007.22643325911</v>
      </c>
      <c r="AQ143"/>
      <c r="AR143"/>
      <c r="AS143"/>
      <c r="AT143"/>
      <c r="AU143"/>
      <c r="AV143"/>
      <c r="AW143"/>
    </row>
    <row r="144" spans="14:49" x14ac:dyDescent="0.3">
      <c r="N144"/>
      <c r="O144">
        <f t="shared" si="33"/>
        <v>29</v>
      </c>
      <c r="P144">
        <f t="shared" si="34"/>
        <v>63</v>
      </c>
      <c r="Q144"/>
      <c r="R144">
        <f t="shared" si="35"/>
        <v>43</v>
      </c>
      <c r="S144" s="239">
        <f t="shared" si="31"/>
        <v>106</v>
      </c>
      <c r="T144" s="238">
        <f t="shared" si="36"/>
        <v>44709.501614546454</v>
      </c>
      <c r="U144" s="238">
        <f t="shared" si="37"/>
        <v>13057.681546304462</v>
      </c>
      <c r="V144" s="238">
        <f t="shared" si="38"/>
        <v>110906.90290330857</v>
      </c>
      <c r="W144" s="238">
        <f t="shared" si="39"/>
        <v>14541.079979031039</v>
      </c>
      <c r="X144" s="238">
        <f t="shared" si="32"/>
        <v>125447.98288233961</v>
      </c>
      <c r="Y144" s="237">
        <f t="shared" si="40"/>
        <v>4.5</v>
      </c>
      <c r="Z144" s="236">
        <f>H70</f>
        <v>0.6</v>
      </c>
      <c r="AA144" s="224">
        <f t="shared" si="41"/>
        <v>0</v>
      </c>
      <c r="AB144" s="224">
        <f t="shared" si="42"/>
        <v>0</v>
      </c>
      <c r="AC144" s="224">
        <f t="shared" si="43"/>
        <v>0</v>
      </c>
      <c r="AD144" s="235">
        <f t="shared" si="44"/>
        <v>1</v>
      </c>
      <c r="AE144" s="230">
        <f t="shared" si="45"/>
        <v>110906.90290330857</v>
      </c>
      <c r="AF144" s="230">
        <f>X144-AE144</f>
        <v>14541.079979031041</v>
      </c>
      <c r="AG144" s="235">
        <f t="shared" si="46"/>
        <v>0.91999999999999993</v>
      </c>
      <c r="AH144" s="230">
        <f t="shared" si="47"/>
        <v>41132.741485382736</v>
      </c>
      <c r="AI144" s="230">
        <f t="shared" si="48"/>
        <v>41132.741485382736</v>
      </c>
      <c r="AJ144" s="230">
        <v>0</v>
      </c>
      <c r="AK144" s="238">
        <f t="shared" si="49"/>
        <v>185097.3366842223</v>
      </c>
      <c r="AL144" s="235">
        <f t="shared" si="50"/>
        <v>0.91999999999999993</v>
      </c>
      <c r="AM144" s="230">
        <f t="shared" si="51"/>
        <v>41132.741485382736</v>
      </c>
      <c r="AN144" s="230">
        <f t="shared" si="52"/>
        <v>41132.741485382736</v>
      </c>
      <c r="AO144" s="230">
        <v>0</v>
      </c>
      <c r="AP144" s="238">
        <f t="shared" si="53"/>
        <v>185097.3366842223</v>
      </c>
      <c r="AQ144"/>
      <c r="AR144"/>
      <c r="AS144"/>
      <c r="AT144"/>
      <c r="AU144"/>
      <c r="AV144"/>
      <c r="AW144"/>
    </row>
    <row r="145" spans="14:49" x14ac:dyDescent="0.3">
      <c r="N145"/>
      <c r="O145">
        <f t="shared" si="33"/>
        <v>30</v>
      </c>
      <c r="P145">
        <f t="shared" si="34"/>
        <v>64</v>
      </c>
      <c r="Q145"/>
      <c r="R145">
        <f t="shared" si="35"/>
        <v>44</v>
      </c>
      <c r="S145" s="239">
        <f t="shared" si="31"/>
        <v>108</v>
      </c>
      <c r="T145" s="238">
        <f t="shared" si="36"/>
        <v>45603.691646837382</v>
      </c>
      <c r="U145" s="238">
        <f t="shared" si="37"/>
        <v>13318.835177230552</v>
      </c>
      <c r="V145" s="238">
        <f t="shared" si="38"/>
        <v>113901.38928169789</v>
      </c>
      <c r="W145" s="238">
        <f t="shared" si="39"/>
        <v>14933.689138464877</v>
      </c>
      <c r="X145" s="238">
        <f t="shared" si="32"/>
        <v>128835.07842016277</v>
      </c>
      <c r="Y145" s="237">
        <f t="shared" si="40"/>
        <v>4.2</v>
      </c>
      <c r="Z145" s="236">
        <f>H71</f>
        <v>0.3</v>
      </c>
      <c r="AA145" s="224">
        <f t="shared" si="41"/>
        <v>0</v>
      </c>
      <c r="AB145" s="224">
        <f t="shared" si="42"/>
        <v>0</v>
      </c>
      <c r="AC145" s="224">
        <f t="shared" si="43"/>
        <v>0</v>
      </c>
      <c r="AD145" s="235">
        <f t="shared" si="44"/>
        <v>1</v>
      </c>
      <c r="AE145" s="230">
        <f t="shared" si="45"/>
        <v>113901.38928169789</v>
      </c>
      <c r="AF145" s="230">
        <f>X145-AE145</f>
        <v>14933.689138464877</v>
      </c>
      <c r="AG145" s="235">
        <f t="shared" si="46"/>
        <v>0.96</v>
      </c>
      <c r="AH145" s="230">
        <f t="shared" si="47"/>
        <v>43779.543980963885</v>
      </c>
      <c r="AI145" s="230">
        <f t="shared" si="48"/>
        <v>43779.543980963885</v>
      </c>
      <c r="AJ145" s="230">
        <v>0</v>
      </c>
      <c r="AK145" s="238">
        <f t="shared" si="49"/>
        <v>183874.08472004833</v>
      </c>
      <c r="AL145" s="235">
        <f t="shared" si="50"/>
        <v>0.96</v>
      </c>
      <c r="AM145" s="230">
        <f t="shared" si="51"/>
        <v>43779.543980963885</v>
      </c>
      <c r="AN145" s="230">
        <f t="shared" si="52"/>
        <v>43779.543980963885</v>
      </c>
      <c r="AO145" s="230">
        <v>0</v>
      </c>
      <c r="AP145" s="238">
        <f t="shared" si="53"/>
        <v>183874.08472004833</v>
      </c>
      <c r="AQ145"/>
      <c r="AR145"/>
      <c r="AS145"/>
      <c r="AT145"/>
      <c r="AU145"/>
      <c r="AV145"/>
      <c r="AW145"/>
    </row>
    <row r="146" spans="14:49" x14ac:dyDescent="0.3">
      <c r="N146"/>
      <c r="O146">
        <f t="shared" si="33"/>
        <v>31</v>
      </c>
      <c r="P146">
        <f t="shared" si="34"/>
        <v>65</v>
      </c>
      <c r="Q146"/>
      <c r="R146">
        <f t="shared" si="35"/>
        <v>45</v>
      </c>
      <c r="S146" s="239">
        <f t="shared" si="31"/>
        <v>110</v>
      </c>
      <c r="T146" s="238">
        <f t="shared" si="36"/>
        <v>46515.765479774127</v>
      </c>
      <c r="U146" s="238">
        <f t="shared" si="37"/>
        <v>13585.211880775163</v>
      </c>
      <c r="V146" s="238">
        <f t="shared" si="38"/>
        <v>116976.72679230373</v>
      </c>
      <c r="W146" s="238">
        <f t="shared" si="39"/>
        <v>15336.898745203427</v>
      </c>
      <c r="X146" s="238">
        <f t="shared" si="32"/>
        <v>132313.62553750715</v>
      </c>
      <c r="Y146" s="237">
        <f t="shared" si="40"/>
        <v>4</v>
      </c>
      <c r="Z146" s="236">
        <f>H72</f>
        <v>0</v>
      </c>
      <c r="AA146" s="224">
        <f t="shared" si="41"/>
        <v>0</v>
      </c>
      <c r="AB146" s="224">
        <f t="shared" si="42"/>
        <v>0</v>
      </c>
      <c r="AC146" s="224">
        <f t="shared" si="43"/>
        <v>0</v>
      </c>
      <c r="AD146" s="235">
        <f t="shared" si="44"/>
        <v>1</v>
      </c>
      <c r="AE146" s="230">
        <f t="shared" si="45"/>
        <v>116976.72679230373</v>
      </c>
      <c r="AF146" s="230">
        <f>X146-AE146</f>
        <v>15336.89874520342</v>
      </c>
      <c r="AG146" s="234">
        <v>1</v>
      </c>
      <c r="AH146" s="230">
        <f t="shared" si="47"/>
        <v>46515.765479774127</v>
      </c>
      <c r="AI146" s="230">
        <f t="shared" si="48"/>
        <v>46515.765479774127</v>
      </c>
      <c r="AJ146" s="230">
        <v>0</v>
      </c>
      <c r="AK146" s="233">
        <f t="shared" si="49"/>
        <v>186063.06191909651</v>
      </c>
      <c r="AL146" s="234">
        <v>1</v>
      </c>
      <c r="AM146" s="230">
        <f t="shared" si="51"/>
        <v>46515.765479774127</v>
      </c>
      <c r="AN146" s="230">
        <f t="shared" si="52"/>
        <v>46515.765479774127</v>
      </c>
      <c r="AO146" s="230">
        <v>0</v>
      </c>
      <c r="AP146" s="233">
        <f t="shared" si="53"/>
        <v>186063.06191909651</v>
      </c>
      <c r="AQ146"/>
      <c r="AR146"/>
      <c r="AS146"/>
      <c r="AT146"/>
      <c r="AU146"/>
      <c r="AV146"/>
      <c r="AW146"/>
    </row>
    <row r="147" spans="14:49" x14ac:dyDescent="0.3">
      <c r="N147"/>
      <c r="O147"/>
      <c r="P147"/>
      <c r="Q147"/>
      <c r="R147"/>
      <c r="S147"/>
      <c r="T147"/>
      <c r="U147"/>
      <c r="V147"/>
      <c r="W147"/>
      <c r="X147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/>
      <c r="AP147"/>
      <c r="AQ147"/>
      <c r="AR147"/>
      <c r="AS147"/>
      <c r="AT147"/>
      <c r="AU147"/>
      <c r="AV147"/>
      <c r="AW147"/>
    </row>
    <row r="148" spans="14:49" x14ac:dyDescent="0.3">
      <c r="N148"/>
      <c r="O148"/>
      <c r="P148"/>
      <c r="Q148"/>
      <c r="R148"/>
      <c r="S148"/>
      <c r="T148"/>
      <c r="U148"/>
      <c r="V148"/>
      <c r="W148"/>
      <c r="X148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31"/>
      <c r="AJ148" s="231" t="s">
        <v>294</v>
      </c>
      <c r="AK148" s="230">
        <f>MAX(AK136:AK146)</f>
        <v>189007.22643325911</v>
      </c>
      <c r="AL148" s="224"/>
      <c r="AM148" s="224"/>
      <c r="AN148" s="224"/>
      <c r="AO148" s="231"/>
      <c r="AP148" s="230"/>
      <c r="AQ148"/>
      <c r="AR148"/>
      <c r="AS148"/>
      <c r="AT148"/>
      <c r="AU148"/>
      <c r="AV148"/>
      <c r="AW148"/>
    </row>
    <row r="149" spans="14:49" x14ac:dyDescent="0.3">
      <c r="N149"/>
      <c r="O149"/>
      <c r="P149"/>
      <c r="Q149"/>
      <c r="R149"/>
      <c r="S149"/>
      <c r="T149"/>
      <c r="U149"/>
      <c r="V149"/>
      <c r="W149"/>
      <c r="X149"/>
      <c r="Y149" s="224"/>
      <c r="Z149" s="224"/>
      <c r="AA149" s="224"/>
      <c r="AB149" s="224"/>
      <c r="AC149" s="224"/>
      <c r="AD149" s="224"/>
      <c r="AE149" s="224"/>
      <c r="AF149" s="224"/>
      <c r="AG149" s="232"/>
      <c r="AH149" s="224"/>
      <c r="AI149" s="231"/>
      <c r="AJ149" s="231" t="s">
        <v>293</v>
      </c>
      <c r="AK149" s="230">
        <f>_xlfn.XLOOKUP(1,$AG$136:$AG$146,AK136:AK146)</f>
        <v>186063.06191909651</v>
      </c>
      <c r="AL149" s="224"/>
      <c r="AM149" s="224"/>
      <c r="AN149" s="224"/>
      <c r="AO149" s="231"/>
      <c r="AP149" s="230"/>
      <c r="AQ149"/>
      <c r="AR149"/>
      <c r="AS149"/>
      <c r="AT149"/>
      <c r="AU149"/>
      <c r="AV149"/>
      <c r="AW149"/>
    </row>
    <row r="150" spans="14:49" x14ac:dyDescent="0.3">
      <c r="N150"/>
      <c r="O150"/>
      <c r="P150"/>
      <c r="Q150"/>
      <c r="R150"/>
      <c r="S150"/>
      <c r="T150"/>
      <c r="U150"/>
      <c r="V150"/>
      <c r="W150"/>
      <c r="X150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6"/>
      <c r="AJ150" s="226" t="s">
        <v>292</v>
      </c>
      <c r="AK150" s="225">
        <f>0.5*SUM(AK148:AK149)</f>
        <v>187535.1441761778</v>
      </c>
      <c r="AL150" s="224"/>
      <c r="AM150" s="224"/>
      <c r="AN150" s="224"/>
      <c r="AO150" s="226"/>
      <c r="AP150" s="225"/>
      <c r="AQ150"/>
      <c r="AR150"/>
      <c r="AS150"/>
      <c r="AT150"/>
      <c r="AU150"/>
      <c r="AV150"/>
      <c r="AW150"/>
    </row>
    <row r="151" spans="14:49" x14ac:dyDescent="0.3"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 s="224"/>
      <c r="AI151"/>
      <c r="AJ151"/>
      <c r="AK151" s="224"/>
      <c r="AL151" s="224"/>
      <c r="AM151" s="224"/>
      <c r="AN151" s="224"/>
      <c r="AO151" s="224"/>
      <c r="AP151"/>
      <c r="AQ151"/>
      <c r="AR151"/>
      <c r="AS151"/>
      <c r="AT151"/>
      <c r="AU151"/>
      <c r="AV151"/>
      <c r="AW151"/>
    </row>
    <row r="152" spans="14:49" x14ac:dyDescent="0.3"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 s="224"/>
      <c r="AI152" s="231"/>
      <c r="AJ152" s="231" t="s">
        <v>291</v>
      </c>
      <c r="AK152" s="230">
        <f>0.5*AK150</f>
        <v>93767.572088088898</v>
      </c>
      <c r="AL152" s="224"/>
      <c r="AM152" s="224"/>
      <c r="AN152" s="224"/>
      <c r="AO152" s="231"/>
      <c r="AP152" s="230"/>
      <c r="AQ152"/>
      <c r="AR152"/>
      <c r="AS152"/>
      <c r="AT152"/>
      <c r="AU152"/>
      <c r="AV152"/>
      <c r="AW152"/>
    </row>
    <row r="153" spans="14:49" x14ac:dyDescent="0.3"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 s="224"/>
      <c r="AI153" s="226"/>
      <c r="AJ153" s="226" t="s">
        <v>290</v>
      </c>
      <c r="AK153" s="227">
        <f>MAX($E$14-AK152,0)</f>
        <v>6232.4279119111015</v>
      </c>
      <c r="AL153" s="224"/>
      <c r="AM153" s="224"/>
      <c r="AN153" s="224"/>
      <c r="AO153" s="226"/>
      <c r="AP153" s="227"/>
      <c r="AQ153"/>
      <c r="AR153"/>
      <c r="AS153"/>
      <c r="AT153"/>
      <c r="AU153"/>
      <c r="AV153"/>
      <c r="AW153"/>
    </row>
    <row r="154" spans="14:49" x14ac:dyDescent="0.3">
      <c r="N154"/>
      <c r="O154"/>
      <c r="P154"/>
      <c r="Q154"/>
      <c r="R154"/>
      <c r="S154"/>
      <c r="T15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6"/>
      <c r="AJ154" s="229" t="s">
        <v>289</v>
      </c>
      <c r="AK154" s="228">
        <f>AK150+AK153</f>
        <v>193767.5720880889</v>
      </c>
      <c r="AL154" s="224"/>
      <c r="AM154" s="224"/>
      <c r="AN154" s="224"/>
      <c r="AO154" s="227"/>
      <c r="AP154" s="227"/>
      <c r="AQ154"/>
      <c r="AS154"/>
      <c r="AT154"/>
      <c r="AU154"/>
      <c r="AV154"/>
      <c r="AW154"/>
    </row>
    <row r="155" spans="14:49" x14ac:dyDescent="0.3">
      <c r="N155"/>
      <c r="O155"/>
      <c r="P155"/>
      <c r="Q155"/>
      <c r="R155"/>
      <c r="S155"/>
      <c r="T155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6"/>
      <c r="AI155" s="226"/>
      <c r="AJ155" s="226"/>
      <c r="AK155" s="225"/>
      <c r="AL155" s="224"/>
      <c r="AM155" s="224"/>
      <c r="AN155" s="224"/>
      <c r="AO155" s="226"/>
      <c r="AP155" s="225"/>
      <c r="AQ155"/>
      <c r="AR155"/>
      <c r="AS155"/>
      <c r="AT155"/>
      <c r="AU155"/>
      <c r="AV155"/>
      <c r="AW155"/>
    </row>
    <row r="156" spans="14:49" x14ac:dyDescent="0.3">
      <c r="AL156" s="224"/>
      <c r="AM156" s="224"/>
      <c r="AN156" s="224"/>
    </row>
    <row r="157" spans="14:49" x14ac:dyDescent="0.3">
      <c r="AL157" s="224"/>
      <c r="AM157" s="224"/>
      <c r="AN157" s="224"/>
    </row>
    <row r="158" spans="14:49" x14ac:dyDescent="0.3">
      <c r="AL158" s="224"/>
      <c r="AM158" s="224"/>
      <c r="AN158" s="224"/>
    </row>
  </sheetData>
  <mergeCells count="10">
    <mergeCell ref="AA114:AE114"/>
    <mergeCell ref="AG114:AK114"/>
    <mergeCell ref="AL114:AP114"/>
    <mergeCell ref="C78:I79"/>
    <mergeCell ref="C84:I85"/>
    <mergeCell ref="D41:H41"/>
    <mergeCell ref="C91:I92"/>
    <mergeCell ref="AA66:AE66"/>
    <mergeCell ref="AG66:AK66"/>
    <mergeCell ref="AL66:AP66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ab0bdf5-00c2-4aa6-932a-42ae8d464587}" enabled="1" method="Standard" siteId="{022f3b02-6070-4e91-a96f-2206ab7ebb0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Question 2</vt:lpstr>
      <vt:lpstr>Liability Calculation</vt:lpstr>
      <vt:lpstr>Question 4</vt:lpstr>
    </vt:vector>
  </TitlesOfParts>
  <Manager/>
  <Company>OMERS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Dulceak</dc:creator>
  <cp:keywords/>
  <dc:description/>
  <cp:lastModifiedBy>Mark Dulceak</cp:lastModifiedBy>
  <cp:revision/>
  <dcterms:created xsi:type="dcterms:W3CDTF">2023-04-17T01:41:53Z</dcterms:created>
  <dcterms:modified xsi:type="dcterms:W3CDTF">2024-08-02T14:35:45Z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dc3257f-7003-41f4-b780-9a3afb3190ad_Enabled">
    <vt:lpwstr>true</vt:lpwstr>
  </property>
  <property fmtid="{D5CDD505-2E9C-101B-9397-08002B2CF9AE}" pid="3" name="MSIP_Label_5dc3257f-7003-41f4-b780-9a3afb3190ad_SetDate">
    <vt:lpwstr>2023-05-12T14:03:41Z</vt:lpwstr>
  </property>
  <property fmtid="{D5CDD505-2E9C-101B-9397-08002B2CF9AE}" pid="4" name="MSIP_Label_5dc3257f-7003-41f4-b780-9a3afb3190ad_Method">
    <vt:lpwstr>Privileged</vt:lpwstr>
  </property>
  <property fmtid="{D5CDD505-2E9C-101B-9397-08002B2CF9AE}" pid="5" name="MSIP_Label_5dc3257f-7003-41f4-b780-9a3afb3190ad_Name">
    <vt:lpwstr>GWL - Internal</vt:lpwstr>
  </property>
  <property fmtid="{D5CDD505-2E9C-101B-9397-08002B2CF9AE}" pid="6" name="MSIP_Label_5dc3257f-7003-41f4-b780-9a3afb3190ad_SiteId">
    <vt:lpwstr>eaa6cb52-58d7-45cd-8bd6-b1d2a8e61312</vt:lpwstr>
  </property>
  <property fmtid="{D5CDD505-2E9C-101B-9397-08002B2CF9AE}" pid="7" name="MSIP_Label_5dc3257f-7003-41f4-b780-9a3afb3190ad_ActionId">
    <vt:lpwstr>2b07750b-bef0-47c5-a1a0-7f265b716920</vt:lpwstr>
  </property>
  <property fmtid="{D5CDD505-2E9C-101B-9397-08002B2CF9AE}" pid="8" name="MSIP_Label_5dc3257f-7003-41f4-b780-9a3afb3190ad_ContentBits">
    <vt:lpwstr>0</vt:lpwstr>
  </property>
  <property fmtid="{D5CDD505-2E9C-101B-9397-08002B2CF9AE}" pid="9" name="MSIP_Label_9043f10a-881e-4653-a55e-02ca2cc829dc_Enabled">
    <vt:lpwstr>true</vt:lpwstr>
  </property>
  <property fmtid="{D5CDD505-2E9C-101B-9397-08002B2CF9AE}" pid="10" name="MSIP_Label_9043f10a-881e-4653-a55e-02ca2cc829dc_SetDate">
    <vt:lpwstr>2024-01-15T01:40:36Z</vt:lpwstr>
  </property>
  <property fmtid="{D5CDD505-2E9C-101B-9397-08002B2CF9AE}" pid="11" name="MSIP_Label_9043f10a-881e-4653-a55e-02ca2cc829dc_Method">
    <vt:lpwstr>Standard</vt:lpwstr>
  </property>
  <property fmtid="{D5CDD505-2E9C-101B-9397-08002B2CF9AE}" pid="12" name="MSIP_Label_9043f10a-881e-4653-a55e-02ca2cc829dc_Name">
    <vt:lpwstr>ADC_class_200</vt:lpwstr>
  </property>
  <property fmtid="{D5CDD505-2E9C-101B-9397-08002B2CF9AE}" pid="13" name="MSIP_Label_9043f10a-881e-4653-a55e-02ca2cc829dc_SiteId">
    <vt:lpwstr>94cfddbc-0627-494a-ad7a-29aea3aea832</vt:lpwstr>
  </property>
  <property fmtid="{D5CDD505-2E9C-101B-9397-08002B2CF9AE}" pid="14" name="MSIP_Label_9043f10a-881e-4653-a55e-02ca2cc829dc_ActionId">
    <vt:lpwstr>3d8e44f7-4e15-4abc-86b3-438ed2707d2f</vt:lpwstr>
  </property>
  <property fmtid="{D5CDD505-2E9C-101B-9397-08002B2CF9AE}" pid="15" name="MSIP_Label_9043f10a-881e-4653-a55e-02ca2cc829dc_ContentBits">
    <vt:lpwstr>0</vt:lpwstr>
  </property>
  <property fmtid="{D5CDD505-2E9C-101B-9397-08002B2CF9AE}" pid="16" name="MSIP_Label_d347b247-e90e-43a3-9d7b-004f14ae6873_Enabled">
    <vt:lpwstr>true</vt:lpwstr>
  </property>
  <property fmtid="{D5CDD505-2E9C-101B-9397-08002B2CF9AE}" pid="17" name="MSIP_Label_d347b247-e90e-43a3-9d7b-004f14ae6873_SetDate">
    <vt:lpwstr>2024-07-31T13:35:36Z</vt:lpwstr>
  </property>
  <property fmtid="{D5CDD505-2E9C-101B-9397-08002B2CF9AE}" pid="18" name="MSIP_Label_d347b247-e90e-43a3-9d7b-004f14ae6873_Method">
    <vt:lpwstr>Standard</vt:lpwstr>
  </property>
  <property fmtid="{D5CDD505-2E9C-101B-9397-08002B2CF9AE}" pid="19" name="MSIP_Label_d347b247-e90e-43a3-9d7b-004f14ae6873_Name">
    <vt:lpwstr>d347b247-e90e-43a3-9d7b-004f14ae6873</vt:lpwstr>
  </property>
  <property fmtid="{D5CDD505-2E9C-101B-9397-08002B2CF9AE}" pid="20" name="MSIP_Label_d347b247-e90e-43a3-9d7b-004f14ae6873_SiteId">
    <vt:lpwstr>76e3921f-489b-4b7e-9547-9ea297add9b5</vt:lpwstr>
  </property>
  <property fmtid="{D5CDD505-2E9C-101B-9397-08002B2CF9AE}" pid="21" name="MSIP_Label_d347b247-e90e-43a3-9d7b-004f14ae6873_ActionId">
    <vt:lpwstr>ee45a10d-ea90-4d41-b00b-1f057209d422</vt:lpwstr>
  </property>
  <property fmtid="{D5CDD505-2E9C-101B-9397-08002B2CF9AE}" pid="22" name="MSIP_Label_d347b247-e90e-43a3-9d7b-004f14ae6873_ContentBits">
    <vt:lpwstr>0</vt:lpwstr>
  </property>
</Properties>
</file>