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Q:\Aleshia\Spring 2024 solutions\"/>
    </mc:Choice>
  </mc:AlternateContent>
  <xr:revisionPtr revIDLastSave="0" documentId="8_{AFE6E4FC-6488-47BE-AD28-68B2F34718CD}" xr6:coauthVersionLast="47" xr6:coauthVersionMax="47" xr10:uidLastSave="{00000000-0000-0000-0000-000000000000}"/>
  <bookViews>
    <workbookView xWindow="1920" yWindow="2160" windowWidth="21600" windowHeight="11325" activeTab="3" xr2:uid="{00000000-000D-0000-FFFF-FFFF00000000}"/>
  </bookViews>
  <sheets>
    <sheet name="Question 4" sheetId="13" r:id="rId1"/>
    <sheet name="Question 5" sheetId="8" r:id="rId2"/>
    <sheet name="Question 8" sheetId="11" r:id="rId3"/>
    <sheet name="Question 10" sheetId="12" r:id="rId4"/>
  </sheets>
  <definedNames>
    <definedName name="OLE_LINK1" localSheetId="2">'Question 8'!$B$28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6" i="13" l="1"/>
  <c r="K13" i="13"/>
  <c r="N13" i="13" s="1"/>
  <c r="N12" i="13"/>
  <c r="O12" i="13" s="1"/>
  <c r="O13" i="13" s="1"/>
  <c r="M12" i="13"/>
  <c r="P12" i="13" s="1"/>
  <c r="J13" i="13" s="1"/>
  <c r="K12" i="13"/>
  <c r="J12" i="13"/>
  <c r="K52" i="11"/>
  <c r="J52" i="11"/>
  <c r="K51" i="11"/>
  <c r="M13" i="13" l="1"/>
  <c r="P13" i="13" s="1"/>
  <c r="K15" i="13" s="1"/>
  <c r="K17" i="13" s="1"/>
  <c r="K19" i="13" s="1"/>
  <c r="I12" i="12"/>
  <c r="J12" i="12" s="1"/>
  <c r="K12" i="12" s="1"/>
  <c r="L12" i="12" s="1"/>
  <c r="M12" i="12" s="1"/>
  <c r="N12" i="12" s="1"/>
  <c r="H14" i="12"/>
  <c r="H32" i="12" s="1"/>
  <c r="H18" i="12"/>
  <c r="G33" i="12"/>
  <c r="G34" i="12"/>
  <c r="G35" i="12" s="1"/>
  <c r="G36" i="12" s="1"/>
  <c r="G37" i="12" s="1"/>
  <c r="G38" i="12" s="1"/>
  <c r="J16" i="11"/>
  <c r="J19" i="11" s="1"/>
  <c r="J17" i="11"/>
  <c r="J18" i="11"/>
  <c r="J25" i="11"/>
  <c r="J26" i="11"/>
  <c r="J51" i="11" s="1"/>
  <c r="J27" i="11"/>
  <c r="J28" i="11"/>
  <c r="J53" i="11" s="1"/>
  <c r="J32" i="11"/>
  <c r="J35" i="11" s="1"/>
  <c r="J33" i="11"/>
  <c r="J34" i="11"/>
  <c r="J37" i="11"/>
  <c r="J40" i="11"/>
  <c r="J41" i="11"/>
  <c r="J42" i="11"/>
  <c r="J43" i="11"/>
  <c r="AA90" i="8"/>
  <c r="AA88" i="8"/>
  <c r="AA84" i="8"/>
  <c r="AA83" i="8"/>
  <c r="AA82" i="8"/>
  <c r="AA85" i="8" s="1"/>
  <c r="AA74" i="8"/>
  <c r="AA89" i="8" s="1"/>
  <c r="AA73" i="8"/>
  <c r="AA67" i="8"/>
  <c r="AA68" i="8" s="1"/>
  <c r="AA70" i="8" s="1"/>
  <c r="AA66" i="8"/>
  <c r="AA63" i="8"/>
  <c r="AA62" i="8"/>
  <c r="AA61" i="8"/>
  <c r="AA60" i="8"/>
  <c r="AA64" i="8" s="1"/>
  <c r="AA65" i="8" s="1"/>
  <c r="AA55" i="8"/>
  <c r="AA52" i="8"/>
  <c r="AA51" i="8"/>
  <c r="AA50" i="8"/>
  <c r="AA49" i="8"/>
  <c r="AA53" i="8" s="1"/>
  <c r="AA54" i="8" s="1"/>
  <c r="AA44" i="8"/>
  <c r="AA43" i="8"/>
  <c r="AA42" i="8"/>
  <c r="AA41" i="8"/>
  <c r="AA40" i="8"/>
  <c r="AA35" i="8"/>
  <c r="AA26" i="8"/>
  <c r="AA30" i="8" s="1"/>
  <c r="AA25" i="8"/>
  <c r="AA56" i="8" s="1"/>
  <c r="AA57" i="8" s="1"/>
  <c r="AA19" i="8"/>
  <c r="AA18" i="8"/>
  <c r="S31" i="8"/>
  <c r="S30" i="8"/>
  <c r="S33" i="8" s="1"/>
  <c r="S27" i="8"/>
  <c r="S35" i="8" s="1"/>
  <c r="S36" i="8" s="1"/>
  <c r="S26" i="8"/>
  <c r="S25" i="8"/>
  <c r="S24" i="8"/>
  <c r="S23" i="8"/>
  <c r="S20" i="8"/>
  <c r="S19" i="8"/>
  <c r="S18" i="8"/>
  <c r="S17" i="8"/>
  <c r="S16" i="8"/>
  <c r="S15" i="8"/>
  <c r="K48" i="8"/>
  <c r="K47" i="8"/>
  <c r="K42" i="8"/>
  <c r="K41" i="8"/>
  <c r="K43" i="8" s="1"/>
  <c r="K44" i="8" s="1"/>
  <c r="K18" i="8" s="1"/>
  <c r="K38" i="8"/>
  <c r="K34" i="8"/>
  <c r="K33" i="8"/>
  <c r="K32" i="8"/>
  <c r="K29" i="8"/>
  <c r="K26" i="8"/>
  <c r="K24" i="8"/>
  <c r="K23" i="8"/>
  <c r="K25" i="8" s="1"/>
  <c r="K19" i="8"/>
  <c r="K15" i="8"/>
  <c r="J32" i="12" l="1"/>
  <c r="K32" i="12"/>
  <c r="I14" i="12"/>
  <c r="J20" i="11"/>
  <c r="K53" i="11"/>
  <c r="J36" i="11"/>
  <c r="J38" i="11" s="1"/>
  <c r="AA76" i="8"/>
  <c r="AA92" i="8"/>
  <c r="AA75" i="8"/>
  <c r="AA91" i="8"/>
  <c r="AA27" i="8"/>
  <c r="K16" i="8"/>
  <c r="K27" i="8"/>
  <c r="K28" i="8" s="1"/>
  <c r="K35" i="8"/>
  <c r="K17" i="8" s="1"/>
  <c r="H33" i="12" l="1"/>
  <c r="J14" i="12"/>
  <c r="L32" i="12"/>
  <c r="M32" i="12"/>
  <c r="I33" i="12" s="1"/>
  <c r="J21" i="11"/>
  <c r="J44" i="11" s="1"/>
  <c r="J45" i="11" s="1"/>
  <c r="J22" i="11"/>
  <c r="AA77" i="8"/>
  <c r="AA36" i="8"/>
  <c r="AA31" i="8"/>
  <c r="AA32" i="8" s="1"/>
  <c r="AA37" i="8" s="1"/>
  <c r="AA93" i="8"/>
  <c r="K20" i="8"/>
  <c r="K36" i="8"/>
  <c r="K37" i="8" s="1"/>
  <c r="H34" i="12" l="1"/>
  <c r="K14" i="12"/>
  <c r="J33" i="12"/>
  <c r="L33" i="12" s="1"/>
  <c r="K33" i="12"/>
  <c r="J46" i="11"/>
  <c r="J47" i="11" s="1"/>
  <c r="J48" i="11" s="1"/>
  <c r="J54" i="11" s="1"/>
  <c r="AA78" i="8"/>
  <c r="AA79" i="8" s="1"/>
  <c r="AA97" i="8" s="1"/>
  <c r="AA45" i="8"/>
  <c r="AA46" i="8" s="1"/>
  <c r="AA94" i="8"/>
  <c r="AA95" i="8" s="1"/>
  <c r="L14" i="12" l="1"/>
  <c r="H35" i="12"/>
  <c r="J34" i="12"/>
  <c r="K34" i="12"/>
  <c r="M33" i="12"/>
  <c r="I34" i="12" s="1"/>
  <c r="J55" i="11"/>
  <c r="K55" i="11"/>
  <c r="AA98" i="8"/>
  <c r="L34" i="12" l="1"/>
  <c r="M34" i="12"/>
  <c r="I35" i="12" s="1"/>
  <c r="J35" i="12"/>
  <c r="K35" i="12"/>
  <c r="H36" i="12"/>
  <c r="M14" i="12"/>
  <c r="N14" i="12" l="1"/>
  <c r="H37" i="12"/>
  <c r="J36" i="12"/>
  <c r="K36" i="12"/>
  <c r="L35" i="12"/>
  <c r="M35" i="12"/>
  <c r="I36" i="12" s="1"/>
  <c r="H25" i="12"/>
  <c r="L36" i="12" l="1"/>
  <c r="M36" i="12"/>
  <c r="I37" i="12" s="1"/>
  <c r="J37" i="12"/>
  <c r="K37" i="12"/>
  <c r="H38" i="12"/>
  <c r="H17" i="12"/>
  <c r="H19" i="12" s="1"/>
  <c r="H20" i="12" s="1"/>
  <c r="H22" i="12" s="1"/>
  <c r="K38" i="12" l="1"/>
  <c r="J38" i="12"/>
  <c r="L37" i="12"/>
  <c r="M37" i="12" s="1"/>
  <c r="I38" i="12" s="1"/>
  <c r="L38" i="12" l="1"/>
  <c r="M38" i="12"/>
  <c r="M40" i="12" s="1"/>
  <c r="M41" i="12" s="1"/>
</calcChain>
</file>

<file path=xl/sharedStrings.xml><?xml version="1.0" encoding="utf-8"?>
<sst xmlns="http://schemas.openxmlformats.org/spreadsheetml/2006/main" count="347" uniqueCount="244">
  <si>
    <t>Design and Accounting Exam – U.S.</t>
  </si>
  <si>
    <t>Excerpt from question:</t>
  </si>
  <si>
    <t>Question 4</t>
  </si>
  <si>
    <t>Exam RETDAU:  Spring 2024</t>
  </si>
  <si>
    <t>Part (c)</t>
  </si>
  <si>
    <t xml:space="preserve">You are given the following information about the participant:  </t>
  </si>
  <si>
    <t>Current Cash Balance Account</t>
  </si>
  <si>
    <t>Sum of Cash Balance Credits</t>
  </si>
  <si>
    <t>Next Year Salary</t>
  </si>
  <si>
    <t>Final Year Salary Increase</t>
  </si>
  <si>
    <t>Cash Balance Pay Credit</t>
  </si>
  <si>
    <t>Annuity Conversion Factor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</si>
  <si>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Pay credits are made at the end of the year. 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</si>
  <si>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The plan uses actual return on plan assets to calculate interest credits each year.  </t>
    </r>
  </si>
  <si>
    <t xml:space="preserve">(c)  </t>
  </si>
  <si>
    <r>
      <t>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 xml:space="preserve">)  Calculate the replacement ratio assuming an asset return of -15% in year 1 and 4% in year 2.  </t>
    </r>
  </si>
  <si>
    <t>Provide answer here for part (c).  Show and label all work.</t>
  </si>
  <si>
    <t>Question 10</t>
  </si>
  <si>
    <r>
      <t>(2</t>
    </r>
    <r>
      <rPr>
        <i/>
        <sz val="12"/>
        <color theme="1"/>
        <rFont val="Times New Roman"/>
        <family val="1"/>
      </rPr>
      <t xml:space="preserve"> points</t>
    </r>
    <r>
      <rPr>
        <sz val="12"/>
        <color theme="1"/>
        <rFont val="Times New Roman"/>
        <family val="1"/>
      </rPr>
      <t>)  Calculate the required employer contribution rate under the Defined Contribution Plan to provide the member with the same replacement ratio as a percentage of 3-year average earnings under the Defined Benefit plan.</t>
    </r>
  </si>
  <si>
    <t>You are provided with the following information:</t>
  </si>
  <si>
    <t>Show all work.</t>
  </si>
  <si>
    <t>Member Information</t>
  </si>
  <si>
    <t>Current age</t>
  </si>
  <si>
    <t>Age at retirement</t>
  </si>
  <si>
    <t>Service at retirement</t>
  </si>
  <si>
    <t>Pensionable earnings at age 55</t>
  </si>
  <si>
    <t>Annual salary increase</t>
  </si>
  <si>
    <t>Defined Benefit Plan</t>
  </si>
  <si>
    <t>Annual lifetime pension</t>
  </si>
  <si>
    <t>0.75% of final 3-year average earnings multiplied by years of service</t>
  </si>
  <si>
    <t>Early retirement reduction</t>
  </si>
  <si>
    <t>0.25% per month prior to age 65</t>
  </si>
  <si>
    <t>Defined Contribution Plan</t>
  </si>
  <si>
    <t>Employee contributions</t>
  </si>
  <si>
    <t>3.00% of pensionable earnings</t>
  </si>
  <si>
    <t>Assumed annual rate of return</t>
  </si>
  <si>
    <t>Timing of contributions</t>
  </si>
  <si>
    <t>Mid-year</t>
  </si>
  <si>
    <t>Annuity factor at age 62</t>
  </si>
  <si>
    <t>Exam RETDAU: Spring 2024</t>
  </si>
  <si>
    <t>Question 5</t>
  </si>
  <si>
    <t>Provide answer here for part (a).  Show and label all work.</t>
  </si>
  <si>
    <t>Provide answer here for part (b).  Show and label all work.</t>
  </si>
  <si>
    <t xml:space="preserve">Company ABC sponsors a defined benefit pension plan and reports under U.S. Accounting Standard ASC 715 (ASC 715). </t>
  </si>
  <si>
    <t>(a)</t>
  </si>
  <si>
    <r>
      <rPr>
        <i/>
        <sz val="12"/>
        <color theme="1"/>
        <rFont val="Times New Roman"/>
        <family val="1"/>
      </rPr>
      <t>(3 points)</t>
    </r>
    <r>
      <rPr>
        <sz val="12"/>
        <color theme="1"/>
        <rFont val="Times New Roman"/>
        <family val="1"/>
      </rPr>
      <t xml:space="preserve"> Calculate the 2024 Net Periodic Pension Cost under ASC 715.</t>
    </r>
  </si>
  <si>
    <t>(b)</t>
  </si>
  <si>
    <r>
      <rPr>
        <i/>
        <sz val="12"/>
        <color theme="1"/>
        <rFont val="Times New Roman"/>
        <family val="1"/>
      </rPr>
      <t>(2 points)</t>
    </r>
    <r>
      <rPr>
        <sz val="12"/>
        <color theme="1"/>
        <rFont val="Times New Roman"/>
        <family val="1"/>
      </rPr>
      <t xml:space="preserve"> Calculate Accumulated Other Comprehensive Income as of December 31, 2024.</t>
    </r>
  </si>
  <si>
    <t>(c)</t>
  </si>
  <si>
    <r>
      <rPr>
        <i/>
        <sz val="12"/>
        <color theme="1"/>
        <rFont val="Times New Roman"/>
        <family val="1"/>
      </rPr>
      <t>(3 points)</t>
    </r>
    <r>
      <rPr>
        <sz val="12"/>
        <color theme="1"/>
        <rFont val="Times New Roman"/>
        <family val="1"/>
      </rPr>
      <t xml:space="preserve"> Calculate the following:</t>
    </r>
  </si>
  <si>
    <t>The plan was improved for active members effective January 1, 2024.</t>
  </si>
  <si>
    <t xml:space="preserve">     (i)     Revised 2024 Net Periodic Pension Cost</t>
  </si>
  <si>
    <t xml:space="preserve">     (ii)    Funded status at December 31, 2024</t>
  </si>
  <si>
    <t>As of January 1, 2024</t>
  </si>
  <si>
    <t>As of December 31, 2024</t>
  </si>
  <si>
    <t>Discount Rate</t>
  </si>
  <si>
    <t>Expected Return on Assets</t>
  </si>
  <si>
    <t>Projected Benefit Obligation</t>
  </si>
  <si>
    <t>Market Value of Assets</t>
  </si>
  <si>
    <t>2024 Service Cost (before interest)</t>
  </si>
  <si>
    <t>2024 Expected Benefit Payments</t>
  </si>
  <si>
    <t>2024 Expected Contributions</t>
  </si>
  <si>
    <t>Timing of Benefit Payments and Contributions</t>
  </si>
  <si>
    <t>Mid-Year</t>
  </si>
  <si>
    <t>Unrecognized (Gain)/Loss</t>
  </si>
  <si>
    <t>Unrecognized Prior Service Cost/(Credit)</t>
  </si>
  <si>
    <t>Amortization Method</t>
  </si>
  <si>
    <t>10% corridor</t>
  </si>
  <si>
    <t>Average Future Working Lifetime</t>
  </si>
  <si>
    <t>Average Inactive Life Expectancy</t>
  </si>
  <si>
    <t>The Prior Service Cost was established effective January 1, 2024.</t>
  </si>
  <si>
    <t>Company ABC offers a lump sum window to retirees with all payments made on December 31, 2024.</t>
  </si>
  <si>
    <t>You are given the following additional information:</t>
  </si>
  <si>
    <t>Value of Lump Sum Payments</t>
  </si>
  <si>
    <t>Reduction in Projected Benefit Obligation</t>
  </si>
  <si>
    <t xml:space="preserve">Company XYZ sponsors a cash balance plan.  </t>
  </si>
  <si>
    <t xml:space="preserve">A participant will be retiring as part of a voluntary separation program in 2 years.  </t>
  </si>
  <si>
    <t>Question 8</t>
  </si>
  <si>
    <r>
      <t>(i)</t>
    </r>
    <r>
      <rPr>
        <sz val="7"/>
        <color theme="1"/>
        <rFont val="Times New Roman"/>
        <family val="1"/>
      </rPr>
      <t xml:space="preserve">             </t>
    </r>
    <r>
      <rPr>
        <sz val="12"/>
        <color theme="1"/>
        <rFont val="Times New Roman"/>
        <family val="1"/>
      </rPr>
      <t>2024 Defined Benefit Cost under IAS 19</t>
    </r>
  </si>
  <si>
    <r>
      <t>(ii)</t>
    </r>
    <r>
      <rPr>
        <sz val="7"/>
        <color theme="1"/>
        <rFont val="Times New Roman"/>
        <family val="1"/>
      </rPr>
      <t xml:space="preserve">           </t>
    </r>
    <r>
      <rPr>
        <sz val="12"/>
        <color theme="1"/>
        <rFont val="Times New Roman"/>
        <family val="1"/>
      </rPr>
      <t>2024 Net Periodic Pension Cost (NPPC) under ASC 715</t>
    </r>
  </si>
  <si>
    <r>
      <t>(</t>
    </r>
    <r>
      <rPr>
        <i/>
        <sz val="12"/>
        <color theme="1"/>
        <rFont val="Times New Roman"/>
        <family val="1"/>
      </rPr>
      <t>7 points</t>
    </r>
    <r>
      <rPr>
        <sz val="12"/>
        <color theme="1"/>
        <rFont val="Times New Roman"/>
        <family val="1"/>
      </rPr>
      <t>)  Calculate the following:</t>
    </r>
  </si>
  <si>
    <t>You are provided with the following related to the most recent valuation of the pension plan for Company ABC at January 1, 2023:</t>
  </si>
  <si>
    <t>Discount rate</t>
  </si>
  <si>
    <t xml:space="preserve">Expected return on assets for ASC 715 </t>
  </si>
  <si>
    <t xml:space="preserve">Salary increase assumption </t>
  </si>
  <si>
    <t xml:space="preserve">Liability Duration </t>
  </si>
  <si>
    <t>Service Cost Duration</t>
  </si>
  <si>
    <t xml:space="preserve">Projected/Defined Benefit Obligations </t>
  </si>
  <si>
    <t>2023 Service Cost (before interest)</t>
  </si>
  <si>
    <t>2023 Expected Benefit Payments</t>
  </si>
  <si>
    <t>2023 Expected Contributions</t>
  </si>
  <si>
    <t xml:space="preserve">Unrecognized (Gain)/Loss under ASC 715 </t>
  </si>
  <si>
    <t>Company ABC: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</si>
  <si>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reports under both International Accounting Standard IAS 19, Rev. 2011 (IAS 19) and U.S. Accounting Standard ASC 715 (ASC 715)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</si>
  <si>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uses a projection of the most recently completed valuation results for financial reporting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</si>
  <si>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ASC 715 amortization method: 10% corridor; amortized over average future working lifetime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</si>
  <si>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Market-related Value of Assets equals Fair Market Value of Assets under ASC 715</t>
    </r>
  </si>
  <si>
    <t>Assume benefit payments and contributions are paid midway through the year and increase each year by the salary increase assumption.</t>
  </si>
  <si>
    <t>The following are the assumptions in effect for the plan under IAS 19 and ASC 715 at January 1, 2024:</t>
  </si>
  <si>
    <t>Expected Return on Assets for ASC 715</t>
  </si>
  <si>
    <t>2024 Net Periodic Benefit Cost</t>
  </si>
  <si>
    <t>Service cost</t>
  </si>
  <si>
    <t>Interest Cost</t>
  </si>
  <si>
    <t xml:space="preserve">Expected Return on Assets </t>
  </si>
  <si>
    <t>Amortization of (Gain)/Loss</t>
  </si>
  <si>
    <t>Amortization of Prior Service Cost/(Credit)</t>
  </si>
  <si>
    <t>2024 Defined Benefit Cost</t>
  </si>
  <si>
    <t>Change in PBO</t>
  </si>
  <si>
    <t>PBO at January 1, 2024</t>
  </si>
  <si>
    <t>Interest expense</t>
  </si>
  <si>
    <t>Benefit payments</t>
  </si>
  <si>
    <t>Expected PBO at December 31, 2024</t>
  </si>
  <si>
    <t>(Gains)/Losses due to discount rate change</t>
  </si>
  <si>
    <t>PBO at December 31, 2024</t>
  </si>
  <si>
    <t>Change in Assets</t>
  </si>
  <si>
    <t>MVA at January 1, 2024</t>
  </si>
  <si>
    <t>Contributions</t>
  </si>
  <si>
    <t>EROA</t>
  </si>
  <si>
    <t>Expected MVA at December 31, 2024</t>
  </si>
  <si>
    <t>Gains/(Losses) on MVA</t>
  </si>
  <si>
    <t>MVA at December 31, 2024</t>
  </si>
  <si>
    <t>Amortization of Unrecognized (Gains)/Losses</t>
  </si>
  <si>
    <t>Unrecognized (Gains)/Losses in AOCI at January 1, 2024</t>
  </si>
  <si>
    <t>Amount outside corridor</t>
  </si>
  <si>
    <t>Amortization amount</t>
  </si>
  <si>
    <t>Amortization of Prior Service Costs (Credits)</t>
  </si>
  <si>
    <t>Unrecognized (Credits)/Costs in AOCI at Jan. 1, 2024</t>
  </si>
  <si>
    <t>AOCI as of December 31, 2024</t>
  </si>
  <si>
    <t>AOCI at Jan. 1, 2024 - unrecognized gains/(losses)</t>
  </si>
  <si>
    <t>Amortization of unrecognized losses/(gains)</t>
  </si>
  <si>
    <t>Amortization of prior service cost/(credit)</t>
  </si>
  <si>
    <t>Gain/(Loss) on PBO</t>
  </si>
  <si>
    <t>Gain/(Loss) on MVA</t>
  </si>
  <si>
    <t>AOCI at Dec. 31, 2024 - unrecognized gains/(losses)</t>
  </si>
  <si>
    <t>Unrecognized (Gains)/Losses</t>
  </si>
  <si>
    <t>at Jan. 1, 2024</t>
  </si>
  <si>
    <t>in-year amortization</t>
  </si>
  <si>
    <t>(gain)/loss on PBO</t>
  </si>
  <si>
    <t>(gain)/loss on MVA</t>
  </si>
  <si>
    <t>at Dec. 31, 2024</t>
  </si>
  <si>
    <t>Unrecognized Prior Service Cost (Credit)</t>
  </si>
  <si>
    <t>New PSC</t>
  </si>
  <si>
    <t>AOCI at Dec. 31, 2024 - Check</t>
  </si>
  <si>
    <t>Check:</t>
  </si>
  <si>
    <t>Under ASC 715, lump sums are considered a settlement</t>
  </si>
  <si>
    <t>Immediate recognition is only required if the cost of the settlement during the fiscal year exceeds the sum of SC + IC</t>
  </si>
  <si>
    <t>Check for settlement</t>
  </si>
  <si>
    <t>SC + IC</t>
  </si>
  <si>
    <t>Lump Sums</t>
  </si>
  <si>
    <t>Lump sums &gt; SC + IC, therefore settlement under ASC 715</t>
  </si>
  <si>
    <t>Settlement date is treated as an interim measurement date</t>
  </si>
  <si>
    <t>(Gain) / Loss due to Settlement</t>
  </si>
  <si>
    <t>Decrease in PBO</t>
  </si>
  <si>
    <t>Cost of Settlement</t>
  </si>
  <si>
    <t>% of PBO settled</t>
  </si>
  <si>
    <t>Cost of settlement</t>
  </si>
  <si>
    <t>PBO before settlement</t>
  </si>
  <si>
    <t>% reduction in PBO</t>
  </si>
  <si>
    <t>Amounts immediately recognized in pension cost due to settlement</t>
  </si>
  <si>
    <t>Net (gain)/loss remaining in AOCI before settlement</t>
  </si>
  <si>
    <t>(gain) loss due to settlement</t>
  </si>
  <si>
    <t>(gain) loss recognized due to settlement</t>
  </si>
  <si>
    <t>Settlement (Gain)/Loss</t>
  </si>
  <si>
    <t>Expected PBO at December 31, 2024 before settlement</t>
  </si>
  <si>
    <t>PBO at December 31, 2024 before settlement</t>
  </si>
  <si>
    <t>Reduction in PBO due to settlement</t>
  </si>
  <si>
    <t>PBO at December 31, 2024 after settlement</t>
  </si>
  <si>
    <t>MVA at December 31, 2024 before settlement</t>
  </si>
  <si>
    <t>Reduction in assets due to settlement</t>
  </si>
  <si>
    <t>MVA at December 31, 2024 after settlement</t>
  </si>
  <si>
    <t>Funded status Dec. 31, 2024</t>
  </si>
  <si>
    <t>(gain)/loss due to settlement</t>
  </si>
  <si>
    <t>recognized due to settlement</t>
  </si>
  <si>
    <t>AOCI at Jan. 1, 2024</t>
  </si>
  <si>
    <t>gain/(loss) due to settlement</t>
  </si>
  <si>
    <t>AOCI at Dec. 31, 2024</t>
  </si>
  <si>
    <t xml:space="preserve">     (iii)   Accumulated Other Comprehensive Income at December 31, 2024</t>
  </si>
  <si>
    <t>DB Cost / NPPC</t>
  </si>
  <si>
    <t>N/A</t>
  </si>
  <si>
    <t>Amort</t>
  </si>
  <si>
    <t>IC on Assets</t>
  </si>
  <si>
    <t>IC on Liab</t>
  </si>
  <si>
    <t>SC</t>
  </si>
  <si>
    <t>IAS 19</t>
  </si>
  <si>
    <t>ASC 715</t>
  </si>
  <si>
    <t>Amortization 2024</t>
  </si>
  <si>
    <t>G/L outside corridor</t>
  </si>
  <si>
    <t>10% corridor 2024</t>
  </si>
  <si>
    <t>Total Unamort at Jan 1, 2024</t>
  </si>
  <si>
    <t>Additional (g)/l in 2023</t>
  </si>
  <si>
    <t>Amortization 2023</t>
  </si>
  <si>
    <t>10% corridor 2023</t>
  </si>
  <si>
    <t>Unamort at Jan 1, 2023</t>
  </si>
  <si>
    <t>Gain/(Loss) on assets 2023</t>
  </si>
  <si>
    <t>MVA Jan 1, 2024 (actual)</t>
  </si>
  <si>
    <t>MVA Jan 1, 2024 (expected)</t>
  </si>
  <si>
    <t>BP</t>
  </si>
  <si>
    <t>MVA Jan 1, 2023</t>
  </si>
  <si>
    <t>Assets Roll Forward</t>
  </si>
  <si>
    <t>Amort 2024</t>
  </si>
  <si>
    <t>Contribution 2024</t>
  </si>
  <si>
    <t>BP 2024</t>
  </si>
  <si>
    <t>SC 2024 (4.3%)</t>
  </si>
  <si>
    <t>SC 2024 (6%)</t>
  </si>
  <si>
    <t>Projected 2024</t>
  </si>
  <si>
    <t>DBO Jan 1, 2024 (4.3%)</t>
  </si>
  <si>
    <t>DR change</t>
  </si>
  <si>
    <t>DBO Jan 1, 2024 (6%)</t>
  </si>
  <si>
    <t>IC</t>
  </si>
  <si>
    <t>DBO Jan 1, 2023</t>
  </si>
  <si>
    <t>2023 Obligations Roll Forward</t>
  </si>
  <si>
    <t>Replacement ratio</t>
  </si>
  <si>
    <t>Annual Pension provided by Account Balance</t>
  </si>
  <si>
    <t>EOY Balance</t>
  </si>
  <si>
    <t>Return</t>
  </si>
  <si>
    <t>Employer Contribution</t>
  </si>
  <si>
    <t>Employee Contribution</t>
  </si>
  <si>
    <t>BOY Balance</t>
  </si>
  <si>
    <t>Earnings</t>
  </si>
  <si>
    <t>Year</t>
  </si>
  <si>
    <t>= BOY balance + EE &amp; ER contributions + return</t>
  </si>
  <si>
    <t>= BOY balance x Return + (EE Cont.+ER Cont) x Return/2</t>
  </si>
  <si>
    <t>= ER Cont % x Pen. Earnings</t>
  </si>
  <si>
    <t>= EE Cont % x Pen. Earnings</t>
  </si>
  <si>
    <t>to be 4.78%, same as under DB (cell H22)</t>
  </si>
  <si>
    <t xml:space="preserve">Using Goal Seek by setting replacement ratio under DC plan (cell M41) </t>
  </si>
  <si>
    <t>Employer Contribution Rate</t>
  </si>
  <si>
    <t>Final 3-year average earnings</t>
  </si>
  <si>
    <t>(i) Defined Contribution Plan</t>
  </si>
  <si>
    <t>Replacement Ratio</t>
  </si>
  <si>
    <t>Annual Pension at Retirement (age 62)</t>
  </si>
  <si>
    <t>Pension accrual</t>
  </si>
  <si>
    <t>Reduction at age 62</t>
  </si>
  <si>
    <t>(i) Defined Benefit Plan</t>
  </si>
  <si>
    <t>Pensionable Earnings</t>
  </si>
  <si>
    <t>Age</t>
  </si>
  <si>
    <t>Salary</t>
  </si>
  <si>
    <t>Return Rate</t>
  </si>
  <si>
    <t>Inv Credit</t>
  </si>
  <si>
    <t>Pay Credit</t>
  </si>
  <si>
    <t>Final CB amount</t>
  </si>
  <si>
    <t>Compare balance to sum of cash balance credits at retirement</t>
  </si>
  <si>
    <t>Annuity factor</t>
  </si>
  <si>
    <t>Annuity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</si>
</sst>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  <numFmt numFmtId="167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sz val="12"/>
      <name val="Times New Roman"/>
      <family val="1"/>
    </font>
    <font>
      <b/>
      <u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 applyProtection="1">
      <protection locked="0"/>
    </xf>
    <xf numFmtId="0" fontId="2" fillId="3" borderId="0" xfId="0" applyFont="1" applyFill="1"/>
    <xf numFmtId="0" fontId="1" fillId="3" borderId="0" xfId="0" applyFont="1" applyFill="1"/>
    <xf numFmtId="0" fontId="4" fillId="3" borderId="0" xfId="0" applyFont="1" applyFill="1"/>
    <xf numFmtId="0" fontId="3" fillId="3" borderId="0" xfId="0" applyFont="1" applyFill="1"/>
    <xf numFmtId="0" fontId="1" fillId="2" borderId="0" xfId="0" applyFont="1" applyFill="1" applyProtection="1">
      <protection locked="0"/>
    </xf>
    <xf numFmtId="0" fontId="1" fillId="3" borderId="0" xfId="0" applyFont="1" applyFill="1" applyAlignment="1">
      <alignment horizontal="left" indent="3"/>
    </xf>
    <xf numFmtId="0" fontId="1" fillId="3" borderId="0" xfId="0" applyFont="1" applyFill="1" applyAlignment="1">
      <alignment horizontal="left" vertical="center" indent="10"/>
    </xf>
    <xf numFmtId="0" fontId="1" fillId="3" borderId="0" xfId="0" applyFont="1" applyFill="1" applyAlignment="1">
      <alignment vertical="center" wrapText="1"/>
    </xf>
    <xf numFmtId="164" fontId="1" fillId="3" borderId="0" xfId="0" applyNumberFormat="1" applyFont="1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2" borderId="0" xfId="0" applyFont="1" applyFill="1"/>
    <xf numFmtId="0" fontId="1" fillId="3" borderId="5" xfId="0" applyFont="1" applyFill="1" applyBorder="1" applyAlignment="1">
      <alignment vertical="center" wrapText="1"/>
    </xf>
    <xf numFmtId="0" fontId="1" fillId="0" borderId="0" xfId="0" applyFont="1"/>
    <xf numFmtId="0" fontId="1" fillId="3" borderId="0" xfId="0" applyFont="1" applyFill="1" applyAlignment="1">
      <alignment horizontal="right"/>
    </xf>
    <xf numFmtId="0" fontId="2" fillId="3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1" fillId="3" borderId="5" xfId="0" applyFont="1" applyFill="1" applyBorder="1"/>
    <xf numFmtId="6" fontId="1" fillId="3" borderId="5" xfId="0" applyNumberFormat="1" applyFont="1" applyFill="1" applyBorder="1" applyAlignment="1">
      <alignment horizontal="right"/>
    </xf>
    <xf numFmtId="10" fontId="1" fillId="3" borderId="5" xfId="0" applyNumberFormat="1" applyFont="1" applyFill="1" applyBorder="1" applyAlignment="1">
      <alignment horizontal="right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2" borderId="0" xfId="0" applyFont="1" applyFill="1" applyProtection="1">
      <protection locked="0"/>
    </xf>
    <xf numFmtId="0" fontId="8" fillId="0" borderId="0" xfId="0" applyFont="1"/>
    <xf numFmtId="0" fontId="8" fillId="0" borderId="0" xfId="1" applyNumberFormat="1" applyFont="1" applyFill="1" applyBorder="1" applyProtection="1">
      <protection locked="0"/>
    </xf>
    <xf numFmtId="0" fontId="1" fillId="3" borderId="5" xfId="0" applyFont="1" applyFill="1" applyBorder="1" applyAlignment="1">
      <alignment horizontal="right"/>
    </xf>
    <xf numFmtId="166" fontId="1" fillId="3" borderId="5" xfId="1" applyNumberFormat="1" applyFont="1" applyFill="1" applyBorder="1" applyAlignment="1">
      <alignment horizontal="right"/>
    </xf>
    <xf numFmtId="0" fontId="1" fillId="3" borderId="0" xfId="0" applyFont="1" applyFill="1" applyAlignment="1">
      <alignment horizontal="left"/>
    </xf>
    <xf numFmtId="9" fontId="1" fillId="3" borderId="0" xfId="0" applyNumberFormat="1" applyFont="1" applyFill="1" applyAlignment="1">
      <alignment horizontal="right"/>
    </xf>
    <xf numFmtId="6" fontId="1" fillId="3" borderId="0" xfId="0" applyNumberFormat="1" applyFont="1" applyFill="1" applyAlignment="1">
      <alignment horizontal="right"/>
    </xf>
    <xf numFmtId="0" fontId="8" fillId="0" borderId="0" xfId="2" applyNumberFormat="1" applyFont="1" applyFill="1" applyBorder="1" applyProtection="1">
      <protection locked="0"/>
    </xf>
    <xf numFmtId="0" fontId="2" fillId="0" borderId="0" xfId="0" applyFont="1" applyProtection="1">
      <protection locked="0"/>
    </xf>
    <xf numFmtId="0" fontId="1" fillId="0" borderId="0" xfId="1" applyNumberFormat="1" applyFont="1" applyFill="1" applyBorder="1" applyProtection="1">
      <protection locked="0"/>
    </xf>
    <xf numFmtId="0" fontId="10" fillId="0" borderId="0" xfId="1" applyNumberFormat="1" applyFont="1" applyFill="1" applyBorder="1" applyProtection="1">
      <protection locked="0"/>
    </xf>
    <xf numFmtId="0" fontId="11" fillId="0" borderId="0" xfId="0" applyFont="1" applyProtection="1">
      <protection locked="0"/>
    </xf>
    <xf numFmtId="10" fontId="1" fillId="3" borderId="0" xfId="0" applyNumberFormat="1" applyFont="1" applyFill="1" applyAlignment="1">
      <alignment horizontal="right"/>
    </xf>
    <xf numFmtId="10" fontId="1" fillId="3" borderId="5" xfId="0" applyNumberFormat="1" applyFont="1" applyFill="1" applyBorder="1" applyAlignment="1">
      <alignment vertical="center" wrapText="1"/>
    </xf>
    <xf numFmtId="6" fontId="1" fillId="3" borderId="5" xfId="0" applyNumberFormat="1" applyFont="1" applyFill="1" applyBorder="1" applyAlignment="1">
      <alignment vertical="center" wrapText="1"/>
    </xf>
    <xf numFmtId="0" fontId="5" fillId="3" borderId="0" xfId="0" applyFont="1" applyFill="1" applyAlignment="1">
      <alignment horizontal="left" vertical="center" indent="2"/>
    </xf>
    <xf numFmtId="10" fontId="1" fillId="3" borderId="0" xfId="0" applyNumberFormat="1" applyFont="1" applyFill="1" applyAlignment="1">
      <alignment vertical="center" wrapText="1"/>
    </xf>
    <xf numFmtId="6" fontId="1" fillId="3" borderId="0" xfId="0" applyNumberFormat="1" applyFont="1" applyFill="1" applyAlignment="1">
      <alignment vertical="center" wrapText="1"/>
    </xf>
    <xf numFmtId="0" fontId="1" fillId="3" borderId="0" xfId="0" applyFont="1" applyFill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vertical="top"/>
      <protection locked="0"/>
    </xf>
    <xf numFmtId="0" fontId="1" fillId="3" borderId="0" xfId="0" applyFont="1" applyFill="1" applyAlignment="1" applyProtection="1">
      <alignment horizontal="left" indent="3"/>
      <protection locked="0"/>
    </xf>
    <xf numFmtId="10" fontId="1" fillId="3" borderId="0" xfId="0" applyNumberFormat="1" applyFont="1" applyFill="1" applyProtection="1"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indent="3"/>
      <protection locked="0"/>
    </xf>
    <xf numFmtId="10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9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/>
      <protection locked="0"/>
    </xf>
    <xf numFmtId="166" fontId="1" fillId="0" borderId="0" xfId="1" applyNumberFormat="1" applyFont="1" applyFill="1" applyBorder="1" applyProtection="1">
      <protection locked="0"/>
    </xf>
    <xf numFmtId="0" fontId="10" fillId="0" borderId="0" xfId="0" applyFont="1" applyProtection="1">
      <protection locked="0"/>
    </xf>
    <xf numFmtId="166" fontId="1" fillId="0" borderId="0" xfId="0" applyNumberFormat="1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left" vertical="top"/>
      <protection locked="0"/>
    </xf>
    <xf numFmtId="9" fontId="1" fillId="3" borderId="0" xfId="0" applyNumberFormat="1" applyFont="1" applyFill="1" applyProtection="1">
      <protection locked="0"/>
    </xf>
    <xf numFmtId="0" fontId="1" fillId="3" borderId="5" xfId="0" applyFont="1" applyFill="1" applyBorder="1" applyAlignment="1">
      <alignment horizontal="left" vertical="center" wrapText="1"/>
    </xf>
    <xf numFmtId="6" fontId="1" fillId="3" borderId="5" xfId="0" applyNumberFormat="1" applyFont="1" applyFill="1" applyBorder="1" applyAlignment="1">
      <alignment horizontal="left" vertical="center" wrapText="1"/>
    </xf>
    <xf numFmtId="165" fontId="1" fillId="3" borderId="5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10" fontId="1" fillId="3" borderId="5" xfId="0" applyNumberFormat="1" applyFont="1" applyFill="1" applyBorder="1" applyAlignment="1">
      <alignment horizontal="left" vertical="center" wrapText="1"/>
    </xf>
    <xf numFmtId="0" fontId="0" fillId="3" borderId="0" xfId="0" applyFill="1"/>
    <xf numFmtId="0" fontId="1" fillId="3" borderId="0" xfId="0" applyFont="1" applyFill="1" applyAlignment="1">
      <alignment horizontal="left" vertical="center" indent="4"/>
    </xf>
    <xf numFmtId="0" fontId="1" fillId="3" borderId="1" xfId="0" applyFont="1" applyFill="1" applyBorder="1" applyAlignment="1">
      <alignment vertical="center" wrapText="1"/>
    </xf>
    <xf numFmtId="6" fontId="1" fillId="3" borderId="2" xfId="0" applyNumberFormat="1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vertical="center" wrapText="1"/>
    </xf>
    <xf numFmtId="6" fontId="1" fillId="3" borderId="4" xfId="0" applyNumberFormat="1" applyFont="1" applyFill="1" applyBorder="1" applyAlignment="1">
      <alignment horizontal="right" vertical="center" wrapText="1"/>
    </xf>
    <xf numFmtId="9" fontId="1" fillId="3" borderId="4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/>
    </xf>
    <xf numFmtId="0" fontId="13" fillId="0" borderId="0" xfId="0" applyFont="1" applyProtection="1">
      <protection locked="0"/>
    </xf>
    <xf numFmtId="166" fontId="8" fillId="0" borderId="0" xfId="1" applyNumberFormat="1" applyFont="1" applyFill="1" applyBorder="1" applyProtection="1">
      <protection locked="0"/>
    </xf>
    <xf numFmtId="0" fontId="8" fillId="0" borderId="8" xfId="0" applyFont="1" applyBorder="1" applyProtection="1">
      <protection locked="0"/>
    </xf>
    <xf numFmtId="0" fontId="1" fillId="0" borderId="8" xfId="0" applyFont="1" applyBorder="1" applyProtection="1">
      <protection locked="0"/>
    </xf>
    <xf numFmtId="166" fontId="8" fillId="0" borderId="8" xfId="1" applyNumberFormat="1" applyFont="1" applyFill="1" applyBorder="1" applyProtection="1">
      <protection locked="0"/>
    </xf>
    <xf numFmtId="0" fontId="13" fillId="4" borderId="0" xfId="0" applyFont="1" applyFill="1" applyProtection="1">
      <protection locked="0"/>
    </xf>
    <xf numFmtId="166" fontId="13" fillId="4" borderId="0" xfId="0" applyNumberFormat="1" applyFont="1" applyFill="1" applyProtection="1">
      <protection locked="0"/>
    </xf>
    <xf numFmtId="0" fontId="8" fillId="0" borderId="8" xfId="1" applyNumberFormat="1" applyFont="1" applyFill="1" applyBorder="1" applyProtection="1">
      <protection locked="0"/>
    </xf>
    <xf numFmtId="0" fontId="13" fillId="4" borderId="0" xfId="1" applyNumberFormat="1" applyFont="1" applyFill="1" applyBorder="1" applyProtection="1">
      <protection locked="0"/>
    </xf>
    <xf numFmtId="166" fontId="13" fillId="4" borderId="0" xfId="1" applyNumberFormat="1" applyFont="1" applyFill="1" applyBorder="1" applyProtection="1">
      <protection locked="0"/>
    </xf>
    <xf numFmtId="0" fontId="11" fillId="0" borderId="0" xfId="1" applyNumberFormat="1" applyFont="1" applyFill="1" applyBorder="1" applyProtection="1">
      <protection locked="0"/>
    </xf>
    <xf numFmtId="166" fontId="11" fillId="0" borderId="0" xfId="1" applyNumberFormat="1" applyFont="1" applyFill="1" applyBorder="1" applyProtection="1">
      <protection locked="0"/>
    </xf>
    <xf numFmtId="166" fontId="8" fillId="0" borderId="0" xfId="0" applyNumberFormat="1" applyFont="1" applyProtection="1">
      <protection locked="0"/>
    </xf>
    <xf numFmtId="9" fontId="8" fillId="0" borderId="0" xfId="2" applyFont="1" applyProtection="1">
      <protection locked="0"/>
    </xf>
    <xf numFmtId="166" fontId="8" fillId="0" borderId="8" xfId="0" applyNumberFormat="1" applyFont="1" applyBorder="1" applyProtection="1">
      <protection locked="0"/>
    </xf>
    <xf numFmtId="0" fontId="2" fillId="4" borderId="0" xfId="0" applyFont="1" applyFill="1" applyProtection="1">
      <protection locked="0"/>
    </xf>
    <xf numFmtId="166" fontId="2" fillId="4" borderId="0" xfId="0" applyNumberFormat="1" applyFont="1" applyFill="1" applyProtection="1">
      <protection locked="0"/>
    </xf>
    <xf numFmtId="166" fontId="1" fillId="0" borderId="8" xfId="0" applyNumberFormat="1" applyFont="1" applyBorder="1" applyProtection="1">
      <protection locked="0"/>
    </xf>
    <xf numFmtId="6" fontId="8" fillId="0" borderId="0" xfId="0" applyNumberFormat="1" applyFont="1" applyProtection="1">
      <protection locked="0"/>
    </xf>
    <xf numFmtId="166" fontId="2" fillId="0" borderId="0" xfId="0" applyNumberFormat="1" applyFont="1" applyProtection="1">
      <protection locked="0"/>
    </xf>
    <xf numFmtId="0" fontId="1" fillId="0" borderId="8" xfId="0" applyFont="1" applyBorder="1" applyAlignment="1" applyProtection="1">
      <alignment horizontal="right"/>
      <protection locked="0"/>
    </xf>
    <xf numFmtId="166" fontId="1" fillId="0" borderId="0" xfId="0" quotePrefix="1" applyNumberFormat="1" applyFont="1" applyProtection="1">
      <protection locked="0"/>
    </xf>
    <xf numFmtId="166" fontId="1" fillId="0" borderId="0" xfId="1" applyNumberFormat="1" applyFont="1" applyBorder="1" applyProtection="1">
      <protection locked="0"/>
    </xf>
    <xf numFmtId="0" fontId="14" fillId="5" borderId="0" xfId="0" applyFont="1" applyFill="1" applyAlignment="1" applyProtection="1">
      <alignment horizontal="center"/>
      <protection locked="0"/>
    </xf>
    <xf numFmtId="166" fontId="1" fillId="0" borderId="0" xfId="1" applyNumberFormat="1" applyFont="1" applyProtection="1">
      <protection locked="0"/>
    </xf>
    <xf numFmtId="6" fontId="1" fillId="0" borderId="0" xfId="0" applyNumberFormat="1" applyFont="1" applyProtection="1">
      <protection locked="0"/>
    </xf>
    <xf numFmtId="166" fontId="1" fillId="0" borderId="8" xfId="1" applyNumberFormat="1" applyFont="1" applyBorder="1" applyProtection="1">
      <protection locked="0"/>
    </xf>
    <xf numFmtId="0" fontId="14" fillId="0" borderId="0" xfId="0" applyFont="1" applyProtection="1">
      <protection locked="0"/>
    </xf>
    <xf numFmtId="0" fontId="1" fillId="3" borderId="0" xfId="0" applyFont="1" applyFill="1" applyAlignment="1">
      <alignment horizontal="left" vertical="center"/>
    </xf>
    <xf numFmtId="0" fontId="11" fillId="0" borderId="0" xfId="0" applyFont="1" applyAlignment="1" applyProtection="1">
      <alignment horizontal="right"/>
      <protection locked="0"/>
    </xf>
    <xf numFmtId="10" fontId="1" fillId="0" borderId="0" xfId="2" applyNumberFormat="1" applyFont="1" applyFill="1" applyProtection="1">
      <protection locked="0"/>
    </xf>
    <xf numFmtId="44" fontId="1" fillId="0" borderId="0" xfId="3" applyFont="1" applyFill="1" applyProtection="1">
      <protection locked="0"/>
    </xf>
    <xf numFmtId="6" fontId="1" fillId="0" borderId="0" xfId="3" applyNumberFormat="1" applyFont="1" applyFill="1" applyProtection="1">
      <protection locked="0"/>
    </xf>
    <xf numFmtId="167" fontId="1" fillId="0" borderId="0" xfId="0" applyNumberFormat="1" applyFont="1" applyProtection="1">
      <protection locked="0"/>
    </xf>
    <xf numFmtId="44" fontId="1" fillId="0" borderId="0" xfId="0" applyNumberFormat="1" applyFont="1" applyProtection="1">
      <protection locked="0"/>
    </xf>
    <xf numFmtId="167" fontId="1" fillId="0" borderId="0" xfId="3" applyNumberFormat="1" applyFont="1" applyFill="1" applyProtection="1">
      <protection locked="0"/>
    </xf>
    <xf numFmtId="0" fontId="1" fillId="0" borderId="0" xfId="0" quotePrefix="1" applyFont="1" applyAlignment="1" applyProtection="1">
      <alignment wrapText="1"/>
      <protection locked="0"/>
    </xf>
    <xf numFmtId="10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vertical="top" wrapText="1"/>
      <protection locked="0"/>
    </xf>
    <xf numFmtId="6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 applyProtection="1">
      <alignment horizontal="center"/>
      <protection locked="0"/>
    </xf>
    <xf numFmtId="9" fontId="1" fillId="0" borderId="0" xfId="0" applyNumberFormat="1" applyFont="1" applyAlignment="1" applyProtection="1">
      <alignment horizontal="center" vertical="top" wrapText="1"/>
      <protection locked="0"/>
    </xf>
    <xf numFmtId="165" fontId="1" fillId="0" borderId="0" xfId="2" applyNumberFormat="1" applyFont="1" applyProtection="1"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0" fillId="0" borderId="0" xfId="0" applyAlignment="1" applyProtection="1">
      <alignment wrapText="1"/>
      <protection locked="0"/>
    </xf>
    <xf numFmtId="0" fontId="1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</cellXfs>
  <cellStyles count="4">
    <cellStyle name="Comma" xfId="1" builtinId="3"/>
    <cellStyle name="Currency 2" xfId="3" xr:uid="{2567DB78-97C4-4664-AC74-31D9EC863859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83DC0-AAF9-48FE-A45A-297224A1234B}">
  <dimension ref="A1:V22"/>
  <sheetViews>
    <sheetView zoomScale="77" zoomScaleNormal="100" workbookViewId="0">
      <selection activeCell="K19" sqref="K19"/>
    </sheetView>
  </sheetViews>
  <sheetFormatPr defaultColWidth="9.28515625" defaultRowHeight="15.75" x14ac:dyDescent="0.25"/>
  <cols>
    <col min="1" max="1" width="3.7109375" style="3" customWidth="1"/>
    <col min="2" max="2" width="33.5703125" style="3" customWidth="1"/>
    <col min="3" max="6" width="11.85546875" style="3" customWidth="1"/>
    <col min="7" max="7" width="1" style="6" customWidth="1"/>
    <col min="8" max="8" width="4" style="1" customWidth="1"/>
    <col min="9" max="9" width="9.28515625" style="1"/>
    <col min="10" max="10" width="17.42578125" style="1" customWidth="1"/>
    <col min="11" max="11" width="11.42578125" style="1" bestFit="1" customWidth="1"/>
    <col min="12" max="12" width="9.28515625" style="1"/>
    <col min="13" max="13" width="10.5703125" style="1" customWidth="1"/>
    <col min="14" max="14" width="11.28515625" style="1" customWidth="1"/>
    <col min="15" max="15" width="27.42578125" style="1" bestFit="1" customWidth="1"/>
    <col min="16" max="16" width="13" style="1" bestFit="1" customWidth="1"/>
    <col min="17" max="21" width="9.28515625" style="1"/>
    <col min="22" max="22" width="1" style="6" customWidth="1"/>
    <col min="23" max="16384" width="9.28515625" style="1"/>
  </cols>
  <sheetData>
    <row r="1" spans="1:21" x14ac:dyDescent="0.25">
      <c r="A1" s="2" t="s">
        <v>3</v>
      </c>
      <c r="H1" s="16" t="s">
        <v>3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1" x14ac:dyDescent="0.25">
      <c r="A2" s="2" t="s">
        <v>0</v>
      </c>
      <c r="H2" s="16" t="s">
        <v>0</v>
      </c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x14ac:dyDescent="0.25">
      <c r="A3" s="2" t="s">
        <v>2</v>
      </c>
      <c r="H3" s="16" t="s">
        <v>2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x14ac:dyDescent="0.25"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x14ac:dyDescent="0.25">
      <c r="A5" s="4" t="s">
        <v>1</v>
      </c>
      <c r="H5" s="18" t="s">
        <v>16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 x14ac:dyDescent="0.25">
      <c r="A6" s="5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15.75" customHeight="1" x14ac:dyDescent="0.25">
      <c r="A7" s="5" t="s">
        <v>4</v>
      </c>
      <c r="H7" s="17" t="s">
        <v>14</v>
      </c>
      <c r="I7" s="43" t="s">
        <v>15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1" x14ac:dyDescent="0.25">
      <c r="H8" s="17"/>
      <c r="I8" s="45"/>
      <c r="J8" s="17"/>
      <c r="K8" s="17"/>
      <c r="L8" s="17"/>
      <c r="M8" s="17"/>
      <c r="N8" s="17"/>
      <c r="O8" s="17"/>
      <c r="P8" s="46"/>
      <c r="Q8" s="47"/>
      <c r="R8" s="47"/>
      <c r="S8" s="47"/>
      <c r="T8" s="47"/>
      <c r="U8" s="47"/>
    </row>
    <row r="9" spans="1:21" x14ac:dyDescent="0.25">
      <c r="B9" s="11" t="s">
        <v>75</v>
      </c>
      <c r="C9" s="65"/>
      <c r="D9" s="102"/>
      <c r="E9" s="102"/>
      <c r="I9" s="48"/>
      <c r="P9" s="49"/>
      <c r="Q9" s="50"/>
      <c r="R9" s="50"/>
      <c r="S9" s="50"/>
      <c r="T9" s="50"/>
      <c r="U9" s="50"/>
    </row>
    <row r="10" spans="1:21" x14ac:dyDescent="0.25">
      <c r="B10" s="11" t="s">
        <v>76</v>
      </c>
      <c r="C10" s="65"/>
      <c r="D10" s="8"/>
      <c r="E10" s="8"/>
      <c r="I10" s="48"/>
      <c r="P10" s="51"/>
      <c r="Q10" s="50"/>
      <c r="R10" s="50"/>
      <c r="S10" s="50"/>
      <c r="T10" s="50"/>
      <c r="U10" s="50"/>
    </row>
    <row r="11" spans="1:21" x14ac:dyDescent="0.25">
      <c r="B11" s="66"/>
      <c r="C11" s="65"/>
      <c r="D11" s="8"/>
      <c r="E11" s="8"/>
      <c r="I11" s="48" t="s">
        <v>219</v>
      </c>
      <c r="J11" s="1" t="s">
        <v>217</v>
      </c>
      <c r="K11" s="1" t="s">
        <v>236</v>
      </c>
      <c r="L11" s="1" t="s">
        <v>237</v>
      </c>
      <c r="M11" s="1" t="s">
        <v>238</v>
      </c>
      <c r="N11" s="1" t="s">
        <v>239</v>
      </c>
      <c r="O11" s="1" t="s">
        <v>7</v>
      </c>
      <c r="P11" s="51" t="s">
        <v>213</v>
      </c>
      <c r="Q11" s="50"/>
      <c r="R11" s="50"/>
      <c r="S11" s="50"/>
      <c r="T11" s="50"/>
      <c r="U11" s="50"/>
    </row>
    <row r="12" spans="1:21" x14ac:dyDescent="0.25">
      <c r="B12" s="11" t="s">
        <v>5</v>
      </c>
      <c r="C12" s="65"/>
      <c r="D12" s="9"/>
      <c r="E12" s="9"/>
      <c r="I12" s="48">
        <v>1</v>
      </c>
      <c r="J12" s="99">
        <f>C14</f>
        <v>150000</v>
      </c>
      <c r="K12" s="99">
        <f>C16</f>
        <v>75000</v>
      </c>
      <c r="L12" s="119">
        <v>-0.15</v>
      </c>
      <c r="M12" s="99">
        <f>J12*(L12)</f>
        <v>-22500</v>
      </c>
      <c r="N12" s="99">
        <f>K12*$C$18</f>
        <v>4500</v>
      </c>
      <c r="O12" s="99">
        <f>C15+N12</f>
        <v>139500</v>
      </c>
      <c r="P12" s="99">
        <f>J12+M12+N12</f>
        <v>132000</v>
      </c>
      <c r="Q12" s="50"/>
      <c r="R12" s="50"/>
      <c r="S12" s="50"/>
      <c r="T12" s="50"/>
      <c r="U12" s="50"/>
    </row>
    <row r="13" spans="1:21" ht="15.75" customHeight="1" thickBot="1" x14ac:dyDescent="0.3">
      <c r="B13" s="66"/>
      <c r="C13" s="65"/>
      <c r="D13" s="10"/>
      <c r="E13" s="10"/>
      <c r="I13" s="48">
        <v>2</v>
      </c>
      <c r="J13" s="99">
        <f>P12</f>
        <v>132000</v>
      </c>
      <c r="K13" s="99">
        <f>K12*(1+C17)</f>
        <v>78750</v>
      </c>
      <c r="L13" s="120">
        <v>0.04</v>
      </c>
      <c r="M13" s="99">
        <f>J13*(L13)</f>
        <v>5280</v>
      </c>
      <c r="N13" s="99">
        <f>K13*$C$18</f>
        <v>4725</v>
      </c>
      <c r="O13" s="99">
        <f>O12+N13</f>
        <v>144225</v>
      </c>
      <c r="P13" s="99">
        <f>J13+M13+N13</f>
        <v>142005</v>
      </c>
      <c r="Q13" s="52"/>
      <c r="R13" s="52"/>
      <c r="S13" s="52"/>
      <c r="T13" s="52"/>
      <c r="U13" s="52"/>
    </row>
    <row r="14" spans="1:21" ht="16.5" thickBot="1" x14ac:dyDescent="0.3">
      <c r="B14" s="67" t="s">
        <v>6</v>
      </c>
      <c r="C14" s="68">
        <v>150000</v>
      </c>
      <c r="D14" s="9"/>
      <c r="E14" s="9"/>
      <c r="I14" s="53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</row>
    <row r="15" spans="1:21" ht="16.5" thickBot="1" x14ac:dyDescent="0.3">
      <c r="B15" s="69" t="s">
        <v>7</v>
      </c>
      <c r="C15" s="70">
        <v>135000</v>
      </c>
      <c r="I15" s="48"/>
      <c r="J15" s="1" t="s">
        <v>240</v>
      </c>
      <c r="K15" s="99">
        <f>MAX(O13,P13)</f>
        <v>144225</v>
      </c>
      <c r="L15" s="1" t="s">
        <v>241</v>
      </c>
      <c r="P15" s="51"/>
      <c r="Q15" s="50"/>
      <c r="R15" s="50"/>
      <c r="S15" s="50"/>
      <c r="T15" s="50"/>
      <c r="U15" s="50"/>
    </row>
    <row r="16" spans="1:21" ht="16.5" thickBot="1" x14ac:dyDescent="0.3">
      <c r="B16" s="69" t="s">
        <v>8</v>
      </c>
      <c r="C16" s="70">
        <v>75000</v>
      </c>
      <c r="J16" s="1" t="s">
        <v>242</v>
      </c>
      <c r="K16" s="1">
        <f>C19</f>
        <v>10.5</v>
      </c>
    </row>
    <row r="17" spans="2:11" ht="16.5" thickBot="1" x14ac:dyDescent="0.3">
      <c r="B17" s="69" t="s">
        <v>9</v>
      </c>
      <c r="C17" s="71">
        <v>0.05</v>
      </c>
      <c r="J17" s="1" t="s">
        <v>243</v>
      </c>
      <c r="K17" s="99">
        <f>ROUND(K15/K16,0)</f>
        <v>13736</v>
      </c>
    </row>
    <row r="18" spans="2:11" ht="16.5" thickBot="1" x14ac:dyDescent="0.3">
      <c r="B18" s="69" t="s">
        <v>10</v>
      </c>
      <c r="C18" s="71">
        <v>0.06</v>
      </c>
    </row>
    <row r="19" spans="2:11" ht="16.5" thickBot="1" x14ac:dyDescent="0.3">
      <c r="B19" s="69" t="s">
        <v>11</v>
      </c>
      <c r="C19" s="72">
        <v>10.5</v>
      </c>
      <c r="I19" s="1" t="s">
        <v>229</v>
      </c>
      <c r="K19" s="121">
        <f>K17/K13</f>
        <v>0.17442539682539682</v>
      </c>
    </row>
    <row r="20" spans="2:11" x14ac:dyDescent="0.25">
      <c r="B20" s="66"/>
      <c r="C20" s="65"/>
      <c r="D20" s="7"/>
      <c r="E20" s="7"/>
    </row>
    <row r="21" spans="2:11" x14ac:dyDescent="0.25">
      <c r="B21" s="73" t="s">
        <v>12</v>
      </c>
      <c r="C21" s="65"/>
      <c r="D21" s="7"/>
      <c r="E21" s="7"/>
    </row>
    <row r="22" spans="2:11" x14ac:dyDescent="0.25">
      <c r="B22" s="73" t="s">
        <v>13</v>
      </c>
      <c r="C22" s="65"/>
    </row>
  </sheetData>
  <sheetProtection algorithmName="SHA-512" hashValue="Za8E47VFxxtKk4wg/v2ZUt3lkGaSesItW+vIbjeScWEAgFFlEOy2vHuckwr5ltCG2v67O52GVbliXodIMxokOg==" saltValue="/Rpo+FizFqceusnrgxqLCQ==" spinCount="100000" sheet="1" formatCells="0" formatColumns="0" formatRows="0" insertColumns="0" insertRows="0"/>
  <pageMargins left="0.7" right="0.7" top="0.75" bottom="0.75" header="0.3" footer="0.3"/>
  <pageSetup scale="84" orientation="portrait" horizontalDpi="4294967293" verticalDpi="300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FB25B-7864-45E1-9FA3-DDAED01992E1}">
  <dimension ref="A1:AG120"/>
  <sheetViews>
    <sheetView topLeftCell="S6" zoomScaleNormal="100" workbookViewId="0">
      <selection activeCell="AA34" sqref="AA34"/>
    </sheetView>
  </sheetViews>
  <sheetFormatPr defaultColWidth="9.140625" defaultRowHeight="15.75" x14ac:dyDescent="0.25"/>
  <cols>
    <col min="1" max="1" width="3.5703125" style="3" customWidth="1"/>
    <col min="2" max="2" width="42.42578125" style="3" customWidth="1"/>
    <col min="3" max="4" width="25.140625" style="15" customWidth="1"/>
    <col min="5" max="5" width="12.85546875" style="3" customWidth="1"/>
    <col min="6" max="6" width="1.7109375" style="12" customWidth="1"/>
    <col min="7" max="7" width="4.28515625" style="1" customWidth="1"/>
    <col min="8" max="12" width="18.7109375" style="1" customWidth="1"/>
    <col min="13" max="13" width="8.5703125" style="1" customWidth="1"/>
    <col min="14" max="14" width="1.5703125" style="6" customWidth="1"/>
    <col min="15" max="15" width="3.5703125" style="1" customWidth="1"/>
    <col min="16" max="19" width="18.7109375" style="1" customWidth="1"/>
    <col min="20" max="20" width="18.5703125" style="1" customWidth="1"/>
    <col min="21" max="21" width="8.5703125" style="1" customWidth="1"/>
    <col min="22" max="22" width="1.5703125" style="6" customWidth="1"/>
    <col min="23" max="23" width="3.5703125" style="1" customWidth="1"/>
    <col min="24" max="27" width="18.7109375" style="1" customWidth="1"/>
    <col min="28" max="28" width="18.5703125" style="1" customWidth="1"/>
    <col min="29" max="29" width="8.5703125" style="1" customWidth="1"/>
    <col min="30" max="30" width="1.5703125" style="6" customWidth="1"/>
    <col min="31" max="31" width="9.140625" style="1"/>
    <col min="32" max="16384" width="9.140625" style="14"/>
  </cols>
  <sheetData>
    <row r="1" spans="1:33" x14ac:dyDescent="0.25">
      <c r="A1" s="2" t="s">
        <v>39</v>
      </c>
      <c r="G1" s="16" t="s">
        <v>39</v>
      </c>
      <c r="H1" s="17"/>
      <c r="I1" s="17"/>
      <c r="J1" s="17"/>
      <c r="K1" s="17"/>
      <c r="L1" s="17"/>
      <c r="M1" s="17"/>
      <c r="O1" s="16" t="s">
        <v>39</v>
      </c>
      <c r="P1" s="17"/>
      <c r="Q1" s="17"/>
      <c r="R1" s="17"/>
      <c r="S1" s="17"/>
      <c r="T1" s="17"/>
      <c r="U1" s="17"/>
      <c r="W1" s="16" t="s">
        <v>39</v>
      </c>
      <c r="X1" s="17"/>
      <c r="Y1" s="17"/>
      <c r="Z1" s="17"/>
      <c r="AA1" s="17"/>
      <c r="AB1" s="17"/>
      <c r="AC1" s="17"/>
    </row>
    <row r="2" spans="1:33" x14ac:dyDescent="0.25">
      <c r="A2" s="2" t="s">
        <v>0</v>
      </c>
      <c r="G2" s="16" t="s">
        <v>0</v>
      </c>
      <c r="H2" s="17"/>
      <c r="I2" s="17"/>
      <c r="J2" s="17"/>
      <c r="K2" s="17"/>
      <c r="L2" s="17"/>
      <c r="M2" s="17"/>
      <c r="O2" s="16" t="s">
        <v>0</v>
      </c>
      <c r="P2" s="17"/>
      <c r="Q2" s="17"/>
      <c r="R2" s="17"/>
      <c r="S2" s="17"/>
      <c r="T2" s="17"/>
      <c r="U2" s="17"/>
      <c r="W2" s="16" t="s">
        <v>0</v>
      </c>
      <c r="X2" s="17"/>
      <c r="Y2" s="17"/>
      <c r="Z2" s="17"/>
      <c r="AA2" s="17"/>
      <c r="AB2" s="17"/>
      <c r="AC2" s="17"/>
    </row>
    <row r="3" spans="1:33" x14ac:dyDescent="0.25">
      <c r="A3" s="2" t="s">
        <v>40</v>
      </c>
      <c r="G3" s="16" t="s">
        <v>40</v>
      </c>
      <c r="H3" s="17"/>
      <c r="I3" s="17"/>
      <c r="J3" s="17"/>
      <c r="K3" s="17"/>
      <c r="L3" s="17"/>
      <c r="M3" s="17"/>
      <c r="O3" s="16" t="s">
        <v>40</v>
      </c>
      <c r="P3" s="17"/>
      <c r="Q3" s="17"/>
      <c r="R3" s="17"/>
      <c r="S3" s="17"/>
      <c r="T3" s="17"/>
      <c r="U3" s="17"/>
      <c r="W3" s="16" t="s">
        <v>40</v>
      </c>
      <c r="X3" s="17"/>
      <c r="Y3" s="17"/>
      <c r="Z3" s="17"/>
      <c r="AA3" s="17"/>
      <c r="AB3" s="17"/>
      <c r="AC3" s="17"/>
    </row>
    <row r="4" spans="1:33" x14ac:dyDescent="0.25">
      <c r="G4" s="17"/>
      <c r="H4" s="17"/>
      <c r="I4" s="17"/>
      <c r="J4" s="17"/>
      <c r="K4" s="17"/>
      <c r="L4" s="17"/>
      <c r="M4" s="17"/>
      <c r="O4" s="17"/>
      <c r="P4" s="17"/>
      <c r="Q4" s="17"/>
      <c r="R4" s="17"/>
      <c r="S4" s="17"/>
      <c r="T4" s="17"/>
      <c r="U4" s="17"/>
      <c r="W4" s="17"/>
      <c r="X4" s="17"/>
      <c r="Y4" s="17"/>
      <c r="Z4" s="17"/>
      <c r="AA4" s="17"/>
      <c r="AB4" s="17"/>
      <c r="AC4" s="17"/>
    </row>
    <row r="5" spans="1:33" x14ac:dyDescent="0.25">
      <c r="A5" s="4" t="s">
        <v>1</v>
      </c>
      <c r="G5" s="18" t="s">
        <v>41</v>
      </c>
      <c r="H5" s="17"/>
      <c r="I5" s="17"/>
      <c r="J5" s="17"/>
      <c r="K5" s="17"/>
      <c r="L5" s="17"/>
      <c r="M5" s="17"/>
      <c r="O5" s="18" t="s">
        <v>42</v>
      </c>
      <c r="P5" s="17"/>
      <c r="Q5" s="17"/>
      <c r="R5" s="17"/>
      <c r="S5" s="17"/>
      <c r="T5" s="17"/>
      <c r="U5" s="17"/>
      <c r="W5" s="18" t="s">
        <v>16</v>
      </c>
      <c r="X5" s="17"/>
      <c r="Y5" s="17"/>
      <c r="Z5" s="17"/>
      <c r="AA5" s="17"/>
      <c r="AB5" s="17"/>
      <c r="AC5" s="17"/>
    </row>
    <row r="6" spans="1:33" x14ac:dyDescent="0.25">
      <c r="G6" s="17"/>
      <c r="H6" s="17"/>
      <c r="I6" s="17"/>
      <c r="J6" s="17"/>
      <c r="K6" s="17"/>
      <c r="L6" s="17"/>
      <c r="M6" s="17"/>
      <c r="O6" s="17"/>
      <c r="P6" s="17"/>
      <c r="Q6" s="17"/>
      <c r="R6" s="17"/>
      <c r="S6" s="17"/>
      <c r="T6" s="17"/>
      <c r="U6" s="17"/>
      <c r="W6" s="17"/>
      <c r="X6" s="17"/>
      <c r="Y6" s="17"/>
      <c r="Z6" s="17"/>
      <c r="AA6" s="17"/>
      <c r="AB6" s="17"/>
      <c r="AC6" s="17"/>
    </row>
    <row r="7" spans="1:33" x14ac:dyDescent="0.25">
      <c r="B7" s="3" t="s">
        <v>43</v>
      </c>
      <c r="G7" s="17" t="s">
        <v>44</v>
      </c>
      <c r="H7" s="17" t="s">
        <v>45</v>
      </c>
      <c r="I7" s="17"/>
      <c r="J7" s="17"/>
      <c r="K7" s="17"/>
      <c r="L7" s="17"/>
      <c r="M7" s="17"/>
      <c r="O7" s="17" t="s">
        <v>46</v>
      </c>
      <c r="P7" s="17" t="s">
        <v>47</v>
      </c>
      <c r="Q7" s="17"/>
      <c r="R7" s="17"/>
      <c r="S7" s="17"/>
      <c r="T7" s="17"/>
      <c r="U7" s="17"/>
      <c r="W7" s="17" t="s">
        <v>48</v>
      </c>
      <c r="X7" s="17" t="s">
        <v>49</v>
      </c>
      <c r="Y7" s="17"/>
      <c r="Z7" s="17"/>
      <c r="AA7" s="17"/>
      <c r="AB7" s="17"/>
      <c r="AC7" s="17"/>
    </row>
    <row r="8" spans="1:33" x14ac:dyDescent="0.25">
      <c r="B8" s="3" t="s">
        <v>50</v>
      </c>
      <c r="G8" s="17"/>
      <c r="H8" s="17"/>
      <c r="I8" s="17"/>
      <c r="J8" s="17"/>
      <c r="K8" s="17"/>
      <c r="L8" s="17"/>
      <c r="M8" s="17"/>
      <c r="O8" s="17"/>
      <c r="P8" s="17"/>
      <c r="Q8" s="17"/>
      <c r="R8" s="17"/>
      <c r="S8" s="17"/>
      <c r="T8" s="17"/>
      <c r="U8" s="17"/>
      <c r="W8" s="17"/>
      <c r="X8" s="17" t="s">
        <v>51</v>
      </c>
      <c r="Y8" s="17"/>
      <c r="Z8" s="17"/>
      <c r="AA8" s="17"/>
      <c r="AB8" s="17"/>
      <c r="AC8" s="17"/>
    </row>
    <row r="9" spans="1:33" x14ac:dyDescent="0.25">
      <c r="G9" s="17"/>
      <c r="H9" s="17" t="s">
        <v>20</v>
      </c>
      <c r="I9" s="17"/>
      <c r="J9" s="17"/>
      <c r="K9" s="17"/>
      <c r="L9" s="17"/>
      <c r="M9" s="17"/>
      <c r="O9" s="17"/>
      <c r="P9" s="17" t="s">
        <v>20</v>
      </c>
      <c r="Q9" s="17"/>
      <c r="R9" s="17"/>
      <c r="S9" s="17"/>
      <c r="T9" s="17"/>
      <c r="U9" s="17"/>
      <c r="W9" s="17"/>
      <c r="X9" s="17" t="s">
        <v>52</v>
      </c>
      <c r="Y9" s="17"/>
      <c r="Z9" s="17"/>
      <c r="AA9" s="17"/>
      <c r="AB9" s="17"/>
      <c r="AC9" s="17"/>
    </row>
    <row r="10" spans="1:33" x14ac:dyDescent="0.25">
      <c r="B10" s="3" t="s">
        <v>19</v>
      </c>
      <c r="G10" s="17"/>
      <c r="H10" s="17"/>
      <c r="I10" s="17"/>
      <c r="J10" s="17"/>
      <c r="K10" s="17"/>
      <c r="L10" s="17"/>
      <c r="M10" s="17"/>
      <c r="O10" s="17"/>
      <c r="P10" s="17"/>
      <c r="Q10" s="17"/>
      <c r="R10" s="17"/>
      <c r="S10" s="17"/>
      <c r="T10" s="17"/>
      <c r="U10" s="17"/>
      <c r="W10" s="17"/>
      <c r="X10" s="17" t="s">
        <v>176</v>
      </c>
      <c r="Y10" s="17"/>
      <c r="Z10" s="17"/>
      <c r="AA10" s="17"/>
      <c r="AB10" s="17"/>
      <c r="AC10" s="17"/>
    </row>
    <row r="11" spans="1:33" x14ac:dyDescent="0.25">
      <c r="G11" s="17"/>
      <c r="H11" s="17"/>
      <c r="I11" s="17"/>
      <c r="J11" s="17"/>
      <c r="K11" s="17"/>
      <c r="L11" s="17"/>
      <c r="M11" s="17"/>
      <c r="O11" s="17"/>
      <c r="P11" s="17"/>
      <c r="Q11" s="17"/>
      <c r="R11" s="17"/>
      <c r="S11" s="17"/>
      <c r="T11" s="17"/>
      <c r="U11" s="17"/>
      <c r="W11" s="17"/>
      <c r="X11" s="17"/>
      <c r="Y11" s="17"/>
      <c r="Z11" s="17"/>
      <c r="AA11" s="17"/>
      <c r="AB11" s="17"/>
      <c r="AC11" s="17"/>
    </row>
    <row r="12" spans="1:33" x14ac:dyDescent="0.25">
      <c r="B12" s="19"/>
      <c r="C12" s="20" t="s">
        <v>53</v>
      </c>
      <c r="D12" s="20" t="s">
        <v>54</v>
      </c>
      <c r="G12" s="17"/>
      <c r="H12" s="17"/>
      <c r="I12" s="17"/>
      <c r="J12" s="17"/>
      <c r="K12" s="17"/>
      <c r="L12" s="17"/>
      <c r="M12" s="17"/>
      <c r="O12" s="17"/>
      <c r="P12" s="17"/>
      <c r="Q12" s="17"/>
      <c r="R12" s="17"/>
      <c r="S12" s="17"/>
      <c r="T12" s="17"/>
      <c r="U12" s="17"/>
      <c r="W12" s="17"/>
      <c r="X12" s="17" t="s">
        <v>20</v>
      </c>
      <c r="Y12" s="17"/>
      <c r="Z12" s="17"/>
      <c r="AA12" s="17"/>
      <c r="AB12" s="17"/>
      <c r="AC12" s="17"/>
    </row>
    <row r="13" spans="1:33" x14ac:dyDescent="0.25">
      <c r="B13" s="19" t="s">
        <v>55</v>
      </c>
      <c r="C13" s="21">
        <v>5.2999999999999999E-2</v>
      </c>
      <c r="D13" s="21">
        <v>4.4999999999999998E-2</v>
      </c>
      <c r="G13" s="22"/>
      <c r="H13" s="22"/>
      <c r="I13" s="22"/>
      <c r="J13" s="23"/>
      <c r="K13" s="23"/>
      <c r="L13" s="22"/>
      <c r="M13" s="22"/>
      <c r="N13" s="24"/>
      <c r="O13" s="22"/>
      <c r="P13" s="22"/>
      <c r="Q13" s="22"/>
      <c r="R13" s="23"/>
      <c r="S13" s="23"/>
      <c r="T13" s="22"/>
      <c r="U13" s="22"/>
      <c r="V13" s="24"/>
      <c r="W13" s="22"/>
      <c r="X13" s="22"/>
      <c r="Y13" s="22"/>
      <c r="Z13" s="23"/>
      <c r="AA13" s="23"/>
      <c r="AB13" s="22"/>
      <c r="AC13" s="22"/>
      <c r="AD13" s="24"/>
      <c r="AE13" s="22"/>
      <c r="AF13" s="25"/>
      <c r="AG13" s="25"/>
    </row>
    <row r="14" spans="1:33" x14ac:dyDescent="0.25">
      <c r="B14" s="19" t="s">
        <v>56</v>
      </c>
      <c r="C14" s="21">
        <v>0.06</v>
      </c>
      <c r="D14" s="21">
        <v>0.06</v>
      </c>
      <c r="G14" s="22"/>
      <c r="H14" s="74" t="s">
        <v>100</v>
      </c>
      <c r="I14" s="22"/>
      <c r="J14" s="22"/>
      <c r="K14" s="22"/>
      <c r="L14" s="22"/>
      <c r="M14" s="22"/>
      <c r="N14" s="24"/>
      <c r="O14" s="22"/>
      <c r="P14" s="74" t="s">
        <v>127</v>
      </c>
      <c r="Q14" s="22"/>
      <c r="R14" s="22"/>
      <c r="S14" s="22"/>
      <c r="T14" s="22"/>
      <c r="U14" s="22"/>
      <c r="V14" s="24"/>
      <c r="W14" s="22"/>
      <c r="X14" s="22" t="s">
        <v>144</v>
      </c>
      <c r="Y14" s="22"/>
      <c r="Z14" s="23"/>
      <c r="AA14" s="23"/>
      <c r="AB14" s="22"/>
      <c r="AC14" s="22"/>
      <c r="AD14" s="24"/>
      <c r="AE14" s="22"/>
      <c r="AF14" s="25"/>
      <c r="AG14" s="25"/>
    </row>
    <row r="15" spans="1:33" x14ac:dyDescent="0.25">
      <c r="B15" s="19" t="s">
        <v>57</v>
      </c>
      <c r="C15" s="20">
        <v>695000000</v>
      </c>
      <c r="D15" s="20">
        <v>815000000</v>
      </c>
      <c r="G15" s="22"/>
      <c r="H15" s="22" t="s">
        <v>101</v>
      </c>
      <c r="I15" s="22"/>
      <c r="K15" s="75">
        <f>C17</f>
        <v>23000000</v>
      </c>
      <c r="L15" s="22"/>
      <c r="M15" s="22"/>
      <c r="N15" s="24"/>
      <c r="O15" s="22"/>
      <c r="P15" s="22" t="s">
        <v>128</v>
      </c>
      <c r="Q15" s="22"/>
      <c r="R15" s="26"/>
      <c r="S15" s="75">
        <f>-(C21+C22)</f>
        <v>-158000000</v>
      </c>
      <c r="T15" s="22"/>
      <c r="U15" s="22"/>
      <c r="V15" s="24"/>
      <c r="W15" s="22"/>
      <c r="X15" s="22" t="s">
        <v>145</v>
      </c>
      <c r="Y15" s="22"/>
      <c r="Z15" s="26"/>
      <c r="AA15" s="26"/>
      <c r="AB15" s="22"/>
      <c r="AC15" s="22"/>
      <c r="AD15" s="24"/>
      <c r="AE15" s="22"/>
      <c r="AF15" s="25"/>
      <c r="AG15" s="25"/>
    </row>
    <row r="16" spans="1:33" x14ac:dyDescent="0.25">
      <c r="B16" s="19" t="s">
        <v>58</v>
      </c>
      <c r="C16" s="20">
        <v>805000000</v>
      </c>
      <c r="D16" s="20">
        <v>795000000</v>
      </c>
      <c r="G16" s="22"/>
      <c r="H16" s="22" t="s">
        <v>102</v>
      </c>
      <c r="I16" s="22"/>
      <c r="K16" s="75">
        <f>K25</f>
        <v>37391500</v>
      </c>
      <c r="L16" s="22"/>
      <c r="M16" s="22"/>
      <c r="N16" s="24"/>
      <c r="O16" s="22"/>
      <c r="P16" s="22" t="s">
        <v>129</v>
      </c>
      <c r="Q16" s="22"/>
      <c r="R16" s="22"/>
      <c r="S16" s="75">
        <f>K18</f>
        <v>3708333.3333333335</v>
      </c>
      <c r="T16" s="22"/>
      <c r="U16" s="22"/>
      <c r="V16" s="24"/>
      <c r="W16" s="22"/>
      <c r="X16" s="22"/>
      <c r="Y16" s="22"/>
      <c r="Z16" s="22"/>
      <c r="AA16" s="22"/>
      <c r="AB16" s="22"/>
      <c r="AC16" s="22"/>
      <c r="AD16" s="24"/>
      <c r="AE16" s="22"/>
      <c r="AF16" s="25"/>
      <c r="AG16" s="25"/>
    </row>
    <row r="17" spans="1:33" x14ac:dyDescent="0.25">
      <c r="B17" s="19" t="s">
        <v>59</v>
      </c>
      <c r="C17" s="20">
        <v>23000000</v>
      </c>
      <c r="D17" s="20"/>
      <c r="G17" s="22"/>
      <c r="H17" s="22" t="s">
        <v>103</v>
      </c>
      <c r="I17" s="22"/>
      <c r="K17" s="75">
        <f>-K35</f>
        <v>-48210000</v>
      </c>
      <c r="L17" s="22"/>
      <c r="M17" s="22"/>
      <c r="N17" s="24"/>
      <c r="O17" s="22"/>
      <c r="P17" s="22" t="s">
        <v>130</v>
      </c>
      <c r="Q17" s="22"/>
      <c r="R17" s="26"/>
      <c r="S17" s="75">
        <f>K19</f>
        <v>2750000</v>
      </c>
      <c r="T17" s="22"/>
      <c r="U17" s="22"/>
      <c r="V17" s="24"/>
      <c r="W17" s="22"/>
      <c r="X17" s="33" t="s">
        <v>146</v>
      </c>
      <c r="Y17" s="22"/>
      <c r="Z17" s="26"/>
      <c r="AA17" s="26"/>
      <c r="AB17" s="22"/>
      <c r="AC17" s="22"/>
      <c r="AD17" s="24"/>
      <c r="AE17" s="22"/>
      <c r="AF17" s="25"/>
      <c r="AG17" s="25"/>
    </row>
    <row r="18" spans="1:33" x14ac:dyDescent="0.25">
      <c r="B18" s="19" t="s">
        <v>60</v>
      </c>
      <c r="C18" s="20">
        <v>25000000</v>
      </c>
      <c r="D18" s="20"/>
      <c r="G18" s="22"/>
      <c r="H18" s="22" t="s">
        <v>104</v>
      </c>
      <c r="I18" s="22"/>
      <c r="K18" s="75">
        <f>K44</f>
        <v>3708333.3333333335</v>
      </c>
      <c r="L18" s="22"/>
      <c r="M18" s="22"/>
      <c r="N18" s="24"/>
      <c r="O18" s="22"/>
      <c r="P18" s="22" t="s">
        <v>131</v>
      </c>
      <c r="Q18" s="22"/>
      <c r="R18" s="22"/>
      <c r="S18" s="75">
        <f>-K28</f>
        <v>-84608500</v>
      </c>
      <c r="T18" s="22"/>
      <c r="U18" s="22"/>
      <c r="V18" s="24"/>
      <c r="W18" s="22"/>
      <c r="X18" s="1" t="s">
        <v>147</v>
      </c>
      <c r="Y18" s="22"/>
      <c r="Z18" s="26"/>
      <c r="AA18" s="75">
        <f>K15+K16</f>
        <v>60391500</v>
      </c>
      <c r="AB18" s="22"/>
      <c r="AC18" s="22"/>
      <c r="AD18" s="24"/>
      <c r="AE18" s="22"/>
      <c r="AF18" s="25"/>
      <c r="AG18" s="25"/>
    </row>
    <row r="19" spans="1:33" x14ac:dyDescent="0.25">
      <c r="B19" s="19" t="s">
        <v>61</v>
      </c>
      <c r="C19" s="20">
        <v>22000000</v>
      </c>
      <c r="D19" s="20"/>
      <c r="G19" s="22"/>
      <c r="H19" s="76" t="s">
        <v>105</v>
      </c>
      <c r="I19" s="76"/>
      <c r="J19" s="77"/>
      <c r="K19" s="78">
        <f>K48</f>
        <v>2750000</v>
      </c>
      <c r="L19" s="22"/>
      <c r="M19" s="22"/>
      <c r="N19" s="24"/>
      <c r="O19" s="22"/>
      <c r="P19" s="76" t="s">
        <v>132</v>
      </c>
      <c r="Q19" s="76"/>
      <c r="R19" s="81"/>
      <c r="S19" s="78">
        <f>K37</f>
        <v>-55210000</v>
      </c>
      <c r="T19" s="22"/>
      <c r="U19" s="22"/>
      <c r="V19" s="24"/>
      <c r="W19" s="22"/>
      <c r="X19" s="1" t="s">
        <v>148</v>
      </c>
      <c r="Y19" s="22"/>
      <c r="Z19" s="26"/>
      <c r="AA19" s="75">
        <f>C34</f>
        <v>233500000</v>
      </c>
      <c r="AB19" s="22"/>
      <c r="AC19" s="22"/>
      <c r="AD19" s="24"/>
      <c r="AE19" s="22"/>
      <c r="AF19" s="25"/>
      <c r="AG19" s="25"/>
    </row>
    <row r="20" spans="1:33" x14ac:dyDescent="0.25">
      <c r="B20" s="19" t="s">
        <v>62</v>
      </c>
      <c r="C20" s="27" t="s">
        <v>63</v>
      </c>
      <c r="D20" s="27"/>
      <c r="G20" s="22"/>
      <c r="H20" s="79" t="s">
        <v>106</v>
      </c>
      <c r="I20" s="79"/>
      <c r="J20" s="79"/>
      <c r="K20" s="80">
        <f>SUM(K15:K19)</f>
        <v>18639833.333333336</v>
      </c>
      <c r="L20" s="22"/>
      <c r="M20" s="22"/>
      <c r="N20" s="24"/>
      <c r="O20" s="22"/>
      <c r="P20" s="79" t="s">
        <v>133</v>
      </c>
      <c r="Q20" s="79"/>
      <c r="R20" s="82"/>
      <c r="S20" s="83">
        <f>SUM(S15:S19)</f>
        <v>-291360166.66666663</v>
      </c>
      <c r="T20" s="22"/>
      <c r="U20" s="22"/>
      <c r="V20" s="24"/>
      <c r="W20" s="22"/>
      <c r="X20" s="1" t="s">
        <v>149</v>
      </c>
      <c r="Y20" s="22"/>
      <c r="Z20" s="22"/>
      <c r="AA20" s="22"/>
      <c r="AB20" s="22"/>
      <c r="AC20" s="22"/>
      <c r="AD20" s="24"/>
      <c r="AE20" s="22"/>
      <c r="AF20" s="25"/>
      <c r="AG20" s="25"/>
    </row>
    <row r="21" spans="1:33" x14ac:dyDescent="0.25">
      <c r="B21" s="19" t="s">
        <v>64</v>
      </c>
      <c r="C21" s="20">
        <v>125000000</v>
      </c>
      <c r="D21" s="20"/>
      <c r="G21" s="22"/>
      <c r="H21" s="22"/>
      <c r="I21" s="22"/>
      <c r="J21" s="22"/>
      <c r="K21" s="22"/>
      <c r="L21" s="22"/>
      <c r="M21" s="22"/>
      <c r="N21" s="24"/>
      <c r="O21" s="22"/>
      <c r="P21" s="22"/>
      <c r="Q21" s="22"/>
      <c r="R21" s="26"/>
      <c r="S21" s="22"/>
      <c r="T21" s="22"/>
      <c r="U21" s="22"/>
      <c r="V21" s="24"/>
      <c r="W21" s="22"/>
      <c r="Y21" s="22"/>
      <c r="Z21" s="22"/>
      <c r="AA21" s="22"/>
      <c r="AB21" s="22"/>
      <c r="AC21" s="22"/>
      <c r="AD21" s="24"/>
      <c r="AE21" s="22"/>
      <c r="AF21" s="25"/>
      <c r="AG21" s="25"/>
    </row>
    <row r="22" spans="1:33" x14ac:dyDescent="0.25">
      <c r="B22" s="19" t="s">
        <v>65</v>
      </c>
      <c r="C22" s="20">
        <v>33000000</v>
      </c>
      <c r="D22" s="20"/>
      <c r="G22" s="22"/>
      <c r="H22" s="74" t="s">
        <v>107</v>
      </c>
      <c r="I22" s="22"/>
      <c r="J22" s="22"/>
      <c r="K22" s="22"/>
      <c r="L22" s="22"/>
      <c r="M22" s="22"/>
      <c r="N22" s="24"/>
      <c r="O22" s="22"/>
      <c r="P22" s="74" t="s">
        <v>134</v>
      </c>
      <c r="Q22" s="22"/>
      <c r="R22" s="22"/>
      <c r="S22" s="23"/>
      <c r="T22" s="22"/>
      <c r="U22" s="22"/>
      <c r="V22" s="24"/>
      <c r="W22" s="22"/>
      <c r="X22" s="1" t="s">
        <v>150</v>
      </c>
      <c r="Y22" s="22"/>
      <c r="Z22" s="22"/>
      <c r="AA22" s="22"/>
      <c r="AB22" s="26"/>
      <c r="AC22" s="22"/>
      <c r="AD22" s="24"/>
      <c r="AE22" s="22"/>
      <c r="AF22" s="25"/>
      <c r="AG22" s="25"/>
    </row>
    <row r="23" spans="1:33" x14ac:dyDescent="0.25">
      <c r="B23" s="19" t="s">
        <v>66</v>
      </c>
      <c r="C23" s="21" t="s">
        <v>67</v>
      </c>
      <c r="D23" s="21"/>
      <c r="G23" s="22"/>
      <c r="H23" s="22" t="s">
        <v>108</v>
      </c>
      <c r="I23" s="22"/>
      <c r="K23" s="75">
        <f>C15</f>
        <v>695000000</v>
      </c>
      <c r="L23" s="22"/>
      <c r="M23" s="22"/>
      <c r="N23" s="24"/>
      <c r="O23" s="22"/>
      <c r="P23" s="22" t="s">
        <v>135</v>
      </c>
      <c r="Q23" s="22"/>
      <c r="S23" s="75">
        <f>C21</f>
        <v>125000000</v>
      </c>
      <c r="T23" s="22"/>
      <c r="U23" s="22"/>
      <c r="V23" s="24"/>
      <c r="W23" s="22"/>
      <c r="Y23" s="22"/>
      <c r="Z23" s="22"/>
      <c r="AA23" s="22"/>
      <c r="AB23" s="22"/>
      <c r="AC23" s="22"/>
      <c r="AD23" s="24"/>
      <c r="AE23" s="22"/>
      <c r="AF23" s="25"/>
      <c r="AG23" s="25"/>
    </row>
    <row r="24" spans="1:33" x14ac:dyDescent="0.25">
      <c r="B24" s="19" t="s">
        <v>68</v>
      </c>
      <c r="C24" s="28">
        <v>12</v>
      </c>
      <c r="D24" s="28"/>
      <c r="G24" s="22"/>
      <c r="H24" s="22" t="s">
        <v>101</v>
      </c>
      <c r="I24" s="22"/>
      <c r="K24" s="75">
        <f>C17</f>
        <v>23000000</v>
      </c>
      <c r="L24" s="22"/>
      <c r="M24" s="22"/>
      <c r="N24" s="24"/>
      <c r="O24" s="22"/>
      <c r="P24" s="22" t="s">
        <v>136</v>
      </c>
      <c r="Q24" s="22"/>
      <c r="R24" s="26"/>
      <c r="S24" s="75">
        <f>-K18</f>
        <v>-3708333.3333333335</v>
      </c>
      <c r="T24" s="22"/>
      <c r="U24" s="22"/>
      <c r="V24" s="24"/>
      <c r="W24" s="22"/>
      <c r="X24" s="33" t="s">
        <v>151</v>
      </c>
      <c r="Y24" s="22"/>
      <c r="Z24" s="23"/>
      <c r="AA24" s="26"/>
      <c r="AB24" s="22"/>
      <c r="AC24" s="22"/>
      <c r="AD24" s="24"/>
      <c r="AE24" s="22"/>
      <c r="AF24" s="25"/>
      <c r="AG24" s="25"/>
    </row>
    <row r="25" spans="1:33" x14ac:dyDescent="0.25">
      <c r="B25" s="19" t="s">
        <v>69</v>
      </c>
      <c r="C25" s="28">
        <v>20</v>
      </c>
      <c r="D25" s="28"/>
      <c r="G25" s="22"/>
      <c r="H25" s="22" t="s">
        <v>109</v>
      </c>
      <c r="I25" s="22"/>
      <c r="K25" s="75">
        <f>(K23+K24)*C13+(K26)*C13/2</f>
        <v>37391500</v>
      </c>
      <c r="L25" s="22"/>
      <c r="M25" s="22"/>
      <c r="N25" s="24"/>
      <c r="O25" s="22"/>
      <c r="P25" s="22" t="s">
        <v>137</v>
      </c>
      <c r="Q25" s="22"/>
      <c r="R25" s="26"/>
      <c r="S25" s="75">
        <f>K28</f>
        <v>84608500</v>
      </c>
      <c r="T25" s="22"/>
      <c r="U25" s="22"/>
      <c r="V25" s="24"/>
      <c r="W25" s="22"/>
      <c r="X25" s="1" t="s">
        <v>152</v>
      </c>
      <c r="Y25" s="22"/>
      <c r="Z25" s="22"/>
      <c r="AA25" s="75">
        <f>C35</f>
        <v>200000000</v>
      </c>
      <c r="AB25" s="22"/>
      <c r="AC25" s="22"/>
      <c r="AD25" s="24"/>
      <c r="AE25" s="22"/>
      <c r="AF25" s="25"/>
      <c r="AG25" s="25"/>
    </row>
    <row r="26" spans="1:33" x14ac:dyDescent="0.25">
      <c r="G26" s="22"/>
      <c r="H26" s="76" t="s">
        <v>110</v>
      </c>
      <c r="I26" s="76"/>
      <c r="J26" s="77"/>
      <c r="K26" s="78">
        <f>-C18</f>
        <v>-25000000</v>
      </c>
      <c r="L26" s="22"/>
      <c r="M26" s="22"/>
      <c r="N26" s="24"/>
      <c r="O26" s="22"/>
      <c r="P26" s="76" t="s">
        <v>138</v>
      </c>
      <c r="Q26" s="76"/>
      <c r="R26" s="81"/>
      <c r="S26" s="78">
        <f>-K37</f>
        <v>55210000</v>
      </c>
      <c r="T26" s="22"/>
      <c r="U26" s="22"/>
      <c r="V26" s="24"/>
      <c r="W26" s="22"/>
      <c r="X26" s="77" t="s">
        <v>153</v>
      </c>
      <c r="Y26" s="76"/>
      <c r="Z26" s="81"/>
      <c r="AA26" s="78">
        <f>C34</f>
        <v>233500000</v>
      </c>
      <c r="AB26" s="22"/>
      <c r="AC26" s="22"/>
      <c r="AD26" s="24"/>
      <c r="AE26" s="22"/>
      <c r="AF26" s="25"/>
      <c r="AG26" s="25"/>
    </row>
    <row r="27" spans="1:33" x14ac:dyDescent="0.25">
      <c r="B27" s="3" t="s">
        <v>70</v>
      </c>
      <c r="G27" s="22"/>
      <c r="H27" s="22" t="s">
        <v>111</v>
      </c>
      <c r="I27" s="22"/>
      <c r="J27" s="26"/>
      <c r="K27" s="75">
        <f>SUM(K23:K26)</f>
        <v>730391500</v>
      </c>
      <c r="L27" s="22"/>
      <c r="M27" s="22"/>
      <c r="N27" s="24"/>
      <c r="O27" s="22"/>
      <c r="P27" s="22" t="s">
        <v>139</v>
      </c>
      <c r="Q27" s="22"/>
      <c r="R27" s="26"/>
      <c r="S27" s="75">
        <f>SUM(S23:S26)</f>
        <v>261110166.66666669</v>
      </c>
      <c r="T27" s="22"/>
      <c r="U27" s="22"/>
      <c r="V27" s="24"/>
      <c r="W27" s="22"/>
      <c r="X27" s="1" t="s">
        <v>151</v>
      </c>
      <c r="Y27" s="22"/>
      <c r="Z27" s="26"/>
      <c r="AA27" s="75">
        <f>AA26-AA25</f>
        <v>33500000</v>
      </c>
      <c r="AB27" s="22"/>
      <c r="AC27" s="22"/>
      <c r="AD27" s="24"/>
      <c r="AE27" s="22"/>
      <c r="AF27" s="25"/>
      <c r="AG27" s="25"/>
    </row>
    <row r="28" spans="1:33" x14ac:dyDescent="0.25">
      <c r="G28" s="22"/>
      <c r="H28" s="76" t="s">
        <v>112</v>
      </c>
      <c r="I28" s="76"/>
      <c r="J28" s="81"/>
      <c r="K28" s="78">
        <f>K29-K27</f>
        <v>84608500</v>
      </c>
      <c r="L28" s="22"/>
      <c r="M28" s="22"/>
      <c r="N28" s="24"/>
      <c r="O28" s="22"/>
      <c r="P28" s="22"/>
      <c r="Q28" s="22"/>
      <c r="R28" s="22"/>
      <c r="S28" s="22"/>
      <c r="T28" s="22"/>
      <c r="U28" s="22"/>
      <c r="V28" s="24"/>
      <c r="W28" s="22"/>
      <c r="Y28" s="22"/>
      <c r="Z28" s="26"/>
      <c r="AA28" s="26"/>
      <c r="AB28" s="22"/>
      <c r="AC28" s="22"/>
      <c r="AD28" s="24"/>
      <c r="AE28" s="22"/>
      <c r="AF28" s="25"/>
      <c r="AG28" s="25"/>
    </row>
    <row r="29" spans="1:33" x14ac:dyDescent="0.25">
      <c r="G29" s="22"/>
      <c r="H29" s="22" t="s">
        <v>113</v>
      </c>
      <c r="I29" s="22"/>
      <c r="J29" s="22"/>
      <c r="K29" s="75">
        <f>D15</f>
        <v>815000000</v>
      </c>
      <c r="L29" s="22"/>
      <c r="M29" s="22"/>
      <c r="N29" s="24"/>
      <c r="O29" s="22"/>
      <c r="P29" s="74" t="s">
        <v>140</v>
      </c>
      <c r="Q29" s="22"/>
      <c r="R29" s="26"/>
      <c r="S29" s="26"/>
      <c r="T29" s="22"/>
      <c r="U29" s="22"/>
      <c r="V29" s="24"/>
      <c r="W29" s="22"/>
      <c r="X29" s="33" t="s">
        <v>154</v>
      </c>
      <c r="Y29" s="22"/>
      <c r="Z29" s="26"/>
      <c r="AA29" s="26"/>
      <c r="AB29" s="22"/>
      <c r="AC29" s="22"/>
      <c r="AD29" s="24"/>
      <c r="AE29" s="22"/>
      <c r="AF29" s="25"/>
      <c r="AG29" s="25"/>
    </row>
    <row r="30" spans="1:33" x14ac:dyDescent="0.25">
      <c r="A30" s="5" t="s">
        <v>4</v>
      </c>
      <c r="G30" s="22"/>
      <c r="H30" s="22"/>
      <c r="I30" s="22"/>
      <c r="J30" s="22"/>
      <c r="K30" s="22"/>
      <c r="L30" s="22"/>
      <c r="M30" s="22"/>
      <c r="N30" s="24"/>
      <c r="O30" s="22"/>
      <c r="P30" s="22" t="s">
        <v>135</v>
      </c>
      <c r="Q30" s="22"/>
      <c r="R30" s="26"/>
      <c r="S30" s="75">
        <f>C22</f>
        <v>33000000</v>
      </c>
      <c r="T30" s="22"/>
      <c r="U30" s="22"/>
      <c r="V30" s="24"/>
      <c r="W30" s="22"/>
      <c r="X30" s="1" t="s">
        <v>155</v>
      </c>
      <c r="Y30" s="22"/>
      <c r="Z30" s="22"/>
      <c r="AA30" s="86">
        <f>AA26</f>
        <v>233500000</v>
      </c>
      <c r="AB30" s="22"/>
      <c r="AC30" s="22"/>
      <c r="AD30" s="24"/>
      <c r="AE30" s="22"/>
      <c r="AF30" s="25"/>
      <c r="AG30" s="25"/>
    </row>
    <row r="31" spans="1:33" x14ac:dyDescent="0.25">
      <c r="B31" s="29" t="s">
        <v>71</v>
      </c>
      <c r="G31" s="22"/>
      <c r="H31" s="74" t="s">
        <v>114</v>
      </c>
      <c r="I31" s="22"/>
      <c r="J31" s="22"/>
      <c r="K31" s="22"/>
      <c r="L31" s="22"/>
      <c r="M31" s="22"/>
      <c r="N31" s="24"/>
      <c r="O31" s="22"/>
      <c r="P31" s="22" t="s">
        <v>136</v>
      </c>
      <c r="Q31" s="22"/>
      <c r="R31" s="26"/>
      <c r="S31" s="75">
        <f>-K19</f>
        <v>-2750000</v>
      </c>
      <c r="T31" s="22"/>
      <c r="U31" s="22"/>
      <c r="V31" s="24"/>
      <c r="W31" s="22"/>
      <c r="X31" s="1" t="s">
        <v>156</v>
      </c>
      <c r="Y31" s="22"/>
      <c r="Z31" s="22"/>
      <c r="AA31" s="86">
        <f>(D15+AA27)</f>
        <v>848500000</v>
      </c>
      <c r="AB31" s="22"/>
      <c r="AC31" s="22"/>
      <c r="AD31" s="24"/>
      <c r="AE31" s="22"/>
      <c r="AF31" s="25"/>
      <c r="AG31" s="25"/>
    </row>
    <row r="32" spans="1:33" x14ac:dyDescent="0.25">
      <c r="A32" s="5"/>
      <c r="B32" s="29" t="s">
        <v>72</v>
      </c>
      <c r="C32" s="30"/>
      <c r="D32" s="30"/>
      <c r="G32" s="22"/>
      <c r="H32" s="22" t="s">
        <v>115</v>
      </c>
      <c r="I32" s="22"/>
      <c r="J32" s="22"/>
      <c r="K32" s="75">
        <f>C16</f>
        <v>805000000</v>
      </c>
      <c r="L32" s="22"/>
      <c r="M32" s="22"/>
      <c r="N32" s="24"/>
      <c r="O32" s="22"/>
      <c r="P32" s="76" t="s">
        <v>141</v>
      </c>
      <c r="Q32" s="76"/>
      <c r="R32" s="81"/>
      <c r="S32" s="78">
        <v>0</v>
      </c>
      <c r="T32" s="22"/>
      <c r="U32" s="22"/>
      <c r="V32" s="24"/>
      <c r="W32" s="22"/>
      <c r="X32" s="1" t="s">
        <v>157</v>
      </c>
      <c r="Y32" s="22"/>
      <c r="Z32" s="23"/>
      <c r="AA32" s="87">
        <f>AA30/AA31</f>
        <v>0.27519151443724221</v>
      </c>
      <c r="AB32" s="22"/>
      <c r="AC32" s="22"/>
      <c r="AD32" s="24"/>
      <c r="AE32" s="22"/>
      <c r="AF32" s="25"/>
      <c r="AG32" s="25"/>
    </row>
    <row r="33" spans="2:33" x14ac:dyDescent="0.25">
      <c r="B33" s="29"/>
      <c r="C33" s="30"/>
      <c r="D33" s="30"/>
      <c r="G33" s="22"/>
      <c r="H33" s="22" t="s">
        <v>116</v>
      </c>
      <c r="I33" s="22"/>
      <c r="J33" s="26"/>
      <c r="K33" s="75">
        <f>C19</f>
        <v>22000000</v>
      </c>
      <c r="L33" s="22"/>
      <c r="M33" s="22"/>
      <c r="N33" s="24"/>
      <c r="O33" s="22"/>
      <c r="P33" s="22" t="s">
        <v>139</v>
      </c>
      <c r="Q33" s="22"/>
      <c r="R33" s="26"/>
      <c r="S33" s="75">
        <f>SUM(S30:S32)</f>
        <v>30250000</v>
      </c>
      <c r="T33" s="22"/>
      <c r="U33" s="22"/>
      <c r="V33" s="24"/>
      <c r="W33" s="22"/>
      <c r="Y33" s="22"/>
      <c r="Z33" s="26"/>
      <c r="AA33" s="22"/>
      <c r="AB33" s="22"/>
      <c r="AC33" s="22"/>
      <c r="AD33" s="24"/>
      <c r="AE33" s="22"/>
      <c r="AF33" s="25"/>
      <c r="AG33" s="25"/>
    </row>
    <row r="34" spans="2:33" x14ac:dyDescent="0.25">
      <c r="B34" s="19" t="s">
        <v>73</v>
      </c>
      <c r="C34" s="20">
        <v>233500000</v>
      </c>
      <c r="D34" s="30"/>
      <c r="G34" s="22"/>
      <c r="H34" s="22" t="s">
        <v>110</v>
      </c>
      <c r="I34" s="22"/>
      <c r="J34" s="26"/>
      <c r="K34" s="75">
        <f>-C18</f>
        <v>-25000000</v>
      </c>
      <c r="L34" s="22"/>
      <c r="M34" s="22"/>
      <c r="N34" s="24"/>
      <c r="O34" s="22"/>
      <c r="P34" s="22"/>
      <c r="Q34" s="22"/>
      <c r="R34" s="22"/>
      <c r="S34" s="26"/>
      <c r="T34" s="22"/>
      <c r="U34" s="22"/>
      <c r="V34" s="24"/>
      <c r="W34" s="22"/>
      <c r="X34" s="33" t="s">
        <v>158</v>
      </c>
      <c r="Y34" s="22"/>
      <c r="Z34" s="26"/>
      <c r="AA34" s="26"/>
      <c r="AB34" s="22"/>
      <c r="AC34" s="22"/>
      <c r="AD34" s="24"/>
      <c r="AE34" s="22"/>
      <c r="AF34" s="25"/>
      <c r="AG34" s="25"/>
    </row>
    <row r="35" spans="2:33" x14ac:dyDescent="0.25">
      <c r="B35" s="19" t="s">
        <v>74</v>
      </c>
      <c r="C35" s="20">
        <v>200000000</v>
      </c>
      <c r="G35" s="22"/>
      <c r="H35" s="76" t="s">
        <v>117</v>
      </c>
      <c r="I35" s="76"/>
      <c r="J35" s="81"/>
      <c r="K35" s="78">
        <f>K32*C14+(K33+K34)*C14/2</f>
        <v>48210000</v>
      </c>
      <c r="L35" s="22"/>
      <c r="M35" s="22"/>
      <c r="N35" s="24"/>
      <c r="O35" s="22"/>
      <c r="P35" s="36" t="s">
        <v>142</v>
      </c>
      <c r="Q35" s="36"/>
      <c r="R35" s="84"/>
      <c r="S35" s="85">
        <f>(S27+S33)</f>
        <v>291360166.66666669</v>
      </c>
      <c r="T35" s="22"/>
      <c r="U35" s="22"/>
      <c r="V35" s="24"/>
      <c r="W35" s="22"/>
      <c r="X35" s="1" t="s">
        <v>159</v>
      </c>
      <c r="Y35" s="22"/>
      <c r="Z35" s="26"/>
      <c r="AA35" s="75">
        <f>S27</f>
        <v>261110166.66666669</v>
      </c>
      <c r="AB35" s="22"/>
      <c r="AC35" s="22"/>
      <c r="AD35" s="24"/>
      <c r="AE35" s="22"/>
      <c r="AF35" s="25"/>
      <c r="AG35" s="25"/>
    </row>
    <row r="36" spans="2:33" x14ac:dyDescent="0.25">
      <c r="G36" s="22"/>
      <c r="H36" s="22" t="s">
        <v>118</v>
      </c>
      <c r="I36" s="22"/>
      <c r="J36" s="26"/>
      <c r="K36" s="75">
        <f>SUM(K32:K35)</f>
        <v>850210000</v>
      </c>
      <c r="L36" s="22"/>
      <c r="M36" s="22"/>
      <c r="N36" s="24"/>
      <c r="O36" s="22"/>
      <c r="P36" s="36" t="s">
        <v>143</v>
      </c>
      <c r="Q36" s="36"/>
      <c r="R36" s="36"/>
      <c r="S36" s="85">
        <f>-S35-S20</f>
        <v>0</v>
      </c>
      <c r="T36" s="22"/>
      <c r="U36" s="22"/>
      <c r="V36" s="24"/>
      <c r="W36" s="22"/>
      <c r="X36" s="1" t="s">
        <v>160</v>
      </c>
      <c r="Y36" s="22"/>
      <c r="Z36" s="22"/>
      <c r="AA36" s="75">
        <f>AA27</f>
        <v>33500000</v>
      </c>
      <c r="AB36" s="22"/>
      <c r="AC36" s="22"/>
      <c r="AD36" s="24"/>
      <c r="AE36" s="22"/>
      <c r="AF36" s="25"/>
      <c r="AG36" s="25"/>
    </row>
    <row r="37" spans="2:33" x14ac:dyDescent="0.25">
      <c r="C37" s="31"/>
      <c r="D37" s="31"/>
      <c r="G37" s="22"/>
      <c r="H37" s="76" t="s">
        <v>119</v>
      </c>
      <c r="I37" s="76"/>
      <c r="J37" s="76"/>
      <c r="K37" s="78">
        <f>K38-K36</f>
        <v>-55210000</v>
      </c>
      <c r="L37" s="22"/>
      <c r="M37" s="22"/>
      <c r="N37" s="24"/>
      <c r="O37" s="22"/>
      <c r="P37" s="22"/>
      <c r="Q37" s="22"/>
      <c r="R37" s="22"/>
      <c r="S37" s="26"/>
      <c r="T37" s="22"/>
      <c r="U37" s="22"/>
      <c r="V37" s="24"/>
      <c r="W37" s="22"/>
      <c r="X37" s="1" t="s">
        <v>161</v>
      </c>
      <c r="Y37" s="22"/>
      <c r="Z37" s="22"/>
      <c r="AA37" s="75">
        <f>AA32*(AA35+AA36)</f>
        <v>81074217.933608338</v>
      </c>
      <c r="AB37" s="22"/>
      <c r="AC37" s="22"/>
      <c r="AD37" s="24"/>
      <c r="AE37" s="22"/>
      <c r="AF37" s="25"/>
      <c r="AG37" s="25"/>
    </row>
    <row r="38" spans="2:33" x14ac:dyDescent="0.25">
      <c r="C38" s="31"/>
      <c r="D38" s="31"/>
      <c r="G38" s="22"/>
      <c r="H38" s="22" t="s">
        <v>120</v>
      </c>
      <c r="I38" s="22"/>
      <c r="J38" s="26"/>
      <c r="K38" s="75">
        <f>D16</f>
        <v>795000000</v>
      </c>
      <c r="L38" s="22"/>
      <c r="M38" s="22"/>
      <c r="N38" s="24"/>
      <c r="O38" s="22"/>
      <c r="P38" s="22"/>
      <c r="Q38" s="22"/>
      <c r="R38" s="22"/>
      <c r="S38" s="26"/>
      <c r="T38" s="22"/>
      <c r="U38" s="22"/>
      <c r="V38" s="24"/>
      <c r="W38" s="22"/>
      <c r="Y38" s="22"/>
      <c r="Z38" s="26"/>
      <c r="AA38" s="26"/>
      <c r="AB38" s="22"/>
      <c r="AC38" s="22"/>
      <c r="AD38" s="24"/>
      <c r="AE38" s="22"/>
      <c r="AF38" s="25"/>
      <c r="AG38" s="25"/>
    </row>
    <row r="39" spans="2:33" x14ac:dyDescent="0.25">
      <c r="G39" s="22"/>
      <c r="H39" s="22"/>
      <c r="I39" s="22"/>
      <c r="J39" s="26"/>
      <c r="K39" s="26"/>
      <c r="L39" s="22"/>
      <c r="M39" s="22"/>
      <c r="N39" s="24"/>
      <c r="O39" s="22"/>
      <c r="P39" s="22"/>
      <c r="Q39" s="22"/>
      <c r="R39" s="22"/>
      <c r="S39" s="26"/>
      <c r="T39" s="22"/>
      <c r="U39" s="22"/>
      <c r="V39" s="24"/>
      <c r="W39" s="22"/>
      <c r="X39" s="74" t="s">
        <v>100</v>
      </c>
      <c r="Y39" s="22"/>
      <c r="Z39" s="26"/>
      <c r="AA39" s="26"/>
      <c r="AB39" s="22"/>
      <c r="AC39" s="22"/>
      <c r="AD39" s="24"/>
      <c r="AE39" s="22"/>
      <c r="AF39" s="25"/>
      <c r="AG39" s="25"/>
    </row>
    <row r="40" spans="2:33" x14ac:dyDescent="0.25">
      <c r="G40" s="22"/>
      <c r="H40" s="74" t="s">
        <v>121</v>
      </c>
      <c r="I40" s="22"/>
      <c r="J40" s="22"/>
      <c r="K40" s="22"/>
      <c r="L40" s="22"/>
      <c r="M40" s="22"/>
      <c r="N40" s="24"/>
      <c r="O40" s="22"/>
      <c r="P40" s="22"/>
      <c r="Q40" s="22"/>
      <c r="R40" s="22"/>
      <c r="S40" s="26"/>
      <c r="T40" s="22"/>
      <c r="U40" s="22"/>
      <c r="V40" s="24"/>
      <c r="W40" s="22"/>
      <c r="X40" s="22" t="s">
        <v>101</v>
      </c>
      <c r="Y40" s="22"/>
      <c r="Z40" s="22"/>
      <c r="AA40" s="75">
        <f>K15</f>
        <v>23000000</v>
      </c>
      <c r="AB40" s="22"/>
      <c r="AC40" s="22"/>
      <c r="AD40" s="24"/>
      <c r="AE40" s="22"/>
      <c r="AF40" s="25"/>
      <c r="AG40" s="25"/>
    </row>
    <row r="41" spans="2:33" x14ac:dyDescent="0.25">
      <c r="G41" s="22"/>
      <c r="H41" s="22" t="s">
        <v>122</v>
      </c>
      <c r="I41" s="22"/>
      <c r="J41" s="22"/>
      <c r="K41" s="75">
        <f>C21</f>
        <v>125000000</v>
      </c>
      <c r="L41" s="22"/>
      <c r="M41" s="22"/>
      <c r="N41" s="24"/>
      <c r="O41" s="22"/>
      <c r="P41" s="22"/>
      <c r="Q41" s="22"/>
      <c r="R41" s="22"/>
      <c r="S41" s="22"/>
      <c r="T41" s="22"/>
      <c r="U41" s="22"/>
      <c r="V41" s="24"/>
      <c r="W41" s="22"/>
      <c r="X41" s="22" t="s">
        <v>102</v>
      </c>
      <c r="Y41" s="22"/>
      <c r="Z41" s="32"/>
      <c r="AA41" s="75">
        <f>K16</f>
        <v>37391500</v>
      </c>
      <c r="AB41" s="22"/>
      <c r="AC41" s="22"/>
      <c r="AD41" s="24"/>
      <c r="AE41" s="22"/>
      <c r="AF41" s="25"/>
      <c r="AG41" s="25"/>
    </row>
    <row r="42" spans="2:33" x14ac:dyDescent="0.25">
      <c r="G42" s="22"/>
      <c r="H42" s="22" t="s">
        <v>67</v>
      </c>
      <c r="I42" s="22"/>
      <c r="J42" s="22"/>
      <c r="K42" s="75">
        <f>10%*(MAX(C15,C16))</f>
        <v>80500000</v>
      </c>
      <c r="L42" s="22"/>
      <c r="M42" s="22"/>
      <c r="N42" s="24"/>
      <c r="O42" s="22"/>
      <c r="P42" s="22"/>
      <c r="Q42" s="22"/>
      <c r="R42" s="26"/>
      <c r="S42" s="22"/>
      <c r="T42" s="22"/>
      <c r="U42" s="22"/>
      <c r="V42" s="24"/>
      <c r="W42" s="22"/>
      <c r="X42" s="22" t="s">
        <v>103</v>
      </c>
      <c r="Y42" s="22"/>
      <c r="Z42" s="22"/>
      <c r="AA42" s="75">
        <f>K17</f>
        <v>-48210000</v>
      </c>
      <c r="AB42" s="22"/>
      <c r="AC42" s="22"/>
      <c r="AD42" s="24"/>
      <c r="AE42" s="22"/>
      <c r="AF42" s="25"/>
      <c r="AG42" s="25"/>
    </row>
    <row r="43" spans="2:33" x14ac:dyDescent="0.25">
      <c r="G43" s="22"/>
      <c r="H43" s="22" t="s">
        <v>123</v>
      </c>
      <c r="I43" s="22"/>
      <c r="J43" s="22"/>
      <c r="K43" s="75">
        <f>MAX(0,ABS(K41)-K42)</f>
        <v>44500000</v>
      </c>
      <c r="L43" s="22"/>
      <c r="M43" s="22"/>
      <c r="N43" s="24"/>
      <c r="O43" s="22"/>
      <c r="P43" s="22"/>
      <c r="Q43" s="22"/>
      <c r="R43" s="22"/>
      <c r="S43" s="22"/>
      <c r="T43" s="22"/>
      <c r="U43" s="22"/>
      <c r="V43" s="24"/>
      <c r="W43" s="22"/>
      <c r="X43" s="22" t="s">
        <v>104</v>
      </c>
      <c r="Y43" s="22"/>
      <c r="Z43" s="22"/>
      <c r="AA43" s="75">
        <f>K18</f>
        <v>3708333.3333333335</v>
      </c>
      <c r="AB43" s="22"/>
      <c r="AC43" s="22"/>
      <c r="AD43" s="24"/>
      <c r="AE43" s="22"/>
      <c r="AF43" s="25"/>
      <c r="AG43" s="25"/>
    </row>
    <row r="44" spans="2:33" x14ac:dyDescent="0.25">
      <c r="G44" s="22"/>
      <c r="H44" s="22" t="s">
        <v>124</v>
      </c>
      <c r="I44" s="22"/>
      <c r="J44" s="26"/>
      <c r="K44" s="75">
        <f>K43/C24</f>
        <v>3708333.3333333335</v>
      </c>
      <c r="L44" s="22"/>
      <c r="M44" s="22"/>
      <c r="N44" s="24"/>
      <c r="O44" s="22"/>
      <c r="P44" s="22"/>
      <c r="Q44" s="22"/>
      <c r="R44" s="22"/>
      <c r="S44" s="22"/>
      <c r="T44" s="22"/>
      <c r="U44" s="22"/>
      <c r="V44" s="24"/>
      <c r="W44" s="22"/>
      <c r="X44" s="22" t="s">
        <v>105</v>
      </c>
      <c r="Y44" s="22"/>
      <c r="Z44" s="22"/>
      <c r="AA44" s="75">
        <f>K19</f>
        <v>2750000</v>
      </c>
      <c r="AB44" s="22"/>
      <c r="AC44" s="22"/>
      <c r="AD44" s="24"/>
      <c r="AE44" s="22"/>
      <c r="AF44" s="25"/>
      <c r="AG44" s="25"/>
    </row>
    <row r="45" spans="2:33" x14ac:dyDescent="0.25">
      <c r="G45" s="22"/>
      <c r="H45" s="22"/>
      <c r="I45" s="22"/>
      <c r="J45" s="26"/>
      <c r="K45" s="26"/>
      <c r="L45" s="22"/>
      <c r="M45" s="22"/>
      <c r="N45" s="24"/>
      <c r="O45" s="22"/>
      <c r="P45" s="22"/>
      <c r="Q45" s="22"/>
      <c r="R45" s="26"/>
      <c r="S45" s="26"/>
      <c r="T45" s="22"/>
      <c r="U45" s="22"/>
      <c r="V45" s="24"/>
      <c r="W45" s="22"/>
      <c r="X45" s="76" t="s">
        <v>162</v>
      </c>
      <c r="Y45" s="76"/>
      <c r="Z45" s="81"/>
      <c r="AA45" s="78">
        <f>AA37</f>
        <v>81074217.933608338</v>
      </c>
      <c r="AB45" s="22"/>
      <c r="AC45" s="22"/>
      <c r="AD45" s="24"/>
      <c r="AE45" s="22"/>
      <c r="AF45" s="25"/>
      <c r="AG45" s="25"/>
    </row>
    <row r="46" spans="2:33" x14ac:dyDescent="0.25">
      <c r="G46" s="22"/>
      <c r="H46" s="74" t="s">
        <v>125</v>
      </c>
      <c r="I46" s="22"/>
      <c r="J46" s="22"/>
      <c r="K46" s="22"/>
      <c r="L46" s="22"/>
      <c r="M46" s="22"/>
      <c r="N46" s="24"/>
      <c r="O46" s="22"/>
      <c r="P46" s="22"/>
      <c r="Q46" s="22"/>
      <c r="R46" s="26"/>
      <c r="S46" s="26"/>
      <c r="T46" s="22"/>
      <c r="U46" s="22"/>
      <c r="V46" s="24"/>
      <c r="W46" s="22"/>
      <c r="X46" s="79" t="s">
        <v>106</v>
      </c>
      <c r="Y46" s="79"/>
      <c r="Z46" s="82"/>
      <c r="AA46" s="83">
        <f>SUM(AA40:AA45)</f>
        <v>99714051.266941667</v>
      </c>
      <c r="AB46" s="22"/>
      <c r="AC46" s="22"/>
      <c r="AD46" s="24"/>
      <c r="AE46" s="22"/>
      <c r="AF46" s="25"/>
      <c r="AG46" s="25"/>
    </row>
    <row r="47" spans="2:33" x14ac:dyDescent="0.25">
      <c r="G47" s="22"/>
      <c r="H47" s="22" t="s">
        <v>126</v>
      </c>
      <c r="I47" s="22"/>
      <c r="J47" s="22"/>
      <c r="K47" s="75">
        <f>C22</f>
        <v>33000000</v>
      </c>
      <c r="L47" s="22"/>
      <c r="M47" s="22"/>
      <c r="N47" s="24"/>
      <c r="O47" s="22"/>
      <c r="P47" s="22"/>
      <c r="Q47" s="22"/>
      <c r="R47" s="22"/>
      <c r="S47" s="22"/>
      <c r="T47" s="22"/>
      <c r="U47" s="22"/>
      <c r="V47" s="24"/>
      <c r="W47" s="22"/>
      <c r="Y47" s="22"/>
      <c r="Z47" s="26"/>
      <c r="AA47" s="26"/>
      <c r="AB47" s="22"/>
      <c r="AC47" s="22"/>
      <c r="AD47" s="24"/>
      <c r="AE47" s="22"/>
      <c r="AF47" s="25"/>
      <c r="AG47" s="25"/>
    </row>
    <row r="48" spans="2:33" x14ac:dyDescent="0.25">
      <c r="G48" s="22"/>
      <c r="H48" s="22" t="s">
        <v>124</v>
      </c>
      <c r="I48" s="22"/>
      <c r="J48" s="22"/>
      <c r="K48" s="75">
        <f>K47/C24</f>
        <v>2750000</v>
      </c>
      <c r="L48" s="22"/>
      <c r="M48" s="22"/>
      <c r="N48" s="24"/>
      <c r="O48" s="22"/>
      <c r="P48" s="22"/>
      <c r="Q48" s="22"/>
      <c r="R48" s="22"/>
      <c r="S48" s="22"/>
      <c r="T48" s="22"/>
      <c r="U48" s="22"/>
      <c r="V48" s="24"/>
      <c r="W48" s="22"/>
      <c r="X48" s="33" t="s">
        <v>107</v>
      </c>
      <c r="Y48" s="22"/>
      <c r="Z48" s="26"/>
      <c r="AA48" s="26"/>
      <c r="AB48" s="22"/>
      <c r="AC48" s="22"/>
      <c r="AD48" s="24"/>
      <c r="AE48" s="22"/>
      <c r="AF48" s="25"/>
      <c r="AG48" s="25"/>
    </row>
    <row r="49" spans="7:33" x14ac:dyDescent="0.25">
      <c r="G49" s="22"/>
      <c r="H49" s="22"/>
      <c r="I49" s="22"/>
      <c r="J49" s="22"/>
      <c r="K49" s="22"/>
      <c r="L49" s="22"/>
      <c r="M49" s="22"/>
      <c r="N49" s="24"/>
      <c r="O49" s="22"/>
      <c r="P49" s="22"/>
      <c r="Q49" s="22"/>
      <c r="R49" s="22"/>
      <c r="S49" s="22"/>
      <c r="T49" s="22"/>
      <c r="U49" s="22"/>
      <c r="V49" s="24"/>
      <c r="W49" s="22"/>
      <c r="X49" s="1" t="s">
        <v>108</v>
      </c>
      <c r="Y49" s="22"/>
      <c r="Z49" s="22"/>
      <c r="AA49" s="86">
        <f>K23</f>
        <v>695000000</v>
      </c>
      <c r="AB49" s="22"/>
      <c r="AC49" s="22"/>
      <c r="AD49" s="24"/>
      <c r="AE49" s="22"/>
      <c r="AF49" s="25"/>
      <c r="AG49" s="25"/>
    </row>
    <row r="50" spans="7:33" x14ac:dyDescent="0.25">
      <c r="G50" s="22"/>
      <c r="H50" s="22"/>
      <c r="I50" s="22"/>
      <c r="J50" s="22"/>
      <c r="K50" s="92"/>
      <c r="L50" s="22"/>
      <c r="M50" s="22"/>
      <c r="N50" s="24"/>
      <c r="O50" s="22"/>
      <c r="P50" s="22"/>
      <c r="Q50" s="22"/>
      <c r="R50" s="22"/>
      <c r="S50" s="22"/>
      <c r="T50" s="22"/>
      <c r="U50" s="22"/>
      <c r="V50" s="24"/>
      <c r="W50" s="22"/>
      <c r="X50" s="1" t="s">
        <v>101</v>
      </c>
      <c r="Y50" s="22"/>
      <c r="Z50" s="26"/>
      <c r="AA50" s="86">
        <f>K24</f>
        <v>23000000</v>
      </c>
      <c r="AB50" s="22"/>
      <c r="AC50" s="22"/>
      <c r="AD50" s="24"/>
      <c r="AE50" s="22"/>
      <c r="AF50" s="25"/>
      <c r="AG50" s="25"/>
    </row>
    <row r="51" spans="7:33" x14ac:dyDescent="0.25">
      <c r="G51" s="22"/>
      <c r="H51" s="22"/>
      <c r="I51" s="22"/>
      <c r="J51" s="22"/>
      <c r="K51" s="92"/>
      <c r="L51" s="22"/>
      <c r="M51" s="22"/>
      <c r="N51" s="24"/>
      <c r="O51" s="22"/>
      <c r="P51" s="22"/>
      <c r="Q51" s="22"/>
      <c r="R51" s="22"/>
      <c r="S51" s="22"/>
      <c r="T51" s="22"/>
      <c r="U51" s="22"/>
      <c r="V51" s="24"/>
      <c r="W51" s="22"/>
      <c r="X51" s="1" t="s">
        <v>109</v>
      </c>
      <c r="Y51" s="22"/>
      <c r="Z51" s="26"/>
      <c r="AA51" s="86">
        <f>K25</f>
        <v>37391500</v>
      </c>
      <c r="AB51" s="26"/>
      <c r="AC51" s="22"/>
      <c r="AD51" s="24"/>
      <c r="AE51" s="22"/>
      <c r="AF51" s="25"/>
      <c r="AG51" s="25"/>
    </row>
    <row r="52" spans="7:33" x14ac:dyDescent="0.25">
      <c r="G52" s="22"/>
      <c r="H52" s="22"/>
      <c r="I52" s="22"/>
      <c r="J52" s="22"/>
      <c r="K52" s="92"/>
      <c r="L52" s="22"/>
      <c r="M52" s="22"/>
      <c r="N52" s="24"/>
      <c r="O52" s="22"/>
      <c r="P52" s="22"/>
      <c r="Q52" s="22"/>
      <c r="R52" s="22"/>
      <c r="S52" s="22"/>
      <c r="T52" s="22"/>
      <c r="U52" s="22"/>
      <c r="V52" s="24"/>
      <c r="W52" s="22"/>
      <c r="X52" s="77" t="s">
        <v>110</v>
      </c>
      <c r="Y52" s="76"/>
      <c r="Z52" s="76"/>
      <c r="AA52" s="88">
        <f>K26</f>
        <v>-25000000</v>
      </c>
      <c r="AB52" s="26"/>
      <c r="AC52" s="22"/>
      <c r="AD52" s="24"/>
      <c r="AE52" s="22"/>
      <c r="AF52" s="25"/>
      <c r="AG52" s="25"/>
    </row>
    <row r="53" spans="7:33" x14ac:dyDescent="0.25">
      <c r="G53" s="22"/>
      <c r="H53" s="22"/>
      <c r="I53" s="22"/>
      <c r="J53" s="22"/>
      <c r="K53" s="86"/>
      <c r="L53" s="22"/>
      <c r="M53" s="22"/>
      <c r="N53" s="24"/>
      <c r="O53" s="22"/>
      <c r="P53" s="22"/>
      <c r="Q53" s="22"/>
      <c r="R53" s="22"/>
      <c r="S53" s="22"/>
      <c r="T53" s="22"/>
      <c r="U53" s="22"/>
      <c r="V53" s="24"/>
      <c r="W53" s="22"/>
      <c r="X53" s="1" t="s">
        <v>163</v>
      </c>
      <c r="Y53" s="22"/>
      <c r="Z53" s="22"/>
      <c r="AA53" s="86">
        <f>SUM(AA49:AA52)</f>
        <v>730391500</v>
      </c>
      <c r="AB53" s="22"/>
      <c r="AC53" s="22"/>
      <c r="AD53" s="24"/>
      <c r="AE53" s="22"/>
      <c r="AF53" s="25"/>
      <c r="AG53" s="25"/>
    </row>
    <row r="54" spans="7:33" x14ac:dyDescent="0.25">
      <c r="G54" s="22"/>
      <c r="H54" s="22"/>
      <c r="I54" s="22"/>
      <c r="J54" s="22"/>
      <c r="K54" s="92"/>
      <c r="L54" s="22"/>
      <c r="M54" s="22"/>
      <c r="N54" s="24"/>
      <c r="O54" s="22"/>
      <c r="P54" s="22"/>
      <c r="Q54" s="22"/>
      <c r="R54" s="22"/>
      <c r="S54" s="22"/>
      <c r="T54" s="22"/>
      <c r="U54" s="22"/>
      <c r="V54" s="24"/>
      <c r="W54" s="22"/>
      <c r="X54" s="77" t="s">
        <v>112</v>
      </c>
      <c r="Y54" s="76"/>
      <c r="Z54" s="76"/>
      <c r="AA54" s="88">
        <f>AA55-AA53</f>
        <v>84608500</v>
      </c>
      <c r="AB54" s="22"/>
      <c r="AC54" s="22"/>
      <c r="AD54" s="24"/>
      <c r="AE54" s="22"/>
      <c r="AF54" s="25"/>
      <c r="AG54" s="25"/>
    </row>
    <row r="55" spans="7:33" x14ac:dyDescent="0.25">
      <c r="G55" s="22"/>
      <c r="H55" s="22"/>
      <c r="I55" s="22"/>
      <c r="J55" s="22"/>
      <c r="K55" s="92"/>
      <c r="L55" s="22"/>
      <c r="M55" s="22"/>
      <c r="N55" s="24"/>
      <c r="O55" s="22"/>
      <c r="P55" s="22"/>
      <c r="Q55" s="22"/>
      <c r="R55" s="22"/>
      <c r="S55" s="22"/>
      <c r="T55" s="22"/>
      <c r="U55" s="22"/>
      <c r="V55" s="24"/>
      <c r="W55" s="22"/>
      <c r="X55" s="22" t="s">
        <v>164</v>
      </c>
      <c r="Y55" s="22"/>
      <c r="Z55" s="22"/>
      <c r="AA55" s="86">
        <f>D15</f>
        <v>815000000</v>
      </c>
      <c r="AB55" s="22"/>
      <c r="AC55" s="22"/>
      <c r="AD55" s="24"/>
      <c r="AE55" s="22"/>
      <c r="AF55" s="25"/>
      <c r="AG55" s="25"/>
    </row>
    <row r="56" spans="7:33" x14ac:dyDescent="0.25">
      <c r="G56" s="22"/>
      <c r="H56" s="22"/>
      <c r="I56" s="22"/>
      <c r="J56" s="22"/>
      <c r="K56" s="92"/>
      <c r="L56" s="22"/>
      <c r="M56" s="22"/>
      <c r="N56" s="24"/>
      <c r="O56" s="22"/>
      <c r="P56" s="22"/>
      <c r="Q56" s="22"/>
      <c r="R56" s="22"/>
      <c r="S56" s="22"/>
      <c r="T56" s="22"/>
      <c r="U56" s="22"/>
      <c r="V56" s="24"/>
      <c r="W56" s="22"/>
      <c r="X56" s="76" t="s">
        <v>165</v>
      </c>
      <c r="Y56" s="76"/>
      <c r="Z56" s="81"/>
      <c r="AA56" s="78">
        <f>-AA25</f>
        <v>-200000000</v>
      </c>
      <c r="AB56" s="22"/>
      <c r="AC56" s="22"/>
      <c r="AD56" s="24"/>
      <c r="AE56" s="22"/>
      <c r="AF56" s="25"/>
      <c r="AG56" s="25"/>
    </row>
    <row r="57" spans="7:33" x14ac:dyDescent="0.25">
      <c r="G57" s="22"/>
      <c r="H57" s="22"/>
      <c r="I57" s="22"/>
      <c r="J57" s="22"/>
      <c r="K57" s="86"/>
      <c r="L57" s="22"/>
      <c r="M57" s="22"/>
      <c r="N57" s="24"/>
      <c r="O57" s="22"/>
      <c r="P57" s="22"/>
      <c r="Q57" s="22"/>
      <c r="R57" s="22"/>
      <c r="S57" s="22"/>
      <c r="T57" s="22"/>
      <c r="U57" s="22"/>
      <c r="V57" s="24"/>
      <c r="W57" s="22"/>
      <c r="X57" s="22" t="s">
        <v>166</v>
      </c>
      <c r="Y57" s="22"/>
      <c r="Z57" s="23"/>
      <c r="AA57" s="75">
        <f>SUM(AA55:AA56)</f>
        <v>615000000</v>
      </c>
      <c r="AB57" s="22"/>
      <c r="AC57" s="22"/>
      <c r="AD57" s="24"/>
      <c r="AE57" s="22"/>
      <c r="AF57" s="25"/>
      <c r="AG57" s="25"/>
    </row>
    <row r="58" spans="7:33" x14ac:dyDescent="0.25">
      <c r="G58" s="22"/>
      <c r="H58" s="22"/>
      <c r="I58" s="22"/>
      <c r="J58" s="22"/>
      <c r="K58" s="92"/>
      <c r="L58" s="22"/>
      <c r="M58" s="22"/>
      <c r="N58" s="24"/>
      <c r="O58" s="22"/>
      <c r="P58" s="22"/>
      <c r="Q58" s="22"/>
      <c r="R58" s="22"/>
      <c r="S58" s="22"/>
      <c r="T58" s="22"/>
      <c r="U58" s="22"/>
      <c r="V58" s="24"/>
      <c r="W58" s="22"/>
      <c r="X58" s="22"/>
      <c r="Y58" s="22"/>
      <c r="Z58" s="22"/>
      <c r="AA58" s="22"/>
      <c r="AB58" s="22"/>
      <c r="AC58" s="22"/>
      <c r="AD58" s="24"/>
      <c r="AE58" s="22"/>
      <c r="AF58" s="25"/>
      <c r="AG58" s="25"/>
    </row>
    <row r="59" spans="7:33" x14ac:dyDescent="0.25">
      <c r="G59" s="22"/>
      <c r="H59" s="22"/>
      <c r="I59" s="22"/>
      <c r="J59" s="22"/>
      <c r="K59" s="22"/>
      <c r="L59" s="22"/>
      <c r="M59" s="22"/>
      <c r="N59" s="24"/>
      <c r="O59" s="22"/>
      <c r="P59" s="22"/>
      <c r="Q59" s="22"/>
      <c r="R59" s="22"/>
      <c r="S59" s="22"/>
      <c r="T59" s="22"/>
      <c r="U59" s="22"/>
      <c r="V59" s="24"/>
      <c r="W59" s="22"/>
      <c r="X59" s="74" t="s">
        <v>114</v>
      </c>
      <c r="Y59" s="22"/>
      <c r="Z59" s="22"/>
      <c r="AA59" s="26"/>
      <c r="AB59" s="22"/>
      <c r="AC59" s="22"/>
      <c r="AD59" s="24"/>
      <c r="AE59" s="22"/>
      <c r="AF59" s="25"/>
      <c r="AG59" s="25"/>
    </row>
    <row r="60" spans="7:33" x14ac:dyDescent="0.25">
      <c r="G60" s="22"/>
      <c r="H60" s="22"/>
      <c r="I60" s="22"/>
      <c r="J60" s="22"/>
      <c r="K60" s="86"/>
      <c r="L60" s="22"/>
      <c r="M60" s="22"/>
      <c r="N60" s="24"/>
      <c r="O60" s="22"/>
      <c r="P60" s="22"/>
      <c r="Q60" s="22"/>
      <c r="R60" s="22"/>
      <c r="S60" s="22"/>
      <c r="T60" s="22"/>
      <c r="U60" s="22"/>
      <c r="V60" s="24"/>
      <c r="W60" s="22"/>
      <c r="X60" s="22" t="s">
        <v>115</v>
      </c>
      <c r="Y60" s="22"/>
      <c r="Z60" s="22"/>
      <c r="AA60" s="75">
        <f>K32</f>
        <v>805000000</v>
      </c>
      <c r="AB60" s="22"/>
      <c r="AC60" s="22"/>
      <c r="AD60" s="24"/>
      <c r="AE60" s="22"/>
      <c r="AF60" s="25"/>
      <c r="AG60" s="25"/>
    </row>
    <row r="61" spans="7:33" x14ac:dyDescent="0.25">
      <c r="G61" s="22"/>
      <c r="H61" s="22"/>
      <c r="I61" s="22"/>
      <c r="J61" s="22"/>
      <c r="K61" s="86"/>
      <c r="L61" s="22"/>
      <c r="M61" s="22"/>
      <c r="N61" s="24"/>
      <c r="O61" s="22"/>
      <c r="P61" s="22"/>
      <c r="Q61" s="22"/>
      <c r="R61" s="22"/>
      <c r="S61" s="22"/>
      <c r="T61" s="22"/>
      <c r="U61" s="22"/>
      <c r="V61" s="24"/>
      <c r="W61" s="22"/>
      <c r="X61" s="22" t="s">
        <v>116</v>
      </c>
      <c r="Y61" s="22"/>
      <c r="Z61" s="22"/>
      <c r="AA61" s="75">
        <f>K33</f>
        <v>22000000</v>
      </c>
      <c r="AB61" s="22"/>
      <c r="AC61" s="22"/>
      <c r="AD61" s="24"/>
      <c r="AE61" s="22"/>
      <c r="AF61" s="25"/>
      <c r="AG61" s="25"/>
    </row>
    <row r="62" spans="7:33" x14ac:dyDescent="0.25">
      <c r="G62" s="22"/>
      <c r="H62" s="22"/>
      <c r="I62" s="22"/>
      <c r="J62" s="22"/>
      <c r="K62" s="22"/>
      <c r="L62" s="22"/>
      <c r="M62" s="22"/>
      <c r="N62" s="24"/>
      <c r="O62" s="22"/>
      <c r="P62" s="22"/>
      <c r="Q62" s="22"/>
      <c r="R62" s="22"/>
      <c r="S62" s="22"/>
      <c r="T62" s="22"/>
      <c r="U62" s="22"/>
      <c r="V62" s="24"/>
      <c r="W62" s="22"/>
      <c r="X62" s="22" t="s">
        <v>110</v>
      </c>
      <c r="Y62" s="22"/>
      <c r="Z62" s="22"/>
      <c r="AA62" s="75">
        <f>K34</f>
        <v>-25000000</v>
      </c>
      <c r="AB62" s="22"/>
      <c r="AC62" s="22"/>
      <c r="AD62" s="24"/>
      <c r="AE62" s="22"/>
      <c r="AF62" s="25"/>
      <c r="AG62" s="25"/>
    </row>
    <row r="63" spans="7:33" x14ac:dyDescent="0.25">
      <c r="G63" s="22"/>
      <c r="H63" s="22"/>
      <c r="I63" s="22"/>
      <c r="J63" s="22"/>
      <c r="K63" s="22"/>
      <c r="L63" s="22"/>
      <c r="M63" s="22"/>
      <c r="N63" s="24"/>
      <c r="O63" s="22"/>
      <c r="P63" s="22"/>
      <c r="Q63" s="22"/>
      <c r="R63" s="22"/>
      <c r="S63" s="22"/>
      <c r="T63" s="22"/>
      <c r="U63" s="22"/>
      <c r="V63" s="24"/>
      <c r="W63" s="22"/>
      <c r="X63" s="76" t="s">
        <v>117</v>
      </c>
      <c r="Y63" s="76"/>
      <c r="Z63" s="76"/>
      <c r="AA63" s="78">
        <f>K35</f>
        <v>48210000</v>
      </c>
      <c r="AB63" s="22"/>
      <c r="AC63" s="22"/>
      <c r="AD63" s="24"/>
      <c r="AE63" s="22"/>
      <c r="AF63" s="25"/>
      <c r="AG63" s="25"/>
    </row>
    <row r="64" spans="7:33" x14ac:dyDescent="0.25">
      <c r="G64" s="22"/>
      <c r="H64" s="22"/>
      <c r="I64" s="22"/>
      <c r="J64" s="22"/>
      <c r="K64" s="22"/>
      <c r="L64" s="22"/>
      <c r="M64" s="22"/>
      <c r="N64" s="24"/>
      <c r="O64" s="22"/>
      <c r="P64" s="22"/>
      <c r="Q64" s="22"/>
      <c r="R64" s="22"/>
      <c r="S64" s="22"/>
      <c r="T64" s="22"/>
      <c r="U64" s="22"/>
      <c r="V64" s="24"/>
      <c r="W64" s="22"/>
      <c r="X64" s="22" t="s">
        <v>118</v>
      </c>
      <c r="Y64" s="22"/>
      <c r="Z64" s="22"/>
      <c r="AA64" s="86">
        <f>SUM(AA60:AA63)</f>
        <v>850210000</v>
      </c>
      <c r="AB64" s="22"/>
      <c r="AC64" s="22"/>
      <c r="AD64" s="24"/>
      <c r="AE64" s="22"/>
      <c r="AF64" s="25"/>
      <c r="AG64" s="25"/>
    </row>
    <row r="65" spans="7:33" x14ac:dyDescent="0.25">
      <c r="G65" s="22"/>
      <c r="H65" s="22"/>
      <c r="I65" s="22"/>
      <c r="J65" s="22"/>
      <c r="K65" s="22"/>
      <c r="L65" s="22"/>
      <c r="M65" s="22"/>
      <c r="N65" s="24"/>
      <c r="O65" s="22"/>
      <c r="P65" s="22"/>
      <c r="Q65" s="22"/>
      <c r="R65" s="22"/>
      <c r="S65" s="22"/>
      <c r="T65" s="22"/>
      <c r="U65" s="22"/>
      <c r="V65" s="24"/>
      <c r="W65" s="22"/>
      <c r="X65" s="76" t="s">
        <v>119</v>
      </c>
      <c r="Y65" s="76"/>
      <c r="Z65" s="76"/>
      <c r="AA65" s="88">
        <f>AA66-AA64</f>
        <v>-55210000</v>
      </c>
      <c r="AB65" s="22"/>
      <c r="AC65" s="22"/>
      <c r="AD65" s="24"/>
      <c r="AE65" s="22"/>
      <c r="AF65" s="25"/>
      <c r="AG65" s="25"/>
    </row>
    <row r="66" spans="7:33" x14ac:dyDescent="0.25">
      <c r="G66" s="22"/>
      <c r="H66" s="22"/>
      <c r="I66" s="22"/>
      <c r="J66" s="22"/>
      <c r="K66" s="22"/>
      <c r="L66" s="22"/>
      <c r="M66" s="22"/>
      <c r="N66" s="24"/>
      <c r="O66" s="22"/>
      <c r="P66" s="22"/>
      <c r="Q66" s="22"/>
      <c r="R66" s="22"/>
      <c r="S66" s="22"/>
      <c r="T66" s="22"/>
      <c r="U66" s="22"/>
      <c r="V66" s="24"/>
      <c r="W66" s="22"/>
      <c r="X66" s="22" t="s">
        <v>167</v>
      </c>
      <c r="Y66" s="22"/>
      <c r="Z66" s="22"/>
      <c r="AA66" s="75">
        <f>D16</f>
        <v>795000000</v>
      </c>
      <c r="AB66" s="22"/>
      <c r="AC66" s="22"/>
      <c r="AD66" s="24"/>
      <c r="AE66" s="22"/>
      <c r="AF66" s="25"/>
      <c r="AG66" s="25"/>
    </row>
    <row r="67" spans="7:33" x14ac:dyDescent="0.25">
      <c r="G67" s="22"/>
      <c r="H67" s="22"/>
      <c r="I67" s="22"/>
      <c r="J67" s="22"/>
      <c r="K67" s="22"/>
      <c r="L67" s="22"/>
      <c r="M67" s="22"/>
      <c r="N67" s="24"/>
      <c r="O67" s="22"/>
      <c r="P67" s="22"/>
      <c r="Q67" s="22"/>
      <c r="R67" s="22"/>
      <c r="S67" s="22"/>
      <c r="T67" s="22"/>
      <c r="U67" s="22"/>
      <c r="V67" s="24"/>
      <c r="W67" s="22"/>
      <c r="X67" s="76" t="s">
        <v>168</v>
      </c>
      <c r="Y67" s="76"/>
      <c r="Z67" s="76"/>
      <c r="AA67" s="78">
        <f>-AA26</f>
        <v>-233500000</v>
      </c>
      <c r="AB67" s="26"/>
      <c r="AC67" s="22"/>
      <c r="AD67" s="24"/>
      <c r="AE67" s="22"/>
      <c r="AF67" s="25"/>
      <c r="AG67" s="25"/>
    </row>
    <row r="68" spans="7:33" x14ac:dyDescent="0.25">
      <c r="G68" s="22"/>
      <c r="H68" s="22"/>
      <c r="I68" s="22"/>
      <c r="J68" s="22"/>
      <c r="K68" s="22"/>
      <c r="L68" s="22"/>
      <c r="M68" s="22"/>
      <c r="N68" s="24"/>
      <c r="O68" s="22"/>
      <c r="P68" s="22"/>
      <c r="Q68" s="22"/>
      <c r="R68" s="22"/>
      <c r="S68" s="22"/>
      <c r="T68" s="22"/>
      <c r="U68" s="22"/>
      <c r="V68" s="24"/>
      <c r="W68" s="22"/>
      <c r="X68" s="22" t="s">
        <v>169</v>
      </c>
      <c r="Y68" s="22"/>
      <c r="Z68" s="22"/>
      <c r="AA68" s="86">
        <f>SUM(AA66:AA67)</f>
        <v>561500000</v>
      </c>
      <c r="AB68" s="22"/>
      <c r="AC68" s="22"/>
      <c r="AD68" s="24"/>
      <c r="AE68" s="22"/>
      <c r="AF68" s="25"/>
      <c r="AG68" s="25"/>
    </row>
    <row r="69" spans="7:33" x14ac:dyDescent="0.25">
      <c r="G69" s="22"/>
      <c r="H69" s="22"/>
      <c r="I69" s="22"/>
      <c r="J69" s="22"/>
      <c r="K69" s="22"/>
      <c r="L69" s="22"/>
      <c r="M69" s="22"/>
      <c r="N69" s="24"/>
      <c r="O69" s="22"/>
      <c r="P69" s="22"/>
      <c r="Q69" s="22"/>
      <c r="R69" s="22"/>
      <c r="S69" s="22"/>
      <c r="T69" s="22"/>
      <c r="U69" s="22"/>
      <c r="V69" s="24"/>
      <c r="W69" s="22"/>
      <c r="X69" s="22"/>
      <c r="Y69" s="22"/>
      <c r="Z69" s="22"/>
      <c r="AA69" s="22"/>
      <c r="AB69" s="22"/>
      <c r="AC69" s="22"/>
      <c r="AD69" s="24"/>
      <c r="AE69" s="22"/>
      <c r="AF69" s="25"/>
      <c r="AG69" s="25"/>
    </row>
    <row r="70" spans="7:33" x14ac:dyDescent="0.25">
      <c r="G70" s="22"/>
      <c r="H70" s="22"/>
      <c r="I70" s="22"/>
      <c r="J70" s="22"/>
      <c r="K70" s="22"/>
      <c r="L70" s="22"/>
      <c r="M70" s="22"/>
      <c r="N70" s="24"/>
      <c r="O70" s="22"/>
      <c r="P70" s="22"/>
      <c r="Q70" s="22"/>
      <c r="R70" s="22"/>
      <c r="S70" s="22"/>
      <c r="T70" s="22"/>
      <c r="U70" s="22"/>
      <c r="V70" s="24"/>
      <c r="W70" s="22"/>
      <c r="X70" s="89" t="s">
        <v>170</v>
      </c>
      <c r="Y70" s="89"/>
      <c r="Z70" s="89"/>
      <c r="AA70" s="90">
        <f>AA68-AA57</f>
        <v>-53500000</v>
      </c>
      <c r="AB70" s="22"/>
      <c r="AC70" s="22"/>
      <c r="AD70" s="24"/>
      <c r="AE70" s="22"/>
      <c r="AF70" s="25"/>
      <c r="AG70" s="25"/>
    </row>
    <row r="71" spans="7:33" x14ac:dyDescent="0.25">
      <c r="G71" s="22"/>
      <c r="H71" s="22"/>
      <c r="I71" s="22"/>
      <c r="J71" s="22"/>
      <c r="K71" s="22"/>
      <c r="L71" s="22"/>
      <c r="M71" s="22"/>
      <c r="N71" s="24"/>
      <c r="O71" s="22"/>
      <c r="P71" s="22"/>
      <c r="Q71" s="22"/>
      <c r="R71" s="22"/>
      <c r="S71" s="22"/>
      <c r="T71" s="22"/>
      <c r="U71" s="22"/>
      <c r="V71" s="24"/>
      <c r="W71" s="22"/>
      <c r="AB71" s="22"/>
      <c r="AC71" s="22"/>
      <c r="AD71" s="24"/>
      <c r="AE71" s="22"/>
      <c r="AF71" s="25"/>
      <c r="AG71" s="25"/>
    </row>
    <row r="72" spans="7:33" x14ac:dyDescent="0.25">
      <c r="G72" s="22"/>
      <c r="H72" s="22"/>
      <c r="I72" s="22"/>
      <c r="J72" s="22"/>
      <c r="K72" s="22"/>
      <c r="L72" s="22"/>
      <c r="M72" s="22"/>
      <c r="N72" s="24"/>
      <c r="O72" s="22"/>
      <c r="P72" s="22"/>
      <c r="Q72" s="22"/>
      <c r="R72" s="22"/>
      <c r="S72" s="22"/>
      <c r="T72" s="22"/>
      <c r="U72" s="22"/>
      <c r="V72" s="24"/>
      <c r="W72" s="22"/>
      <c r="X72" s="74" t="s">
        <v>134</v>
      </c>
      <c r="Y72" s="22"/>
      <c r="Z72" s="22"/>
      <c r="AA72" s="22"/>
      <c r="AB72" s="22"/>
      <c r="AC72" s="22"/>
      <c r="AD72" s="24"/>
      <c r="AE72" s="22"/>
      <c r="AF72" s="25"/>
      <c r="AG72" s="25"/>
    </row>
    <row r="73" spans="7:33" x14ac:dyDescent="0.25">
      <c r="G73" s="22"/>
      <c r="H73" s="22"/>
      <c r="I73" s="22"/>
      <c r="J73" s="22"/>
      <c r="K73" s="22"/>
      <c r="L73" s="22"/>
      <c r="M73" s="22"/>
      <c r="N73" s="24"/>
      <c r="O73" s="22"/>
      <c r="P73" s="22"/>
      <c r="Q73" s="22"/>
      <c r="R73" s="22"/>
      <c r="S73" s="22"/>
      <c r="T73" s="22"/>
      <c r="U73" s="22"/>
      <c r="V73" s="24"/>
      <c r="W73" s="22"/>
      <c r="X73" s="22" t="s">
        <v>135</v>
      </c>
      <c r="Y73" s="22"/>
      <c r="Z73" s="22"/>
      <c r="AA73" s="86">
        <f>S23</f>
        <v>125000000</v>
      </c>
      <c r="AB73" s="22"/>
      <c r="AC73" s="22"/>
      <c r="AD73" s="24"/>
      <c r="AE73" s="22"/>
      <c r="AF73" s="25"/>
      <c r="AG73" s="25"/>
    </row>
    <row r="74" spans="7:33" x14ac:dyDescent="0.25">
      <c r="G74" s="22"/>
      <c r="H74" s="22"/>
      <c r="I74" s="22"/>
      <c r="J74" s="22"/>
      <c r="K74" s="22"/>
      <c r="L74" s="22"/>
      <c r="M74" s="22"/>
      <c r="N74" s="24"/>
      <c r="O74" s="22"/>
      <c r="P74" s="22"/>
      <c r="Q74" s="22"/>
      <c r="R74" s="22"/>
      <c r="S74" s="22"/>
      <c r="T74" s="22"/>
      <c r="U74" s="22"/>
      <c r="V74" s="24"/>
      <c r="W74" s="22"/>
      <c r="X74" s="22" t="s">
        <v>136</v>
      </c>
      <c r="Y74" s="22"/>
      <c r="Z74" s="26"/>
      <c r="AA74" s="86">
        <f>S24</f>
        <v>-3708333.3333333335</v>
      </c>
      <c r="AB74" s="22"/>
      <c r="AC74" s="22"/>
      <c r="AD74" s="24"/>
      <c r="AE74" s="22"/>
      <c r="AF74" s="25"/>
      <c r="AG74" s="25"/>
    </row>
    <row r="75" spans="7:33" x14ac:dyDescent="0.25">
      <c r="G75" s="22"/>
      <c r="H75" s="22"/>
      <c r="I75" s="22"/>
      <c r="J75" s="22"/>
      <c r="K75" s="22"/>
      <c r="L75" s="22"/>
      <c r="M75" s="22"/>
      <c r="N75" s="24"/>
      <c r="O75" s="22"/>
      <c r="P75" s="22"/>
      <c r="Q75" s="22"/>
      <c r="R75" s="22"/>
      <c r="S75" s="22"/>
      <c r="T75" s="22"/>
      <c r="U75" s="22"/>
      <c r="V75" s="24"/>
      <c r="W75" s="22"/>
      <c r="X75" s="22" t="s">
        <v>137</v>
      </c>
      <c r="Y75" s="22"/>
      <c r="Z75" s="26"/>
      <c r="AA75" s="86">
        <f>AA54</f>
        <v>84608500</v>
      </c>
      <c r="AB75" s="22"/>
      <c r="AC75" s="22"/>
      <c r="AD75" s="24"/>
      <c r="AE75" s="22"/>
      <c r="AF75" s="25"/>
      <c r="AG75" s="25"/>
    </row>
    <row r="76" spans="7:33" x14ac:dyDescent="0.25">
      <c r="G76" s="22"/>
      <c r="H76" s="22"/>
      <c r="I76" s="22"/>
      <c r="J76" s="22"/>
      <c r="K76" s="22"/>
      <c r="L76" s="22"/>
      <c r="M76" s="22"/>
      <c r="N76" s="24"/>
      <c r="O76" s="22"/>
      <c r="P76" s="22"/>
      <c r="Q76" s="22"/>
      <c r="R76" s="22"/>
      <c r="S76" s="22"/>
      <c r="T76" s="22"/>
      <c r="U76" s="22"/>
      <c r="V76" s="24"/>
      <c r="W76" s="22"/>
      <c r="X76" s="22" t="s">
        <v>138</v>
      </c>
      <c r="Y76" s="22"/>
      <c r="Z76" s="26"/>
      <c r="AA76" s="86">
        <f>-AA65</f>
        <v>55210000</v>
      </c>
      <c r="AB76" s="22"/>
      <c r="AC76" s="22"/>
      <c r="AD76" s="24"/>
      <c r="AE76" s="22"/>
      <c r="AF76" s="25"/>
      <c r="AG76" s="25"/>
    </row>
    <row r="77" spans="7:33" x14ac:dyDescent="0.25">
      <c r="G77" s="22"/>
      <c r="H77" s="22"/>
      <c r="I77" s="22"/>
      <c r="J77" s="22"/>
      <c r="K77" s="22"/>
      <c r="L77" s="22"/>
      <c r="M77" s="22"/>
      <c r="N77" s="24"/>
      <c r="O77" s="22"/>
      <c r="P77" s="22"/>
      <c r="Q77" s="22"/>
      <c r="R77" s="22"/>
      <c r="S77" s="22"/>
      <c r="T77" s="22"/>
      <c r="U77" s="22"/>
      <c r="V77" s="24"/>
      <c r="W77" s="22"/>
      <c r="X77" s="22" t="s">
        <v>171</v>
      </c>
      <c r="Y77" s="22"/>
      <c r="Z77" s="26"/>
      <c r="AA77" s="75">
        <f>AA27</f>
        <v>33500000</v>
      </c>
      <c r="AB77" s="22"/>
      <c r="AC77" s="22"/>
      <c r="AD77" s="24"/>
      <c r="AE77" s="22"/>
      <c r="AF77" s="25"/>
      <c r="AG77" s="25"/>
    </row>
    <row r="78" spans="7:33" x14ac:dyDescent="0.25">
      <c r="G78" s="22"/>
      <c r="H78" s="22"/>
      <c r="I78" s="22"/>
      <c r="J78" s="22"/>
      <c r="K78" s="22"/>
      <c r="L78" s="22"/>
      <c r="M78" s="22"/>
      <c r="N78" s="24"/>
      <c r="O78" s="22"/>
      <c r="P78" s="22"/>
      <c r="Q78" s="22"/>
      <c r="R78" s="22"/>
      <c r="S78" s="22"/>
      <c r="T78" s="22"/>
      <c r="U78" s="22"/>
      <c r="V78" s="24"/>
      <c r="W78" s="22"/>
      <c r="X78" s="76" t="s">
        <v>172</v>
      </c>
      <c r="Y78" s="76"/>
      <c r="Z78" s="76"/>
      <c r="AA78" s="78">
        <f>-AA37</f>
        <v>-81074217.933608338</v>
      </c>
      <c r="AB78" s="22"/>
      <c r="AC78" s="22"/>
      <c r="AD78" s="24"/>
      <c r="AE78" s="22"/>
      <c r="AF78" s="25"/>
      <c r="AG78" s="25"/>
    </row>
    <row r="79" spans="7:33" x14ac:dyDescent="0.25">
      <c r="G79" s="22"/>
      <c r="H79" s="22"/>
      <c r="I79" s="22"/>
      <c r="J79" s="22"/>
      <c r="K79" s="22"/>
      <c r="L79" s="22"/>
      <c r="M79" s="22"/>
      <c r="N79" s="24"/>
      <c r="O79" s="22"/>
      <c r="P79" s="22"/>
      <c r="Q79" s="22"/>
      <c r="R79" s="22"/>
      <c r="S79" s="22"/>
      <c r="T79" s="22"/>
      <c r="U79" s="22"/>
      <c r="V79" s="24"/>
      <c r="W79" s="22"/>
      <c r="X79" s="22" t="s">
        <v>139</v>
      </c>
      <c r="Y79" s="22"/>
      <c r="Z79" s="26"/>
      <c r="AA79" s="75">
        <f>SUM(AA73:AA78)</f>
        <v>213535948.73305833</v>
      </c>
      <c r="AB79" s="22"/>
      <c r="AC79" s="22"/>
      <c r="AD79" s="24"/>
      <c r="AE79" s="22"/>
      <c r="AF79" s="25"/>
      <c r="AG79" s="25"/>
    </row>
    <row r="80" spans="7:33" x14ac:dyDescent="0.25">
      <c r="G80" s="22"/>
      <c r="H80" s="22"/>
      <c r="I80" s="22"/>
      <c r="J80" s="22"/>
      <c r="K80" s="22"/>
      <c r="L80" s="22"/>
      <c r="M80" s="22"/>
      <c r="N80" s="24"/>
      <c r="O80" s="22"/>
      <c r="P80" s="22"/>
      <c r="Q80" s="22"/>
      <c r="R80" s="22"/>
      <c r="S80" s="22"/>
      <c r="T80" s="22"/>
      <c r="U80" s="22"/>
      <c r="V80" s="24"/>
      <c r="W80" s="22"/>
      <c r="X80" s="22"/>
      <c r="Y80" s="22"/>
      <c r="Z80" s="26"/>
      <c r="AA80" s="26"/>
      <c r="AB80" s="26"/>
      <c r="AC80" s="22"/>
      <c r="AD80" s="24"/>
      <c r="AE80" s="22"/>
      <c r="AF80" s="25"/>
      <c r="AG80" s="25"/>
    </row>
    <row r="81" spans="7:33" x14ac:dyDescent="0.25">
      <c r="G81" s="22"/>
      <c r="H81" s="22"/>
      <c r="I81" s="22"/>
      <c r="J81" s="22"/>
      <c r="K81" s="22"/>
      <c r="L81" s="22"/>
      <c r="M81" s="22"/>
      <c r="N81" s="24"/>
      <c r="O81" s="22"/>
      <c r="P81" s="22"/>
      <c r="Q81" s="22"/>
      <c r="R81" s="22"/>
      <c r="S81" s="22"/>
      <c r="T81" s="22"/>
      <c r="U81" s="22"/>
      <c r="V81" s="24"/>
      <c r="W81" s="22"/>
      <c r="X81" s="74" t="s">
        <v>140</v>
      </c>
      <c r="Y81" s="22"/>
      <c r="Z81" s="22"/>
      <c r="AA81" s="26"/>
      <c r="AB81" s="22"/>
      <c r="AC81" s="22"/>
      <c r="AD81" s="24"/>
      <c r="AE81" s="22"/>
      <c r="AF81" s="25"/>
      <c r="AG81" s="25"/>
    </row>
    <row r="82" spans="7:33" x14ac:dyDescent="0.25">
      <c r="G82" s="22"/>
      <c r="H82" s="22"/>
      <c r="I82" s="22"/>
      <c r="J82" s="22"/>
      <c r="K82" s="22"/>
      <c r="L82" s="22"/>
      <c r="M82" s="22"/>
      <c r="N82" s="24"/>
      <c r="O82" s="22"/>
      <c r="P82" s="22"/>
      <c r="Q82" s="22"/>
      <c r="R82" s="22"/>
      <c r="S82" s="22"/>
      <c r="T82" s="22"/>
      <c r="U82" s="22"/>
      <c r="V82" s="24"/>
      <c r="W82" s="22"/>
      <c r="X82" s="22" t="s">
        <v>135</v>
      </c>
      <c r="Y82" s="22"/>
      <c r="Z82" s="22"/>
      <c r="AA82" s="75">
        <f>S30</f>
        <v>33000000</v>
      </c>
      <c r="AB82" s="22"/>
      <c r="AC82" s="22"/>
      <c r="AD82" s="24"/>
      <c r="AE82" s="22"/>
      <c r="AF82" s="25"/>
      <c r="AG82" s="25"/>
    </row>
    <row r="83" spans="7:33" x14ac:dyDescent="0.25">
      <c r="G83" s="22"/>
      <c r="H83" s="22"/>
      <c r="I83" s="22"/>
      <c r="J83" s="22"/>
      <c r="K83" s="22"/>
      <c r="L83" s="22"/>
      <c r="M83" s="22"/>
      <c r="N83" s="24"/>
      <c r="O83" s="22"/>
      <c r="P83" s="22"/>
      <c r="Q83" s="22"/>
      <c r="R83" s="22"/>
      <c r="S83" s="22"/>
      <c r="T83" s="22"/>
      <c r="U83" s="22"/>
      <c r="V83" s="24"/>
      <c r="W83" s="22"/>
      <c r="X83" s="22" t="s">
        <v>136</v>
      </c>
      <c r="Y83" s="22"/>
      <c r="Z83" s="22"/>
      <c r="AA83" s="75">
        <f>S31</f>
        <v>-2750000</v>
      </c>
      <c r="AB83" s="22"/>
      <c r="AC83" s="22"/>
      <c r="AD83" s="24"/>
      <c r="AE83" s="22"/>
      <c r="AF83" s="25"/>
      <c r="AG83" s="25"/>
    </row>
    <row r="84" spans="7:33" x14ac:dyDescent="0.25">
      <c r="G84" s="22"/>
      <c r="H84" s="22"/>
      <c r="I84" s="22"/>
      <c r="J84" s="22"/>
      <c r="K84" s="22"/>
      <c r="L84" s="22"/>
      <c r="M84" s="22"/>
      <c r="N84" s="24"/>
      <c r="O84" s="22"/>
      <c r="P84" s="22"/>
      <c r="Q84" s="22"/>
      <c r="R84" s="22"/>
      <c r="S84" s="22"/>
      <c r="T84" s="22"/>
      <c r="U84" s="22"/>
      <c r="V84" s="24"/>
      <c r="W84" s="22"/>
      <c r="X84" s="76" t="s">
        <v>141</v>
      </c>
      <c r="Y84" s="76"/>
      <c r="Z84" s="76"/>
      <c r="AA84" s="78">
        <f>S32</f>
        <v>0</v>
      </c>
      <c r="AB84" s="22"/>
      <c r="AC84" s="22"/>
      <c r="AD84" s="24"/>
      <c r="AE84" s="22"/>
      <c r="AF84" s="25"/>
      <c r="AG84" s="25"/>
    </row>
    <row r="85" spans="7:33" x14ac:dyDescent="0.25">
      <c r="G85" s="22"/>
      <c r="H85" s="22"/>
      <c r="I85" s="22"/>
      <c r="J85" s="22"/>
      <c r="K85" s="22"/>
      <c r="L85" s="22"/>
      <c r="M85" s="22"/>
      <c r="N85" s="24"/>
      <c r="O85" s="22"/>
      <c r="P85" s="22"/>
      <c r="Q85" s="22"/>
      <c r="R85" s="22"/>
      <c r="S85" s="22"/>
      <c r="T85" s="22"/>
      <c r="U85" s="22"/>
      <c r="V85" s="24"/>
      <c r="W85" s="22"/>
      <c r="X85" s="22" t="s">
        <v>139</v>
      </c>
      <c r="Y85" s="22"/>
      <c r="Z85" s="26"/>
      <c r="AA85" s="86">
        <f>SUM(AA82:AA84)</f>
        <v>30250000</v>
      </c>
      <c r="AB85" s="22"/>
      <c r="AC85" s="22"/>
      <c r="AD85" s="24"/>
      <c r="AE85" s="22"/>
      <c r="AF85" s="25"/>
      <c r="AG85" s="25"/>
    </row>
    <row r="86" spans="7:33" x14ac:dyDescent="0.25">
      <c r="G86" s="22"/>
      <c r="H86" s="22"/>
      <c r="I86" s="22"/>
      <c r="J86" s="22"/>
      <c r="K86" s="22"/>
      <c r="L86" s="22"/>
      <c r="M86" s="22"/>
      <c r="N86" s="24"/>
      <c r="O86" s="22"/>
      <c r="P86" s="22"/>
      <c r="Q86" s="22"/>
      <c r="R86" s="22"/>
      <c r="S86" s="22"/>
      <c r="T86" s="22"/>
      <c r="U86" s="22"/>
      <c r="V86" s="24"/>
      <c r="W86" s="22"/>
      <c r="X86" s="22"/>
      <c r="Y86" s="22"/>
      <c r="Z86" s="26"/>
      <c r="AA86" s="26"/>
      <c r="AB86" s="22"/>
      <c r="AC86" s="22"/>
      <c r="AD86" s="24"/>
      <c r="AE86" s="22"/>
      <c r="AF86" s="25"/>
      <c r="AG86" s="25"/>
    </row>
    <row r="87" spans="7:33" x14ac:dyDescent="0.25">
      <c r="G87" s="22"/>
      <c r="H87" s="22"/>
      <c r="I87" s="22"/>
      <c r="J87" s="22"/>
      <c r="K87" s="22"/>
      <c r="L87" s="22"/>
      <c r="M87" s="22"/>
      <c r="N87" s="24"/>
      <c r="O87" s="22"/>
      <c r="P87" s="22"/>
      <c r="Q87" s="22"/>
      <c r="R87" s="22"/>
      <c r="S87" s="22"/>
      <c r="T87" s="22"/>
      <c r="U87" s="22"/>
      <c r="V87" s="24"/>
      <c r="W87" s="22"/>
      <c r="X87" s="33" t="s">
        <v>127</v>
      </c>
      <c r="Y87" s="22"/>
      <c r="Z87" s="26"/>
      <c r="AA87" s="26"/>
      <c r="AB87" s="22"/>
      <c r="AC87" s="22"/>
      <c r="AD87" s="24"/>
      <c r="AE87" s="22"/>
      <c r="AF87" s="25"/>
      <c r="AG87" s="25"/>
    </row>
    <row r="88" spans="7:33" x14ac:dyDescent="0.25">
      <c r="G88" s="22"/>
      <c r="H88" s="22"/>
      <c r="I88" s="22"/>
      <c r="J88" s="22"/>
      <c r="K88" s="22"/>
      <c r="L88" s="22"/>
      <c r="M88" s="22"/>
      <c r="N88" s="24"/>
      <c r="O88" s="22"/>
      <c r="P88" s="22"/>
      <c r="Q88" s="22"/>
      <c r="R88" s="22"/>
      <c r="S88" s="22"/>
      <c r="T88" s="22"/>
      <c r="U88" s="22"/>
      <c r="V88" s="24"/>
      <c r="W88" s="22"/>
      <c r="X88" s="22" t="s">
        <v>173</v>
      </c>
      <c r="Y88" s="22"/>
      <c r="Z88" s="26"/>
      <c r="AA88" s="75">
        <f>S15</f>
        <v>-158000000</v>
      </c>
      <c r="AB88" s="22"/>
      <c r="AC88" s="22"/>
      <c r="AD88" s="24"/>
      <c r="AE88" s="22"/>
      <c r="AF88" s="25"/>
      <c r="AG88" s="25"/>
    </row>
    <row r="89" spans="7:33" x14ac:dyDescent="0.25">
      <c r="G89" s="22"/>
      <c r="H89" s="22"/>
      <c r="I89" s="22"/>
      <c r="J89" s="22"/>
      <c r="K89" s="22"/>
      <c r="L89" s="22"/>
      <c r="M89" s="22"/>
      <c r="N89" s="24"/>
      <c r="O89" s="22"/>
      <c r="P89" s="22"/>
      <c r="Q89" s="22"/>
      <c r="R89" s="22"/>
      <c r="S89" s="22"/>
      <c r="T89" s="22"/>
      <c r="U89" s="22"/>
      <c r="V89" s="24"/>
      <c r="W89" s="22"/>
      <c r="X89" s="22" t="s">
        <v>129</v>
      </c>
      <c r="Y89" s="22"/>
      <c r="Z89" s="26"/>
      <c r="AA89" s="75">
        <f>-AA74</f>
        <v>3708333.3333333335</v>
      </c>
      <c r="AB89" s="26"/>
      <c r="AC89" s="22"/>
      <c r="AD89" s="24"/>
      <c r="AE89" s="22"/>
      <c r="AF89" s="25"/>
      <c r="AG89" s="25"/>
    </row>
    <row r="90" spans="7:33" x14ac:dyDescent="0.25">
      <c r="G90" s="22"/>
      <c r="H90" s="22"/>
      <c r="I90" s="22"/>
      <c r="J90" s="22"/>
      <c r="K90" s="22"/>
      <c r="L90" s="22"/>
      <c r="M90" s="22"/>
      <c r="N90" s="24"/>
      <c r="O90" s="22"/>
      <c r="P90" s="22"/>
      <c r="Q90" s="22"/>
      <c r="R90" s="22"/>
      <c r="S90" s="22"/>
      <c r="T90" s="22"/>
      <c r="U90" s="22"/>
      <c r="V90" s="24"/>
      <c r="W90" s="22"/>
      <c r="X90" s="22" t="s">
        <v>130</v>
      </c>
      <c r="Y90" s="22"/>
      <c r="Z90" s="22"/>
      <c r="AA90" s="86">
        <f>-AA83</f>
        <v>2750000</v>
      </c>
      <c r="AB90" s="22"/>
      <c r="AC90" s="22"/>
      <c r="AD90" s="24"/>
      <c r="AE90" s="22"/>
      <c r="AF90" s="25"/>
      <c r="AG90" s="25"/>
    </row>
    <row r="91" spans="7:33" x14ac:dyDescent="0.25">
      <c r="G91" s="22"/>
      <c r="H91" s="22"/>
      <c r="I91" s="22"/>
      <c r="J91" s="22"/>
      <c r="K91" s="22"/>
      <c r="L91" s="22"/>
      <c r="M91" s="22"/>
      <c r="N91" s="24"/>
      <c r="O91" s="22"/>
      <c r="P91" s="22"/>
      <c r="Q91" s="22"/>
      <c r="R91" s="22"/>
      <c r="S91" s="22"/>
      <c r="T91" s="22"/>
      <c r="U91" s="22"/>
      <c r="V91" s="24"/>
      <c r="W91" s="22"/>
      <c r="X91" s="22" t="s">
        <v>131</v>
      </c>
      <c r="Y91" s="22"/>
      <c r="Z91" s="26"/>
      <c r="AA91" s="75">
        <f>-AA54</f>
        <v>-84608500</v>
      </c>
      <c r="AB91" s="22"/>
      <c r="AC91" s="22"/>
      <c r="AD91" s="24"/>
      <c r="AE91" s="22"/>
      <c r="AF91" s="25"/>
      <c r="AG91" s="25"/>
    </row>
    <row r="92" spans="7:33" x14ac:dyDescent="0.25">
      <c r="X92" s="22" t="s">
        <v>132</v>
      </c>
      <c r="Y92" s="22"/>
      <c r="Z92" s="26"/>
      <c r="AA92" s="75">
        <f>AA65</f>
        <v>-55210000</v>
      </c>
    </row>
    <row r="93" spans="7:33" x14ac:dyDescent="0.25">
      <c r="X93" s="22" t="s">
        <v>174</v>
      </c>
      <c r="Z93" s="34"/>
      <c r="AA93" s="56">
        <f>-AA27</f>
        <v>-33500000</v>
      </c>
    </row>
    <row r="94" spans="7:33" x14ac:dyDescent="0.25">
      <c r="X94" s="77" t="s">
        <v>172</v>
      </c>
      <c r="Y94" s="77"/>
      <c r="Z94" s="77"/>
      <c r="AA94" s="91">
        <f>AA37</f>
        <v>81074217.933608338</v>
      </c>
    </row>
    <row r="95" spans="7:33" x14ac:dyDescent="0.25">
      <c r="X95" s="89" t="s">
        <v>175</v>
      </c>
      <c r="Y95" s="89"/>
      <c r="Z95" s="89"/>
      <c r="AA95" s="90">
        <f>SUM(AA88:AA94)</f>
        <v>-243785948.73305827</v>
      </c>
    </row>
    <row r="96" spans="7:33" x14ac:dyDescent="0.25">
      <c r="Z96" s="34"/>
      <c r="AA96" s="34"/>
    </row>
    <row r="97" spans="24:28" x14ac:dyDescent="0.25">
      <c r="X97" s="36" t="s">
        <v>142</v>
      </c>
      <c r="Y97" s="36"/>
      <c r="Z97" s="84"/>
      <c r="AA97" s="85">
        <f>(AA79+AA85)</f>
        <v>243785948.73305833</v>
      </c>
    </row>
    <row r="98" spans="24:28" x14ac:dyDescent="0.25">
      <c r="X98" s="36" t="s">
        <v>143</v>
      </c>
      <c r="Y98" s="36"/>
      <c r="Z98" s="36"/>
      <c r="AA98" s="85">
        <f>-AA97-AA95</f>
        <v>0</v>
      </c>
    </row>
    <row r="100" spans="24:28" x14ac:dyDescent="0.25">
      <c r="X100" s="33"/>
      <c r="Z100" s="34"/>
      <c r="AA100" s="34"/>
    </row>
    <row r="102" spans="24:28" x14ac:dyDescent="0.25">
      <c r="Z102" s="34"/>
      <c r="AA102" s="34"/>
    </row>
    <row r="104" spans="24:28" x14ac:dyDescent="0.25">
      <c r="Z104" s="34"/>
      <c r="AA104" s="34"/>
    </row>
    <row r="105" spans="24:28" x14ac:dyDescent="0.25">
      <c r="Z105" s="34"/>
      <c r="AA105" s="34"/>
    </row>
    <row r="106" spans="24:28" x14ac:dyDescent="0.25">
      <c r="Z106" s="34"/>
      <c r="AA106" s="34"/>
      <c r="AB106" s="35"/>
    </row>
    <row r="108" spans="24:28" x14ac:dyDescent="0.25">
      <c r="X108" s="36"/>
      <c r="Y108" s="36"/>
      <c r="Z108" s="36"/>
      <c r="AA108" s="36"/>
      <c r="AB108" s="35"/>
    </row>
    <row r="109" spans="24:28" x14ac:dyDescent="0.25">
      <c r="X109" s="36"/>
      <c r="Y109" s="36"/>
      <c r="Z109" s="36"/>
      <c r="AA109" s="36"/>
    </row>
    <row r="111" spans="24:28" x14ac:dyDescent="0.25">
      <c r="AB111" s="35"/>
    </row>
    <row r="112" spans="24:28" x14ac:dyDescent="0.25">
      <c r="Z112" s="34"/>
      <c r="AA112" s="34"/>
    </row>
    <row r="115" spans="24:27" x14ac:dyDescent="0.25">
      <c r="X115" s="36"/>
      <c r="Z115" s="34"/>
      <c r="AA115" s="34"/>
    </row>
    <row r="116" spans="24:27" x14ac:dyDescent="0.25">
      <c r="Z116" s="34"/>
      <c r="AA116" s="34"/>
    </row>
    <row r="120" spans="24:27" x14ac:dyDescent="0.25">
      <c r="X120" s="36"/>
      <c r="Y120" s="36"/>
      <c r="Z120" s="36"/>
      <c r="AA120" s="36"/>
    </row>
  </sheetData>
  <sheetProtection algorithmName="SHA-512" hashValue="GMGuoSX3VGzb2ZX3JCyZa0dbrYqChyL9yXU2Q2hzrUNAnfZaYiCbdlHuR3I0sX45u6+jGkTAWSN6j1UyUGAADA==" saltValue="dUYrB73soOW5XqyJSXnT5A==" spinCount="100000" sheet="1" formatCells="0" formatColumns="0" formatRows="0" insertColumns="0" insertRows="0" sort="0" autoFilter="0" pivotTable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69F98-685F-4C02-B12C-ACD149D1BC08}">
  <dimension ref="A1:AE135"/>
  <sheetViews>
    <sheetView topLeftCell="A12" zoomScale="69" zoomScaleNormal="90" workbookViewId="0">
      <selection activeCell="J28" sqref="J28"/>
    </sheetView>
  </sheetViews>
  <sheetFormatPr defaultColWidth="9.140625" defaultRowHeight="15.75" x14ac:dyDescent="0.25"/>
  <cols>
    <col min="1" max="1" width="3.5703125" style="3" customWidth="1"/>
    <col min="2" max="2" width="51.5703125" style="3" customWidth="1"/>
    <col min="3" max="3" width="23.85546875" style="15" customWidth="1"/>
    <col min="4" max="4" width="25.5703125" style="15" customWidth="1"/>
    <col min="5" max="5" width="25.140625" style="3" customWidth="1"/>
    <col min="6" max="6" width="1.5703125" style="12" customWidth="1"/>
    <col min="7" max="7" width="3.5703125" style="1" customWidth="1"/>
    <col min="8" max="9" width="18.5703125" style="1" customWidth="1"/>
    <col min="10" max="11" width="25.85546875" style="1" customWidth="1"/>
    <col min="12" max="12" width="18.5703125" style="1" customWidth="1"/>
    <col min="13" max="13" width="8.5703125" style="1" customWidth="1"/>
    <col min="14" max="14" width="1.5703125" style="6" customWidth="1"/>
    <col min="15" max="16384" width="9.140625" style="1"/>
  </cols>
  <sheetData>
    <row r="1" spans="1:31" s="6" customFormat="1" x14ac:dyDescent="0.25">
      <c r="A1" s="2" t="s">
        <v>39</v>
      </c>
      <c r="B1" s="3"/>
      <c r="C1" s="15"/>
      <c r="D1" s="15"/>
      <c r="E1" s="3"/>
      <c r="F1" s="12"/>
      <c r="G1" s="16" t="s">
        <v>39</v>
      </c>
      <c r="H1" s="17"/>
      <c r="I1" s="17"/>
      <c r="J1" s="17"/>
      <c r="K1" s="17"/>
      <c r="L1" s="17"/>
      <c r="M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s="6" customFormat="1" x14ac:dyDescent="0.25">
      <c r="A2" s="2" t="s">
        <v>0</v>
      </c>
      <c r="B2" s="3"/>
      <c r="C2" s="15"/>
      <c r="D2" s="15"/>
      <c r="E2" s="3"/>
      <c r="F2" s="12"/>
      <c r="G2" s="16" t="s">
        <v>0</v>
      </c>
      <c r="H2" s="17"/>
      <c r="I2" s="17"/>
      <c r="J2" s="17"/>
      <c r="K2" s="17"/>
      <c r="L2" s="17"/>
      <c r="M2" s="1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s="6" customFormat="1" x14ac:dyDescent="0.25">
      <c r="A3" s="2" t="s">
        <v>77</v>
      </c>
      <c r="B3" s="3"/>
      <c r="C3" s="15"/>
      <c r="D3" s="15"/>
      <c r="E3" s="3"/>
      <c r="F3" s="12"/>
      <c r="G3" s="16" t="s">
        <v>77</v>
      </c>
      <c r="H3" s="17"/>
      <c r="I3" s="17"/>
      <c r="J3" s="17"/>
      <c r="K3" s="17"/>
      <c r="L3" s="17"/>
      <c r="M3" s="1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s="6" customFormat="1" x14ac:dyDescent="0.25">
      <c r="A4" s="3"/>
      <c r="B4" s="3"/>
      <c r="C4" s="15"/>
      <c r="D4" s="15"/>
      <c r="E4" s="3"/>
      <c r="F4" s="12"/>
      <c r="G4" s="17"/>
      <c r="H4" s="17"/>
      <c r="I4" s="17"/>
      <c r="J4" s="17"/>
      <c r="K4" s="17"/>
      <c r="L4" s="17"/>
      <c r="M4" s="1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s="6" customFormat="1" x14ac:dyDescent="0.25">
      <c r="A5" s="4" t="s">
        <v>1</v>
      </c>
      <c r="B5" s="3"/>
      <c r="C5" s="15"/>
      <c r="D5" s="15"/>
      <c r="E5" s="3"/>
      <c r="F5" s="12"/>
      <c r="G5" s="18" t="s">
        <v>41</v>
      </c>
      <c r="H5" s="17"/>
      <c r="I5" s="17"/>
      <c r="J5" s="17"/>
      <c r="K5" s="17"/>
      <c r="L5" s="17"/>
      <c r="M5" s="1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s="6" customFormat="1" x14ac:dyDescent="0.25">
      <c r="A6" s="3"/>
      <c r="B6" s="3"/>
      <c r="C6" s="15"/>
      <c r="D6" s="15"/>
      <c r="E6" s="3"/>
      <c r="F6" s="12"/>
      <c r="G6" s="17"/>
      <c r="H6" s="17"/>
      <c r="I6" s="17"/>
      <c r="J6" s="17"/>
      <c r="K6" s="17"/>
      <c r="L6" s="17"/>
      <c r="M6" s="1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s="6" customFormat="1" x14ac:dyDescent="0.25">
      <c r="A7" s="3"/>
      <c r="B7" s="3" t="s">
        <v>81</v>
      </c>
      <c r="C7" s="15"/>
      <c r="D7" s="15"/>
      <c r="E7" s="3"/>
      <c r="F7" s="12"/>
      <c r="G7" s="17" t="s">
        <v>44</v>
      </c>
      <c r="H7" s="17" t="s">
        <v>80</v>
      </c>
      <c r="I7" s="17"/>
      <c r="J7" s="17"/>
      <c r="K7" s="17"/>
      <c r="L7" s="17"/>
      <c r="M7" s="17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s="6" customFormat="1" x14ac:dyDescent="0.25">
      <c r="A8" s="3"/>
      <c r="B8" s="3"/>
      <c r="C8" s="15"/>
      <c r="D8" s="15"/>
      <c r="E8" s="3"/>
      <c r="F8" s="12"/>
      <c r="G8" s="17"/>
      <c r="H8" s="17" t="s">
        <v>78</v>
      </c>
      <c r="I8" s="17"/>
      <c r="J8" s="17"/>
      <c r="K8" s="17"/>
      <c r="L8" s="17"/>
      <c r="M8" s="17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s="6" customFormat="1" x14ac:dyDescent="0.25">
      <c r="A9" s="3"/>
      <c r="B9" s="13" t="s">
        <v>82</v>
      </c>
      <c r="C9" s="38">
        <v>0.06</v>
      </c>
      <c r="D9" s="41"/>
      <c r="E9" s="3"/>
      <c r="F9" s="12"/>
      <c r="G9" s="17"/>
      <c r="H9" s="17" t="s">
        <v>79</v>
      </c>
      <c r="I9" s="17"/>
      <c r="J9" s="17"/>
      <c r="K9" s="17"/>
      <c r="L9" s="17"/>
      <c r="M9" s="17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s="6" customFormat="1" x14ac:dyDescent="0.25">
      <c r="A10" s="3"/>
      <c r="B10" s="13" t="s">
        <v>83</v>
      </c>
      <c r="C10" s="38">
        <v>5.5E-2</v>
      </c>
      <c r="D10" s="41"/>
      <c r="E10" s="3"/>
      <c r="F10" s="12"/>
      <c r="G10" s="17"/>
      <c r="H10" s="17"/>
      <c r="I10" s="17"/>
      <c r="J10" s="17"/>
      <c r="K10" s="17"/>
      <c r="L10" s="17"/>
      <c r="M10" s="17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s="6" customFormat="1" x14ac:dyDescent="0.25">
      <c r="A11" s="3"/>
      <c r="B11" s="13" t="s">
        <v>84</v>
      </c>
      <c r="C11" s="38">
        <v>0.03</v>
      </c>
      <c r="D11" s="41"/>
      <c r="E11" s="3"/>
      <c r="F11" s="12"/>
      <c r="G11" s="17"/>
      <c r="H11" s="17" t="s">
        <v>20</v>
      </c>
      <c r="I11" s="17"/>
      <c r="J11" s="17"/>
      <c r="K11" s="17"/>
      <c r="L11" s="17"/>
      <c r="M11" s="17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s="6" customFormat="1" x14ac:dyDescent="0.25">
      <c r="A12" s="3"/>
      <c r="B12" s="13" t="s">
        <v>85</v>
      </c>
      <c r="C12" s="13">
        <v>12</v>
      </c>
      <c r="D12" s="9"/>
      <c r="E12" s="3"/>
      <c r="F12" s="12"/>
      <c r="G12" s="17"/>
      <c r="H12" s="17"/>
      <c r="I12" s="17"/>
      <c r="J12" s="17"/>
      <c r="K12" s="17"/>
      <c r="L12" s="17"/>
      <c r="M12" s="1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s="6" customFormat="1" x14ac:dyDescent="0.25">
      <c r="A13" s="3"/>
      <c r="B13" s="13" t="s">
        <v>86</v>
      </c>
      <c r="C13" s="13">
        <v>20</v>
      </c>
      <c r="D13" s="9"/>
      <c r="E13" s="3"/>
      <c r="F13" s="12"/>
      <c r="G13" s="1"/>
      <c r="H13" s="1"/>
      <c r="I13" s="1"/>
      <c r="J13" s="1"/>
      <c r="K13" s="1"/>
      <c r="L13" s="1"/>
      <c r="M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s="6" customFormat="1" x14ac:dyDescent="0.25">
      <c r="A14" s="3"/>
      <c r="B14" s="13" t="s">
        <v>87</v>
      </c>
      <c r="C14" s="39">
        <v>25650000</v>
      </c>
      <c r="D14" s="42"/>
      <c r="E14" s="3"/>
      <c r="F14" s="12"/>
      <c r="G14" s="1"/>
      <c r="H14" s="33"/>
      <c r="I14" s="1"/>
      <c r="J14" s="1"/>
      <c r="K14" s="1"/>
      <c r="L14" s="1"/>
      <c r="M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s="6" customFormat="1" x14ac:dyDescent="0.25">
      <c r="A15" s="3"/>
      <c r="B15" s="13" t="s">
        <v>58</v>
      </c>
      <c r="C15" s="39">
        <v>26200000</v>
      </c>
      <c r="D15" s="42"/>
      <c r="E15" s="3"/>
      <c r="F15" s="12"/>
      <c r="G15" s="1"/>
      <c r="H15" s="101" t="s">
        <v>210</v>
      </c>
      <c r="I15" s="1"/>
      <c r="J15" s="54"/>
      <c r="K15" s="54"/>
      <c r="L15" s="55"/>
      <c r="M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s="6" customFormat="1" x14ac:dyDescent="0.25">
      <c r="A16" s="3"/>
      <c r="B16" s="13" t="s">
        <v>88</v>
      </c>
      <c r="C16" s="39">
        <v>670000</v>
      </c>
      <c r="D16" s="42"/>
      <c r="E16" s="3"/>
      <c r="F16" s="12"/>
      <c r="G16" s="1"/>
      <c r="H16" s="1" t="s">
        <v>209</v>
      </c>
      <c r="I16" s="1"/>
      <c r="J16" s="56">
        <f>C14</f>
        <v>25650000</v>
      </c>
      <c r="K16" s="1"/>
      <c r="L16" s="1"/>
      <c r="M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s="6" customFormat="1" x14ac:dyDescent="0.25">
      <c r="A17" s="3"/>
      <c r="B17" s="13" t="s">
        <v>89</v>
      </c>
      <c r="C17" s="39">
        <v>1180000</v>
      </c>
      <c r="D17" s="42"/>
      <c r="E17" s="3"/>
      <c r="F17" s="12"/>
      <c r="G17" s="1"/>
      <c r="H17" s="1" t="s">
        <v>182</v>
      </c>
      <c r="I17" s="1"/>
      <c r="J17" s="54">
        <f>C16</f>
        <v>670000</v>
      </c>
      <c r="K17" s="54"/>
      <c r="L17" s="55"/>
      <c r="M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s="6" customFormat="1" x14ac:dyDescent="0.25">
      <c r="A18" s="3"/>
      <c r="B18" s="13" t="s">
        <v>90</v>
      </c>
      <c r="C18" s="39">
        <v>1540000</v>
      </c>
      <c r="D18" s="42"/>
      <c r="E18" s="3"/>
      <c r="F18" s="12"/>
      <c r="G18" s="1"/>
      <c r="H18" s="1" t="s">
        <v>196</v>
      </c>
      <c r="I18" s="1"/>
      <c r="J18" s="54">
        <f>-C17</f>
        <v>-1180000</v>
      </c>
      <c r="K18" s="54"/>
      <c r="L18" s="55"/>
      <c r="M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s="6" customFormat="1" x14ac:dyDescent="0.25">
      <c r="A19" s="3"/>
      <c r="B19" s="13" t="s">
        <v>91</v>
      </c>
      <c r="C19" s="39">
        <v>2200000</v>
      </c>
      <c r="D19" s="42"/>
      <c r="E19" s="3"/>
      <c r="F19" s="12"/>
      <c r="G19" s="1"/>
      <c r="H19" s="1" t="s">
        <v>208</v>
      </c>
      <c r="I19" s="1"/>
      <c r="J19" s="100">
        <f>(J16+J17+J18/2)*C9</f>
        <v>1543800</v>
      </c>
      <c r="K19" s="54"/>
      <c r="L19" s="55"/>
      <c r="M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s="6" customFormat="1" x14ac:dyDescent="0.25">
      <c r="A20" s="3"/>
      <c r="B20" s="13" t="s">
        <v>68</v>
      </c>
      <c r="C20" s="13">
        <v>14</v>
      </c>
      <c r="D20" s="9"/>
      <c r="E20" s="3"/>
      <c r="F20" s="12"/>
      <c r="G20" s="1"/>
      <c r="H20" s="1" t="s">
        <v>207</v>
      </c>
      <c r="I20" s="1"/>
      <c r="J20" s="56">
        <f>SUM(J16:J19)</f>
        <v>26683800</v>
      </c>
      <c r="K20" s="56"/>
      <c r="L20" s="55"/>
      <c r="M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s="6" customFormat="1" x14ac:dyDescent="0.25">
      <c r="A21" s="3"/>
      <c r="B21" s="3"/>
      <c r="C21" s="15"/>
      <c r="D21" s="15"/>
      <c r="E21" s="3"/>
      <c r="F21" s="12"/>
      <c r="G21" s="1"/>
      <c r="H21" s="1" t="s">
        <v>206</v>
      </c>
      <c r="I21" s="1"/>
      <c r="J21" s="100">
        <f>J20*((1+C12/100)^((C9-C32)*100)-1)</f>
        <v>5669479.931093487</v>
      </c>
      <c r="K21" s="1"/>
      <c r="L21" s="1"/>
      <c r="M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s="6" customFormat="1" x14ac:dyDescent="0.25">
      <c r="A22" s="3"/>
      <c r="B22" s="11" t="s">
        <v>92</v>
      </c>
      <c r="C22" s="15"/>
      <c r="D22" s="15"/>
      <c r="E22" s="3"/>
      <c r="F22" s="12"/>
      <c r="G22" s="1"/>
      <c r="H22" s="1" t="s">
        <v>205</v>
      </c>
      <c r="I22" s="1"/>
      <c r="J22" s="56">
        <f>SUM(J20:J21)</f>
        <v>32353279.931093488</v>
      </c>
      <c r="K22" s="57"/>
      <c r="L22" s="1"/>
      <c r="M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s="6" customFormat="1" x14ac:dyDescent="0.25">
      <c r="A23" s="3"/>
      <c r="B23" s="40" t="s">
        <v>93</v>
      </c>
      <c r="C23" s="15"/>
      <c r="D23" s="15"/>
      <c r="E23" s="3"/>
      <c r="F23" s="12"/>
      <c r="G23" s="1"/>
      <c r="H23" s="1"/>
      <c r="I23" s="1"/>
      <c r="J23" s="57"/>
      <c r="K23" s="57"/>
      <c r="L23" s="1"/>
      <c r="M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s="6" customFormat="1" x14ac:dyDescent="0.25">
      <c r="A24" s="3"/>
      <c r="B24" s="40" t="s">
        <v>94</v>
      </c>
      <c r="C24" s="15"/>
      <c r="D24" s="15"/>
      <c r="E24" s="3"/>
      <c r="F24" s="12"/>
      <c r="G24" s="1"/>
      <c r="H24" s="101" t="s">
        <v>204</v>
      </c>
      <c r="I24" s="1"/>
      <c r="J24" s="57"/>
      <c r="K24" s="57"/>
      <c r="L24" s="1"/>
      <c r="M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s="6" customFormat="1" x14ac:dyDescent="0.25">
      <c r="A25" s="3"/>
      <c r="B25" s="40" t="s">
        <v>95</v>
      </c>
      <c r="C25" s="15"/>
      <c r="D25" s="15"/>
      <c r="E25" s="3"/>
      <c r="F25" s="12"/>
      <c r="G25" s="1"/>
      <c r="H25" s="1" t="s">
        <v>203</v>
      </c>
      <c r="I25" s="1"/>
      <c r="J25" s="98">
        <f>C16*(1+$C$11)</f>
        <v>690100</v>
      </c>
      <c r="K25" s="57"/>
      <c r="L25" s="1"/>
      <c r="M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s="6" customFormat="1" x14ac:dyDescent="0.25">
      <c r="A26" s="3"/>
      <c r="B26" s="40" t="s">
        <v>96</v>
      </c>
      <c r="C26" s="15"/>
      <c r="D26" s="15"/>
      <c r="E26" s="3"/>
      <c r="F26" s="12"/>
      <c r="G26" s="1"/>
      <c r="H26" s="1" t="s">
        <v>202</v>
      </c>
      <c r="I26" s="1"/>
      <c r="J26" s="98">
        <f>J25*(1+C13/100)^((C9-C32)*100)</f>
        <v>940849.47235794354</v>
      </c>
      <c r="K26" s="57"/>
      <c r="L26" s="1"/>
      <c r="M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s="6" customFormat="1" x14ac:dyDescent="0.25">
      <c r="A27" s="3"/>
      <c r="B27" s="3"/>
      <c r="C27" s="15"/>
      <c r="D27" s="15"/>
      <c r="E27" s="3"/>
      <c r="F27" s="12"/>
      <c r="G27" s="1"/>
      <c r="H27" s="1" t="s">
        <v>201</v>
      </c>
      <c r="I27" s="1"/>
      <c r="J27" s="98">
        <f>C17*(1+$C$11)</f>
        <v>1215400</v>
      </c>
      <c r="K27" s="57"/>
      <c r="L27" s="1"/>
      <c r="M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s="6" customFormat="1" x14ac:dyDescent="0.25">
      <c r="A28" s="3"/>
      <c r="B28" s="11" t="s">
        <v>97</v>
      </c>
      <c r="C28" s="15"/>
      <c r="D28" s="15"/>
      <c r="E28" s="3"/>
      <c r="F28" s="12"/>
      <c r="G28" s="1"/>
      <c r="H28" s="1" t="s">
        <v>200</v>
      </c>
      <c r="I28" s="1"/>
      <c r="J28" s="98">
        <f>C18*(1+$C$11)</f>
        <v>1586200</v>
      </c>
      <c r="K28" s="57"/>
      <c r="L28" s="1"/>
      <c r="M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s="6" customFormat="1" x14ac:dyDescent="0.25">
      <c r="A29" s="3"/>
      <c r="B29" s="11"/>
      <c r="C29" s="15"/>
      <c r="D29" s="15"/>
      <c r="E29" s="3"/>
      <c r="F29" s="12"/>
      <c r="G29" s="1"/>
      <c r="H29" s="1"/>
      <c r="I29" s="1"/>
      <c r="J29" s="57"/>
      <c r="K29" s="57"/>
      <c r="L29" s="1"/>
      <c r="M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s="6" customFormat="1" x14ac:dyDescent="0.25">
      <c r="A30" s="3"/>
      <c r="B30" s="11" t="s">
        <v>98</v>
      </c>
      <c r="C30" s="15"/>
      <c r="D30" s="15"/>
      <c r="E30" s="3"/>
      <c r="F30" s="12"/>
      <c r="G30" s="1"/>
      <c r="H30" s="101" t="s">
        <v>199</v>
      </c>
      <c r="I30" s="1"/>
      <c r="J30" s="97" t="s">
        <v>184</v>
      </c>
      <c r="K30" s="57"/>
      <c r="L30" s="1"/>
      <c r="M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s="6" customFormat="1" x14ac:dyDescent="0.25">
      <c r="A31" s="3"/>
      <c r="B31" s="3"/>
      <c r="C31" s="15"/>
      <c r="D31" s="15"/>
      <c r="E31" s="3"/>
      <c r="F31" s="12"/>
      <c r="G31" s="1"/>
      <c r="H31" s="33" t="s">
        <v>198</v>
      </c>
      <c r="I31" s="1"/>
      <c r="J31" s="57"/>
      <c r="K31" s="57"/>
      <c r="L31" s="1"/>
      <c r="M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s="6" customFormat="1" x14ac:dyDescent="0.25">
      <c r="A32" s="3"/>
      <c r="B32" s="13" t="s">
        <v>82</v>
      </c>
      <c r="C32" s="38">
        <v>4.2999999999999997E-2</v>
      </c>
      <c r="D32" s="41"/>
      <c r="E32" s="3"/>
      <c r="F32" s="12"/>
      <c r="G32" s="1"/>
      <c r="H32" s="1" t="s">
        <v>197</v>
      </c>
      <c r="I32" s="1"/>
      <c r="J32" s="54">
        <f>C15</f>
        <v>26200000</v>
      </c>
      <c r="K32" s="54"/>
      <c r="L32" s="55"/>
      <c r="M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s="6" customFormat="1" x14ac:dyDescent="0.25">
      <c r="A33" s="3"/>
      <c r="B33" s="13" t="s">
        <v>99</v>
      </c>
      <c r="C33" s="38">
        <v>5.5E-2</v>
      </c>
      <c r="D33" s="41"/>
      <c r="E33" s="3"/>
      <c r="F33" s="12"/>
      <c r="G33" s="1"/>
      <c r="H33" s="1" t="s">
        <v>116</v>
      </c>
      <c r="I33" s="1"/>
      <c r="J33" s="54">
        <f>C18</f>
        <v>1540000</v>
      </c>
      <c r="K33" s="54"/>
      <c r="L33" s="1"/>
      <c r="M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6" customFormat="1" x14ac:dyDescent="0.25">
      <c r="A34" s="5"/>
      <c r="B34" s="13" t="s">
        <v>58</v>
      </c>
      <c r="C34" s="39">
        <v>24300000</v>
      </c>
      <c r="D34" s="42"/>
      <c r="E34" s="3"/>
      <c r="F34" s="12"/>
      <c r="G34" s="1"/>
      <c r="H34" s="1" t="s">
        <v>196</v>
      </c>
      <c r="I34" s="1"/>
      <c r="J34" s="99">
        <f>-C17</f>
        <v>-1180000</v>
      </c>
      <c r="K34" s="1"/>
      <c r="L34" s="1"/>
      <c r="M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6" customFormat="1" x14ac:dyDescent="0.25">
      <c r="A35" s="3"/>
      <c r="B35" s="13" t="s">
        <v>68</v>
      </c>
      <c r="C35" s="13">
        <v>13</v>
      </c>
      <c r="D35" s="9"/>
      <c r="E35" s="3"/>
      <c r="F35" s="12"/>
      <c r="G35" s="1"/>
      <c r="H35" s="1" t="s">
        <v>117</v>
      </c>
      <c r="I35" s="1"/>
      <c r="J35" s="100">
        <f>(J32+J33/2+J34/2)*C10</f>
        <v>1450900</v>
      </c>
      <c r="K35" s="1"/>
      <c r="L35" s="1"/>
      <c r="M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6" customFormat="1" x14ac:dyDescent="0.25">
      <c r="A36" s="3"/>
      <c r="B36" s="3"/>
      <c r="C36" s="15"/>
      <c r="D36" s="15"/>
      <c r="E36" s="3"/>
      <c r="F36" s="12"/>
      <c r="G36" s="1"/>
      <c r="H36" s="1" t="s">
        <v>195</v>
      </c>
      <c r="I36" s="1"/>
      <c r="J36" s="56">
        <f>SUM(J32:J35)</f>
        <v>28010900</v>
      </c>
      <c r="K36" s="1"/>
      <c r="L36" s="1"/>
      <c r="M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6" customFormat="1" x14ac:dyDescent="0.25">
      <c r="A37" s="3"/>
      <c r="B37" s="3"/>
      <c r="C37" s="15"/>
      <c r="D37" s="15"/>
      <c r="E37" s="3"/>
      <c r="F37" s="12"/>
      <c r="G37" s="1"/>
      <c r="H37" s="1" t="s">
        <v>194</v>
      </c>
      <c r="I37" s="1"/>
      <c r="J37" s="99">
        <f>C34</f>
        <v>24300000</v>
      </c>
      <c r="K37" s="1"/>
      <c r="L37" s="1"/>
      <c r="M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6" customFormat="1" x14ac:dyDescent="0.25">
      <c r="A38" s="3"/>
      <c r="B38" s="3"/>
      <c r="C38" s="31"/>
      <c r="D38" s="31"/>
      <c r="E38" s="3"/>
      <c r="F38" s="12"/>
      <c r="G38" s="1"/>
      <c r="H38" s="1" t="s">
        <v>193</v>
      </c>
      <c r="I38" s="1"/>
      <c r="J38" s="54">
        <f>J37-J36</f>
        <v>-3710900</v>
      </c>
      <c r="K38" s="54"/>
      <c r="L38" s="1"/>
      <c r="M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6" customFormat="1" x14ac:dyDescent="0.25">
      <c r="A39" s="3"/>
      <c r="B39" s="3"/>
      <c r="C39" s="31"/>
      <c r="D39" s="31"/>
      <c r="E39" s="3"/>
      <c r="F39" s="12"/>
      <c r="G39" s="1"/>
      <c r="H39" s="1"/>
      <c r="I39" s="1"/>
      <c r="J39" s="54"/>
      <c r="K39" s="54"/>
      <c r="L39" s="1"/>
      <c r="M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6" customFormat="1" x14ac:dyDescent="0.25">
      <c r="A40" s="3"/>
      <c r="B40" s="3"/>
      <c r="C40" s="37"/>
      <c r="D40" s="37"/>
      <c r="E40" s="3"/>
      <c r="F40" s="12"/>
      <c r="G40" s="1"/>
      <c r="H40" s="1" t="s">
        <v>192</v>
      </c>
      <c r="I40" s="1"/>
      <c r="J40" s="54">
        <f>C19</f>
        <v>2200000</v>
      </c>
      <c r="K40" s="54"/>
      <c r="L40" s="1"/>
      <c r="M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6" customFormat="1" x14ac:dyDescent="0.25">
      <c r="A41" s="3"/>
      <c r="B41" s="3"/>
      <c r="C41" s="15"/>
      <c r="D41" s="15"/>
      <c r="E41" s="3"/>
      <c r="F41" s="12"/>
      <c r="G41" s="1"/>
      <c r="H41" s="1" t="s">
        <v>191</v>
      </c>
      <c r="I41" s="1"/>
      <c r="J41" s="98">
        <f>10%*MAX(C14,C15)</f>
        <v>2620000</v>
      </c>
      <c r="K41" s="54"/>
      <c r="L41" s="55"/>
      <c r="M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6" customFormat="1" x14ac:dyDescent="0.25">
      <c r="A42" s="3"/>
      <c r="B42" s="3"/>
      <c r="C42" s="15"/>
      <c r="D42" s="15"/>
      <c r="E42" s="3"/>
      <c r="F42" s="12"/>
      <c r="G42" s="1"/>
      <c r="H42" s="1" t="s">
        <v>186</v>
      </c>
      <c r="I42" s="1"/>
      <c r="J42" s="91">
        <f>MAX(0,J40-J41)</f>
        <v>0</v>
      </c>
      <c r="K42" s="56"/>
      <c r="L42" s="1"/>
      <c r="M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6" customFormat="1" x14ac:dyDescent="0.25">
      <c r="A43" s="3"/>
      <c r="B43" s="3"/>
      <c r="C43" s="15"/>
      <c r="D43" s="15"/>
      <c r="E43" s="3"/>
      <c r="F43" s="12"/>
      <c r="G43" s="1"/>
      <c r="H43" s="1" t="s">
        <v>190</v>
      </c>
      <c r="I43" s="1"/>
      <c r="J43" s="56">
        <f>J42</f>
        <v>0</v>
      </c>
      <c r="K43" s="54"/>
      <c r="L43" s="55"/>
      <c r="M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6" customFormat="1" x14ac:dyDescent="0.25">
      <c r="A44" s="3"/>
      <c r="B44" s="3"/>
      <c r="C44" s="15"/>
      <c r="D44" s="15"/>
      <c r="E44" s="3"/>
      <c r="F44" s="12"/>
      <c r="G44" s="1"/>
      <c r="H44" s="1" t="s">
        <v>189</v>
      </c>
      <c r="I44" s="1"/>
      <c r="J44" s="56">
        <f>J21-J38</f>
        <v>9380379.9310934879</v>
      </c>
      <c r="K44" s="54"/>
      <c r="L44" s="1"/>
      <c r="M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6" customFormat="1" x14ac:dyDescent="0.25">
      <c r="A45" s="3"/>
      <c r="B45" s="3"/>
      <c r="C45" s="15"/>
      <c r="D45" s="15"/>
      <c r="E45" s="3"/>
      <c r="F45" s="12"/>
      <c r="G45" s="1"/>
      <c r="H45" s="1" t="s">
        <v>188</v>
      </c>
      <c r="I45" s="1"/>
      <c r="J45" s="98">
        <f>J40-J43+J44</f>
        <v>11580379.931093488</v>
      </c>
      <c r="K45" s="1"/>
      <c r="L45" s="1"/>
      <c r="M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6" customFormat="1" x14ac:dyDescent="0.25">
      <c r="A46" s="3"/>
      <c r="B46" s="3"/>
      <c r="C46" s="15"/>
      <c r="D46" s="15"/>
      <c r="E46" s="3"/>
      <c r="F46" s="12"/>
      <c r="G46" s="1"/>
      <c r="H46" s="1" t="s">
        <v>187</v>
      </c>
      <c r="I46" s="1"/>
      <c r="J46" s="98">
        <f>10%*MAX(J22,J37)</f>
        <v>3235327.9931093492</v>
      </c>
      <c r="K46" s="1"/>
      <c r="L46" s="1"/>
      <c r="M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6" customFormat="1" x14ac:dyDescent="0.25">
      <c r="A47" s="3"/>
      <c r="B47" s="3"/>
      <c r="C47" s="15"/>
      <c r="D47" s="15"/>
      <c r="E47" s="3"/>
      <c r="F47" s="12"/>
      <c r="G47" s="1"/>
      <c r="H47" s="1" t="s">
        <v>186</v>
      </c>
      <c r="I47" s="1"/>
      <c r="J47" s="91">
        <f>J45-J46</f>
        <v>8345051.9379841387</v>
      </c>
      <c r="K47" s="1"/>
      <c r="L47" s="1"/>
      <c r="M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6" customFormat="1" x14ac:dyDescent="0.25">
      <c r="A48" s="3"/>
      <c r="B48" s="3"/>
      <c r="C48" s="15"/>
      <c r="D48" s="15"/>
      <c r="E48" s="3"/>
      <c r="F48" s="12"/>
      <c r="G48" s="1"/>
      <c r="H48" s="1" t="s">
        <v>185</v>
      </c>
      <c r="I48" s="1"/>
      <c r="J48" s="98">
        <f>J47/C35</f>
        <v>641927.072152626</v>
      </c>
      <c r="K48" s="1"/>
      <c r="L48" s="1"/>
      <c r="M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6" customFormat="1" x14ac:dyDescent="0.25">
      <c r="A49" s="3"/>
      <c r="B49" s="3"/>
      <c r="C49" s="15"/>
      <c r="D49" s="15"/>
      <c r="E49" s="3"/>
      <c r="F49" s="12"/>
      <c r="G49" s="1"/>
      <c r="H49" s="1"/>
      <c r="I49" s="1"/>
      <c r="J49" s="54"/>
      <c r="K49" s="54"/>
      <c r="L49" s="1"/>
      <c r="M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s="6" customFormat="1" x14ac:dyDescent="0.25">
      <c r="A50" s="3"/>
      <c r="B50" s="3"/>
      <c r="C50" s="15"/>
      <c r="D50" s="15"/>
      <c r="E50" s="3"/>
      <c r="F50" s="12"/>
      <c r="G50" s="1"/>
      <c r="H50" s="1"/>
      <c r="I50" s="1"/>
      <c r="J50" s="97" t="s">
        <v>184</v>
      </c>
      <c r="K50" s="97" t="s">
        <v>183</v>
      </c>
      <c r="L50" s="1"/>
      <c r="M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6" customFormat="1" x14ac:dyDescent="0.25">
      <c r="A51" s="3"/>
      <c r="B51" s="3"/>
      <c r="C51" s="15"/>
      <c r="D51" s="15"/>
      <c r="E51" s="3"/>
      <c r="F51" s="12"/>
      <c r="G51" s="1"/>
      <c r="H51" s="1" t="s">
        <v>182</v>
      </c>
      <c r="I51" s="1"/>
      <c r="J51" s="56">
        <f>J26</f>
        <v>940849.47235794354</v>
      </c>
      <c r="K51" s="56">
        <f>J26*(1+C32)</f>
        <v>981305.99966933508</v>
      </c>
      <c r="L51" s="1"/>
      <c r="M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s="6" customFormat="1" x14ac:dyDescent="0.25">
      <c r="A52" s="3"/>
      <c r="B52" s="3"/>
      <c r="C52" s="15"/>
      <c r="D52" s="15"/>
      <c r="E52" s="3"/>
      <c r="F52" s="12"/>
      <c r="G52" s="1"/>
      <c r="H52" s="1" t="s">
        <v>181</v>
      </c>
      <c r="I52" s="1"/>
      <c r="J52" s="56">
        <f>(J22+J51-J27/2)*C32</f>
        <v>1405516.4643484114</v>
      </c>
      <c r="K52" s="96">
        <f>(J22-J27/2)*C32</f>
        <v>1365059.9370370198</v>
      </c>
      <c r="L52" s="1"/>
      <c r="M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s="6" customFormat="1" x14ac:dyDescent="0.25">
      <c r="A53" s="3"/>
      <c r="B53" s="3"/>
      <c r="C53" s="15"/>
      <c r="D53" s="15"/>
      <c r="E53" s="3"/>
      <c r="F53" s="12"/>
      <c r="G53" s="1"/>
      <c r="H53" s="1" t="s">
        <v>180</v>
      </c>
      <c r="I53" s="1"/>
      <c r="J53" s="95">
        <f>-(C34+J28/2-J27/2)*C33</f>
        <v>-1346697</v>
      </c>
      <c r="K53" s="95">
        <f>-(C34+J28/2-J27/2)*C32</f>
        <v>-1052872.2</v>
      </c>
      <c r="L53" s="1"/>
      <c r="M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s="6" customFormat="1" x14ac:dyDescent="0.25">
      <c r="A54" s="3"/>
      <c r="B54" s="3"/>
      <c r="C54" s="15"/>
      <c r="D54" s="15"/>
      <c r="E54" s="3"/>
      <c r="F54" s="12"/>
      <c r="G54" s="1"/>
      <c r="H54" s="1" t="s">
        <v>179</v>
      </c>
      <c r="I54" s="1"/>
      <c r="J54" s="56">
        <f>J48</f>
        <v>641927.072152626</v>
      </c>
      <c r="K54" s="94" t="s">
        <v>178</v>
      </c>
      <c r="L54" s="1"/>
      <c r="M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s="6" customFormat="1" x14ac:dyDescent="0.25">
      <c r="A55" s="3"/>
      <c r="B55" s="3"/>
      <c r="C55" s="15"/>
      <c r="D55" s="15"/>
      <c r="E55" s="3"/>
      <c r="F55" s="12"/>
      <c r="G55" s="1"/>
      <c r="H55" s="1" t="s">
        <v>177</v>
      </c>
      <c r="I55" s="1"/>
      <c r="J55" s="93">
        <f>SUM(J51:J54)</f>
        <v>1641596.0088589808</v>
      </c>
      <c r="K55" s="93">
        <f>SUM(K51:K54)</f>
        <v>1293493.7367063549</v>
      </c>
      <c r="L55" s="1"/>
      <c r="M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s="6" customFormat="1" x14ac:dyDescent="0.25">
      <c r="A56" s="3"/>
      <c r="B56" s="3"/>
      <c r="C56" s="15"/>
      <c r="D56" s="15"/>
      <c r="E56" s="3"/>
      <c r="F56" s="12"/>
      <c r="G56" s="1"/>
      <c r="H56" s="1"/>
      <c r="I56" s="1"/>
      <c r="J56" s="56"/>
      <c r="K56" s="1"/>
      <c r="L56" s="1"/>
      <c r="M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s="6" customFormat="1" x14ac:dyDescent="0.25">
      <c r="A57" s="3"/>
      <c r="B57" s="3"/>
      <c r="C57" s="15"/>
      <c r="D57" s="15"/>
      <c r="E57" s="3"/>
      <c r="F57" s="12"/>
      <c r="G57" s="1"/>
      <c r="H57" s="1"/>
      <c r="I57" s="1"/>
      <c r="J57" s="56"/>
      <c r="K57" s="1"/>
      <c r="L57" s="1"/>
      <c r="M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s="6" customFormat="1" x14ac:dyDescent="0.25">
      <c r="A58" s="3"/>
      <c r="B58" s="3"/>
      <c r="C58" s="15"/>
      <c r="D58" s="15"/>
      <c r="E58" s="3"/>
      <c r="F58" s="12"/>
      <c r="G58" s="1"/>
      <c r="H58" s="1"/>
      <c r="I58" s="1"/>
      <c r="J58" s="56"/>
      <c r="K58" s="55"/>
      <c r="L58" s="1"/>
      <c r="M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s="6" customFormat="1" x14ac:dyDescent="0.25">
      <c r="A59" s="3"/>
      <c r="B59" s="3"/>
      <c r="C59" s="15"/>
      <c r="D59" s="15"/>
      <c r="E59" s="3"/>
      <c r="F59" s="12"/>
      <c r="G59" s="1"/>
      <c r="H59" s="1"/>
      <c r="I59" s="1"/>
      <c r="J59" s="56"/>
      <c r="K59" s="1"/>
      <c r="L59" s="1"/>
      <c r="M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s="6" customFormat="1" x14ac:dyDescent="0.25">
      <c r="A60" s="3"/>
      <c r="B60" s="3"/>
      <c r="C60" s="15"/>
      <c r="D60" s="15"/>
      <c r="E60" s="3"/>
      <c r="F60" s="12"/>
      <c r="G60" s="1"/>
      <c r="H60" s="1"/>
      <c r="I60" s="1"/>
      <c r="J60" s="1"/>
      <c r="K60" s="1"/>
      <c r="L60" s="1"/>
      <c r="M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s="6" customFormat="1" x14ac:dyDescent="0.25">
      <c r="A61" s="3"/>
      <c r="B61" s="3"/>
      <c r="C61" s="15"/>
      <c r="D61" s="15"/>
      <c r="E61" s="3"/>
      <c r="F61" s="12"/>
      <c r="G61" s="1"/>
      <c r="H61" s="1"/>
      <c r="I61" s="1"/>
      <c r="J61" s="1"/>
      <c r="K61" s="1"/>
      <c r="L61" s="1"/>
      <c r="M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s="6" customFormat="1" x14ac:dyDescent="0.25">
      <c r="A62" s="3"/>
      <c r="B62" s="3"/>
      <c r="C62" s="15"/>
      <c r="D62" s="15"/>
      <c r="E62" s="3"/>
      <c r="F62" s="12"/>
      <c r="G62" s="1"/>
      <c r="H62" s="1"/>
      <c r="I62" s="1"/>
      <c r="J62" s="1"/>
      <c r="K62" s="1"/>
      <c r="L62" s="1"/>
      <c r="M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s="6" customFormat="1" x14ac:dyDescent="0.25">
      <c r="A63" s="3"/>
      <c r="B63" s="3"/>
      <c r="C63" s="15"/>
      <c r="D63" s="15"/>
      <c r="E63" s="3"/>
      <c r="F63" s="12"/>
      <c r="G63" s="1"/>
      <c r="H63" s="1"/>
      <c r="I63" s="1"/>
      <c r="J63" s="1"/>
      <c r="K63" s="1"/>
      <c r="L63" s="1"/>
      <c r="M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s="6" customFormat="1" x14ac:dyDescent="0.25">
      <c r="A64" s="3"/>
      <c r="B64" s="3"/>
      <c r="C64" s="15"/>
      <c r="D64" s="15"/>
      <c r="E64" s="3"/>
      <c r="F64" s="12"/>
      <c r="G64" s="1"/>
      <c r="H64" s="1"/>
      <c r="I64" s="1"/>
      <c r="J64" s="1"/>
      <c r="K64" s="1"/>
      <c r="L64" s="1"/>
      <c r="M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s="6" customFormat="1" x14ac:dyDescent="0.25">
      <c r="A65" s="3"/>
      <c r="B65" s="3"/>
      <c r="C65" s="15"/>
      <c r="D65" s="15"/>
      <c r="E65" s="3"/>
      <c r="F65" s="12"/>
      <c r="G65" s="1"/>
      <c r="H65" s="1"/>
      <c r="I65" s="1"/>
      <c r="J65" s="1"/>
      <c r="K65" s="1"/>
      <c r="L65" s="1"/>
      <c r="M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s="6" customFormat="1" x14ac:dyDescent="0.25">
      <c r="A66" s="3"/>
      <c r="B66" s="3"/>
      <c r="C66" s="15"/>
      <c r="D66" s="15"/>
      <c r="E66" s="3"/>
      <c r="F66" s="12"/>
      <c r="G66" s="1"/>
      <c r="H66" s="1"/>
      <c r="I66" s="1"/>
      <c r="J66" s="1"/>
      <c r="K66" s="1"/>
      <c r="L66" s="1"/>
      <c r="M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s="6" customFormat="1" x14ac:dyDescent="0.25">
      <c r="A67" s="3"/>
      <c r="B67" s="3"/>
      <c r="C67" s="15"/>
      <c r="D67" s="15"/>
      <c r="E67" s="3"/>
      <c r="F67" s="12"/>
      <c r="G67" s="1"/>
      <c r="H67" s="1"/>
      <c r="I67" s="1"/>
      <c r="J67" s="1"/>
      <c r="K67" s="1"/>
      <c r="L67" s="1"/>
      <c r="M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s="6" customFormat="1" x14ac:dyDescent="0.25">
      <c r="A68" s="3"/>
      <c r="B68" s="3"/>
      <c r="C68" s="15"/>
      <c r="D68" s="15"/>
      <c r="E68" s="3"/>
      <c r="F68" s="12"/>
      <c r="G68" s="1"/>
      <c r="H68" s="1"/>
      <c r="I68" s="1"/>
      <c r="J68" s="1"/>
      <c r="K68" s="1"/>
      <c r="L68" s="1"/>
      <c r="M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s="6" customFormat="1" x14ac:dyDescent="0.25">
      <c r="A69" s="3"/>
      <c r="B69" s="3"/>
      <c r="C69" s="15"/>
      <c r="D69" s="15"/>
      <c r="E69" s="3"/>
      <c r="F69" s="12"/>
      <c r="G69" s="1"/>
      <c r="H69" s="1"/>
      <c r="I69" s="1"/>
      <c r="J69" s="1"/>
      <c r="K69" s="1"/>
      <c r="L69" s="1"/>
      <c r="M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s="6" customFormat="1" x14ac:dyDescent="0.25">
      <c r="A70" s="3"/>
      <c r="B70" s="3"/>
      <c r="C70" s="15"/>
      <c r="D70" s="15"/>
      <c r="E70" s="3"/>
      <c r="F70" s="12"/>
      <c r="G70" s="1"/>
      <c r="H70" s="1"/>
      <c r="I70" s="1"/>
      <c r="J70" s="1"/>
      <c r="K70" s="1"/>
      <c r="L70" s="1"/>
      <c r="M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s="6" customFormat="1" x14ac:dyDescent="0.25">
      <c r="A71" s="3"/>
      <c r="B71" s="3"/>
      <c r="C71" s="15"/>
      <c r="D71" s="15"/>
      <c r="E71" s="3"/>
      <c r="F71" s="12"/>
      <c r="G71" s="1"/>
      <c r="H71" s="1"/>
      <c r="I71" s="1"/>
      <c r="J71" s="1"/>
      <c r="K71" s="1"/>
      <c r="L71" s="1"/>
      <c r="M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s="6" customFormat="1" x14ac:dyDescent="0.25">
      <c r="A72" s="3"/>
      <c r="B72" s="3"/>
      <c r="C72" s="15"/>
      <c r="D72" s="15"/>
      <c r="E72" s="3"/>
      <c r="F72" s="12"/>
      <c r="G72" s="1"/>
      <c r="H72" s="1"/>
      <c r="I72" s="1"/>
      <c r="J72" s="1"/>
      <c r="K72" s="1"/>
      <c r="L72" s="1"/>
      <c r="M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s="6" customFormat="1" x14ac:dyDescent="0.25">
      <c r="A73" s="3"/>
      <c r="B73" s="3"/>
      <c r="C73" s="15"/>
      <c r="D73" s="15"/>
      <c r="E73" s="3"/>
      <c r="F73" s="12"/>
      <c r="G73" s="1"/>
      <c r="H73" s="1"/>
      <c r="I73" s="1"/>
      <c r="J73" s="1"/>
      <c r="K73" s="1"/>
      <c r="L73" s="1"/>
      <c r="M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s="6" customFormat="1" x14ac:dyDescent="0.25">
      <c r="A74" s="3"/>
      <c r="B74" s="3"/>
      <c r="C74" s="15"/>
      <c r="D74" s="15"/>
      <c r="E74" s="3"/>
      <c r="F74" s="12"/>
      <c r="G74" s="1"/>
      <c r="H74" s="1"/>
      <c r="I74" s="1"/>
      <c r="J74" s="1"/>
      <c r="K74" s="1"/>
      <c r="L74" s="1"/>
      <c r="M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s="6" customFormat="1" x14ac:dyDescent="0.25">
      <c r="A75" s="3"/>
      <c r="B75" s="3"/>
      <c r="C75" s="15"/>
      <c r="D75" s="15"/>
      <c r="E75" s="3"/>
      <c r="F75" s="12"/>
      <c r="G75" s="1"/>
      <c r="H75" s="1"/>
      <c r="I75" s="1"/>
      <c r="J75" s="1"/>
      <c r="K75" s="1"/>
      <c r="L75" s="1"/>
      <c r="M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s="6" customFormat="1" x14ac:dyDescent="0.25">
      <c r="A76" s="3"/>
      <c r="B76" s="3"/>
      <c r="C76" s="15"/>
      <c r="D76" s="15"/>
      <c r="E76" s="3"/>
      <c r="F76" s="12"/>
      <c r="G76" s="1"/>
      <c r="H76" s="1"/>
      <c r="I76" s="1"/>
      <c r="J76" s="1"/>
      <c r="K76" s="1"/>
      <c r="L76" s="1"/>
      <c r="M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s="6" customFormat="1" x14ac:dyDescent="0.25">
      <c r="A77" s="3"/>
      <c r="B77" s="3"/>
      <c r="C77" s="15"/>
      <c r="D77" s="15"/>
      <c r="E77" s="3"/>
      <c r="F77" s="12"/>
      <c r="G77" s="1"/>
      <c r="H77" s="1"/>
      <c r="I77" s="1"/>
      <c r="J77" s="1"/>
      <c r="K77" s="1"/>
      <c r="L77" s="1"/>
      <c r="M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s="6" customFormat="1" x14ac:dyDescent="0.25">
      <c r="A78" s="3"/>
      <c r="B78" s="3"/>
      <c r="C78" s="15"/>
      <c r="D78" s="15"/>
      <c r="E78" s="3"/>
      <c r="F78" s="12"/>
      <c r="G78" s="1"/>
      <c r="H78" s="1"/>
      <c r="I78" s="1"/>
      <c r="J78" s="1"/>
      <c r="K78" s="1"/>
      <c r="L78" s="1"/>
      <c r="M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s="6" customFormat="1" x14ac:dyDescent="0.25">
      <c r="A79" s="3"/>
      <c r="B79" s="3"/>
      <c r="C79" s="15"/>
      <c r="D79" s="15"/>
      <c r="E79" s="3"/>
      <c r="F79" s="12"/>
      <c r="G79" s="1"/>
      <c r="H79" s="1"/>
      <c r="I79" s="1"/>
      <c r="J79" s="1"/>
      <c r="K79" s="1"/>
      <c r="L79" s="1"/>
      <c r="M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s="6" customFormat="1" x14ac:dyDescent="0.25">
      <c r="A80" s="3"/>
      <c r="B80" s="3"/>
      <c r="C80" s="15"/>
      <c r="D80" s="15"/>
      <c r="E80" s="3"/>
      <c r="F80" s="12"/>
      <c r="G80" s="1"/>
      <c r="H80" s="1"/>
      <c r="I80" s="1"/>
      <c r="J80" s="1"/>
      <c r="K80" s="1"/>
      <c r="L80" s="1"/>
      <c r="M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s="6" customFormat="1" x14ac:dyDescent="0.25">
      <c r="A81" s="3"/>
      <c r="B81" s="3"/>
      <c r="C81" s="15"/>
      <c r="D81" s="15"/>
      <c r="E81" s="3"/>
      <c r="F81" s="12"/>
      <c r="G81" s="1"/>
      <c r="H81" s="1"/>
      <c r="I81" s="1"/>
      <c r="J81" s="1"/>
      <c r="K81" s="1"/>
      <c r="L81" s="1"/>
      <c r="M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s="6" customFormat="1" x14ac:dyDescent="0.25">
      <c r="A82" s="3"/>
      <c r="B82" s="3"/>
      <c r="C82" s="15"/>
      <c r="D82" s="15"/>
      <c r="E82" s="3"/>
      <c r="F82" s="12"/>
      <c r="G82" s="1"/>
      <c r="H82" s="1"/>
      <c r="I82" s="1"/>
      <c r="J82" s="1"/>
      <c r="K82" s="1"/>
      <c r="L82" s="1"/>
      <c r="M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s="6" customFormat="1" x14ac:dyDescent="0.25">
      <c r="A83" s="3"/>
      <c r="B83" s="3"/>
      <c r="C83" s="15"/>
      <c r="D83" s="15"/>
      <c r="E83" s="3"/>
      <c r="F83" s="12"/>
      <c r="G83" s="1"/>
      <c r="H83" s="1"/>
      <c r="I83" s="1"/>
      <c r="J83" s="1"/>
      <c r="K83" s="1"/>
      <c r="L83" s="1"/>
      <c r="M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s="6" customFormat="1" x14ac:dyDescent="0.25">
      <c r="A84" s="3"/>
      <c r="B84" s="3"/>
      <c r="C84" s="15"/>
      <c r="D84" s="15"/>
      <c r="E84" s="3"/>
      <c r="F84" s="12"/>
      <c r="G84" s="1"/>
      <c r="H84" s="1"/>
      <c r="I84" s="1"/>
      <c r="J84" s="1"/>
      <c r="K84" s="1"/>
      <c r="L84" s="1"/>
      <c r="M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s="6" customFormat="1" x14ac:dyDescent="0.25">
      <c r="A85" s="3"/>
      <c r="B85" s="3"/>
      <c r="C85" s="15"/>
      <c r="D85" s="15"/>
      <c r="E85" s="3"/>
      <c r="F85" s="12"/>
      <c r="G85" s="1"/>
      <c r="H85" s="1"/>
      <c r="I85" s="1"/>
      <c r="J85" s="1"/>
      <c r="K85" s="1"/>
      <c r="L85" s="1"/>
      <c r="M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s="6" customFormat="1" x14ac:dyDescent="0.25">
      <c r="A86" s="3"/>
      <c r="B86" s="3"/>
      <c r="C86" s="15"/>
      <c r="D86" s="15"/>
      <c r="E86" s="3"/>
      <c r="F86" s="12"/>
      <c r="G86" s="1"/>
      <c r="H86" s="1"/>
      <c r="I86" s="1"/>
      <c r="J86" s="1"/>
      <c r="K86" s="1"/>
      <c r="L86" s="1"/>
      <c r="M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s="6" customFormat="1" x14ac:dyDescent="0.25">
      <c r="A87" s="3"/>
      <c r="B87" s="3"/>
      <c r="C87" s="15"/>
      <c r="D87" s="15"/>
      <c r="E87" s="3"/>
      <c r="F87" s="12"/>
      <c r="G87" s="1"/>
      <c r="H87" s="1"/>
      <c r="I87" s="1"/>
      <c r="J87" s="1"/>
      <c r="K87" s="1"/>
      <c r="L87" s="1"/>
      <c r="M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s="6" customFormat="1" x14ac:dyDescent="0.25">
      <c r="A88" s="3"/>
      <c r="B88" s="3"/>
      <c r="C88" s="15"/>
      <c r="D88" s="15"/>
      <c r="E88" s="3"/>
      <c r="F88" s="12"/>
      <c r="G88" s="1"/>
      <c r="H88" s="1"/>
      <c r="I88" s="1"/>
      <c r="J88" s="1"/>
      <c r="K88" s="1"/>
      <c r="L88" s="1"/>
      <c r="M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s="6" customFormat="1" x14ac:dyDescent="0.25">
      <c r="A89" s="3"/>
      <c r="B89" s="3"/>
      <c r="C89" s="15"/>
      <c r="D89" s="15"/>
      <c r="E89" s="3"/>
      <c r="F89" s="12"/>
      <c r="G89" s="1"/>
      <c r="H89" s="1"/>
      <c r="I89" s="1"/>
      <c r="J89" s="1"/>
      <c r="K89" s="1"/>
      <c r="L89" s="1"/>
      <c r="M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s="6" customFormat="1" x14ac:dyDescent="0.25">
      <c r="A90" s="3"/>
      <c r="B90" s="3"/>
      <c r="C90" s="15"/>
      <c r="D90" s="15"/>
      <c r="E90" s="3"/>
      <c r="F90" s="12"/>
      <c r="G90" s="1"/>
      <c r="H90" s="1"/>
      <c r="I90" s="1"/>
      <c r="J90" s="1"/>
      <c r="K90" s="1"/>
      <c r="L90" s="1"/>
      <c r="M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s="6" customFormat="1" x14ac:dyDescent="0.25">
      <c r="A91" s="3"/>
      <c r="B91" s="3"/>
      <c r="C91" s="15"/>
      <c r="D91" s="15"/>
      <c r="E91" s="3"/>
      <c r="F91" s="12"/>
      <c r="G91" s="1"/>
      <c r="H91" s="1"/>
      <c r="I91" s="1"/>
      <c r="J91" s="1"/>
      <c r="K91" s="1"/>
      <c r="L91" s="1"/>
      <c r="M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s="6" customFormat="1" x14ac:dyDescent="0.25">
      <c r="A92" s="3"/>
      <c r="B92" s="3"/>
      <c r="C92" s="15"/>
      <c r="D92" s="15"/>
      <c r="E92" s="3"/>
      <c r="F92" s="12"/>
      <c r="G92" s="1"/>
      <c r="H92" s="1"/>
      <c r="I92" s="1"/>
      <c r="J92" s="1"/>
      <c r="K92" s="1"/>
      <c r="L92" s="1"/>
      <c r="M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s="6" customFormat="1" x14ac:dyDescent="0.25">
      <c r="A93" s="3"/>
      <c r="B93" s="3"/>
      <c r="C93" s="15"/>
      <c r="D93" s="15"/>
      <c r="E93" s="3"/>
      <c r="F93" s="12"/>
      <c r="G93" s="1"/>
      <c r="H93" s="1"/>
      <c r="I93" s="1"/>
      <c r="J93" s="1"/>
      <c r="K93" s="1"/>
      <c r="L93" s="1"/>
      <c r="M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6" customFormat="1" x14ac:dyDescent="0.25">
      <c r="A94" s="3"/>
      <c r="B94" s="3"/>
      <c r="C94" s="15"/>
      <c r="D94" s="15"/>
      <c r="E94" s="3"/>
      <c r="F94" s="12"/>
      <c r="G94" s="1"/>
      <c r="H94" s="1"/>
      <c r="I94" s="1"/>
      <c r="J94" s="1"/>
      <c r="K94" s="1"/>
      <c r="L94" s="1"/>
      <c r="M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s="6" customFormat="1" x14ac:dyDescent="0.25">
      <c r="A95" s="3"/>
      <c r="B95" s="3"/>
      <c r="C95" s="15"/>
      <c r="D95" s="15"/>
      <c r="E95" s="3"/>
      <c r="F95" s="12"/>
      <c r="G95" s="1"/>
      <c r="H95" s="1"/>
      <c r="I95" s="1"/>
      <c r="J95" s="1"/>
      <c r="K95" s="1"/>
      <c r="L95" s="1"/>
      <c r="M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6" customFormat="1" x14ac:dyDescent="0.25">
      <c r="A96" s="3"/>
      <c r="B96" s="3"/>
      <c r="C96" s="15"/>
      <c r="D96" s="15"/>
      <c r="E96" s="3"/>
      <c r="F96" s="12"/>
      <c r="G96" s="1"/>
      <c r="H96" s="1"/>
      <c r="I96" s="1"/>
      <c r="J96" s="1"/>
      <c r="K96" s="1"/>
      <c r="L96" s="1"/>
      <c r="M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s="6" customFormat="1" x14ac:dyDescent="0.25">
      <c r="A97" s="3"/>
      <c r="B97" s="3"/>
      <c r="C97" s="15"/>
      <c r="D97" s="15"/>
      <c r="E97" s="3"/>
      <c r="F97" s="12"/>
      <c r="G97" s="1"/>
      <c r="H97" s="1"/>
      <c r="I97" s="1"/>
      <c r="J97" s="1"/>
      <c r="K97" s="1"/>
      <c r="L97" s="1"/>
      <c r="M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s="6" customFormat="1" x14ac:dyDescent="0.25">
      <c r="A98" s="3"/>
      <c r="B98" s="3"/>
      <c r="C98" s="15"/>
      <c r="D98" s="15"/>
      <c r="E98" s="3"/>
      <c r="F98" s="12"/>
      <c r="G98" s="1"/>
      <c r="H98" s="1"/>
      <c r="I98" s="1"/>
      <c r="J98" s="1"/>
      <c r="K98" s="1"/>
      <c r="L98" s="1"/>
      <c r="M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s="6" customFormat="1" x14ac:dyDescent="0.25">
      <c r="A99" s="3"/>
      <c r="B99" s="3"/>
      <c r="C99" s="15"/>
      <c r="D99" s="15"/>
      <c r="E99" s="3"/>
      <c r="F99" s="12"/>
      <c r="G99" s="1"/>
      <c r="H99" s="1"/>
      <c r="I99" s="1"/>
      <c r="J99" s="1"/>
      <c r="K99" s="1"/>
      <c r="L99" s="1"/>
      <c r="M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s="6" customFormat="1" x14ac:dyDescent="0.25">
      <c r="A100" s="3"/>
      <c r="B100" s="3"/>
      <c r="C100" s="15"/>
      <c r="D100" s="15"/>
      <c r="E100" s="3"/>
      <c r="F100" s="12"/>
      <c r="G100" s="1"/>
      <c r="H100" s="1"/>
      <c r="I100" s="1"/>
      <c r="J100" s="1"/>
      <c r="K100" s="1"/>
      <c r="L100" s="1"/>
      <c r="M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s="6" customFormat="1" x14ac:dyDescent="0.25">
      <c r="A101" s="3"/>
      <c r="B101" s="3"/>
      <c r="C101" s="15"/>
      <c r="D101" s="15"/>
      <c r="E101" s="3"/>
      <c r="F101" s="12"/>
      <c r="G101" s="1"/>
      <c r="H101" s="1"/>
      <c r="I101" s="1"/>
      <c r="J101" s="1"/>
      <c r="K101" s="1"/>
      <c r="L101" s="1"/>
      <c r="M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6" customFormat="1" x14ac:dyDescent="0.25">
      <c r="A102" s="3"/>
      <c r="B102" s="3"/>
      <c r="C102" s="15"/>
      <c r="D102" s="15"/>
      <c r="E102" s="3"/>
      <c r="F102" s="12"/>
      <c r="G102" s="1"/>
      <c r="H102" s="1"/>
      <c r="I102" s="1"/>
      <c r="J102" s="1"/>
      <c r="K102" s="1"/>
      <c r="L102" s="1"/>
      <c r="M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s="6" customFormat="1" x14ac:dyDescent="0.25">
      <c r="A103" s="3"/>
      <c r="B103" s="3"/>
      <c r="C103" s="15"/>
      <c r="D103" s="15"/>
      <c r="E103" s="3"/>
      <c r="F103" s="12"/>
      <c r="G103" s="1"/>
      <c r="H103" s="1"/>
      <c r="I103" s="1"/>
      <c r="J103" s="1"/>
      <c r="K103" s="1"/>
      <c r="L103" s="1"/>
      <c r="M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6" customFormat="1" x14ac:dyDescent="0.25">
      <c r="A104" s="3"/>
      <c r="B104" s="3"/>
      <c r="C104" s="15"/>
      <c r="D104" s="15"/>
      <c r="E104" s="3"/>
      <c r="F104" s="12"/>
      <c r="G104" s="1"/>
      <c r="H104" s="1"/>
      <c r="I104" s="1"/>
      <c r="J104" s="1"/>
      <c r="K104" s="1"/>
      <c r="L104" s="1"/>
      <c r="M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s="6" customFormat="1" x14ac:dyDescent="0.25">
      <c r="A105" s="3"/>
      <c r="B105" s="3"/>
      <c r="C105" s="15"/>
      <c r="D105" s="15"/>
      <c r="E105" s="3"/>
      <c r="F105" s="12"/>
      <c r="G105" s="1"/>
      <c r="H105" s="1"/>
      <c r="I105" s="1"/>
      <c r="J105" s="1"/>
      <c r="K105" s="1"/>
      <c r="L105" s="1"/>
      <c r="M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s="6" customFormat="1" x14ac:dyDescent="0.25">
      <c r="A106" s="3"/>
      <c r="B106" s="3"/>
      <c r="C106" s="15"/>
      <c r="D106" s="15"/>
      <c r="E106" s="3"/>
      <c r="F106" s="12"/>
      <c r="G106" s="1"/>
      <c r="H106" s="1"/>
      <c r="I106" s="1"/>
      <c r="J106" s="1"/>
      <c r="K106" s="1"/>
      <c r="L106" s="1"/>
      <c r="M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s="6" customFormat="1" x14ac:dyDescent="0.25">
      <c r="A107" s="3"/>
      <c r="B107" s="3"/>
      <c r="C107" s="15"/>
      <c r="D107" s="15"/>
      <c r="E107" s="3"/>
      <c r="F107" s="12"/>
      <c r="G107" s="1"/>
      <c r="H107" s="1"/>
      <c r="I107" s="1"/>
      <c r="J107" s="1"/>
      <c r="K107" s="1"/>
      <c r="L107" s="1"/>
      <c r="M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s="6" customFormat="1" x14ac:dyDescent="0.25">
      <c r="A108" s="3"/>
      <c r="B108" s="3"/>
      <c r="C108" s="15"/>
      <c r="D108" s="15"/>
      <c r="E108" s="3"/>
      <c r="F108" s="12"/>
      <c r="G108" s="1"/>
      <c r="H108" s="1"/>
      <c r="I108" s="1"/>
      <c r="J108" s="1"/>
      <c r="K108" s="1"/>
      <c r="L108" s="1"/>
      <c r="M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s="6" customFormat="1" x14ac:dyDescent="0.25">
      <c r="A109" s="3"/>
      <c r="B109" s="3"/>
      <c r="C109" s="15"/>
      <c r="D109" s="15"/>
      <c r="E109" s="3"/>
      <c r="F109" s="12"/>
      <c r="G109" s="1"/>
      <c r="H109" s="1"/>
      <c r="I109" s="1"/>
      <c r="J109" s="1"/>
      <c r="K109" s="1"/>
      <c r="L109" s="1"/>
      <c r="M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s="6" customFormat="1" x14ac:dyDescent="0.25">
      <c r="A110" s="3"/>
      <c r="B110" s="3"/>
      <c r="C110" s="15"/>
      <c r="D110" s="15"/>
      <c r="E110" s="3"/>
      <c r="F110" s="12"/>
      <c r="G110" s="1"/>
      <c r="H110" s="1"/>
      <c r="I110" s="1"/>
      <c r="J110" s="1"/>
      <c r="K110" s="1"/>
      <c r="L110" s="1"/>
      <c r="M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s="6" customFormat="1" x14ac:dyDescent="0.25">
      <c r="A111" s="3"/>
      <c r="B111" s="3"/>
      <c r="C111" s="15"/>
      <c r="D111" s="15"/>
      <c r="E111" s="3"/>
      <c r="F111" s="12"/>
      <c r="G111" s="1"/>
      <c r="H111" s="1"/>
      <c r="I111" s="1"/>
      <c r="J111" s="1"/>
      <c r="K111" s="1"/>
      <c r="L111" s="1"/>
      <c r="M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s="6" customFormat="1" x14ac:dyDescent="0.25">
      <c r="A112" s="3"/>
      <c r="B112" s="3"/>
      <c r="C112" s="15"/>
      <c r="D112" s="15"/>
      <c r="E112" s="3"/>
      <c r="F112" s="12"/>
      <c r="G112" s="1"/>
      <c r="H112" s="1"/>
      <c r="I112" s="1"/>
      <c r="J112" s="1"/>
      <c r="K112" s="1"/>
      <c r="L112" s="1"/>
      <c r="M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s="6" customFormat="1" x14ac:dyDescent="0.25">
      <c r="A113" s="3"/>
      <c r="B113" s="3"/>
      <c r="C113" s="15"/>
      <c r="D113" s="15"/>
      <c r="E113" s="3"/>
      <c r="F113" s="12"/>
      <c r="G113" s="1"/>
      <c r="H113" s="1"/>
      <c r="I113" s="1"/>
      <c r="J113" s="1"/>
      <c r="K113" s="1"/>
      <c r="L113" s="1"/>
      <c r="M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s="6" customFormat="1" x14ac:dyDescent="0.25">
      <c r="A114" s="3"/>
      <c r="B114" s="3"/>
      <c r="C114" s="15"/>
      <c r="D114" s="15"/>
      <c r="E114" s="3"/>
      <c r="F114" s="12"/>
      <c r="G114" s="1"/>
      <c r="H114" s="1"/>
      <c r="I114" s="1"/>
      <c r="J114" s="1"/>
      <c r="K114" s="1"/>
      <c r="L114" s="1"/>
      <c r="M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s="6" customFormat="1" x14ac:dyDescent="0.25">
      <c r="A115" s="3"/>
      <c r="B115" s="3"/>
      <c r="C115" s="15"/>
      <c r="D115" s="15"/>
      <c r="E115" s="3"/>
      <c r="F115" s="12"/>
      <c r="G115" s="1"/>
      <c r="H115" s="1"/>
      <c r="I115" s="1"/>
      <c r="J115" s="1"/>
      <c r="K115" s="1"/>
      <c r="L115" s="1"/>
      <c r="M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s="6" customFormat="1" x14ac:dyDescent="0.25">
      <c r="A116" s="3"/>
      <c r="B116" s="3"/>
      <c r="C116" s="15"/>
      <c r="D116" s="15"/>
      <c r="E116" s="3"/>
      <c r="F116" s="12"/>
      <c r="G116" s="1"/>
      <c r="H116" s="1"/>
      <c r="I116" s="1"/>
      <c r="J116" s="1"/>
      <c r="K116" s="1"/>
      <c r="L116" s="1"/>
      <c r="M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s="6" customFormat="1" x14ac:dyDescent="0.25">
      <c r="A117" s="3"/>
      <c r="B117" s="3"/>
      <c r="C117" s="15"/>
      <c r="D117" s="15"/>
      <c r="E117" s="3"/>
      <c r="F117" s="12"/>
      <c r="G117" s="1"/>
      <c r="H117" s="1"/>
      <c r="I117" s="1"/>
      <c r="J117" s="1"/>
      <c r="K117" s="1"/>
      <c r="L117" s="1"/>
      <c r="M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s="6" customFormat="1" x14ac:dyDescent="0.25">
      <c r="A118" s="3"/>
      <c r="B118" s="3"/>
      <c r="C118" s="15"/>
      <c r="D118" s="15"/>
      <c r="E118" s="3"/>
      <c r="F118" s="12"/>
      <c r="G118" s="1"/>
      <c r="H118" s="1"/>
      <c r="I118" s="1"/>
      <c r="J118" s="1"/>
      <c r="K118" s="1"/>
      <c r="L118" s="1"/>
      <c r="M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s="6" customFormat="1" x14ac:dyDescent="0.25">
      <c r="A119" s="3"/>
      <c r="B119" s="3"/>
      <c r="C119" s="15"/>
      <c r="D119" s="15"/>
      <c r="E119" s="3"/>
      <c r="F119" s="12"/>
      <c r="G119" s="1"/>
      <c r="H119" s="1"/>
      <c r="I119" s="1"/>
      <c r="J119" s="1"/>
      <c r="K119" s="1"/>
      <c r="L119" s="1"/>
      <c r="M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s="6" customFormat="1" x14ac:dyDescent="0.25">
      <c r="A120" s="3"/>
      <c r="B120" s="3"/>
      <c r="C120" s="15"/>
      <c r="D120" s="15"/>
      <c r="E120" s="3"/>
      <c r="F120" s="12"/>
      <c r="G120" s="1"/>
      <c r="H120" s="1"/>
      <c r="I120" s="1"/>
      <c r="J120" s="1"/>
      <c r="K120" s="1"/>
      <c r="L120" s="1"/>
      <c r="M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s="6" customFormat="1" x14ac:dyDescent="0.25">
      <c r="A121" s="3"/>
      <c r="B121" s="3"/>
      <c r="C121" s="15"/>
      <c r="D121" s="15"/>
      <c r="E121" s="3"/>
      <c r="F121" s="12"/>
      <c r="G121" s="1"/>
      <c r="H121" s="1"/>
      <c r="I121" s="1"/>
      <c r="J121" s="1"/>
      <c r="K121" s="1"/>
      <c r="L121" s="1"/>
      <c r="M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s="6" customFormat="1" x14ac:dyDescent="0.25">
      <c r="A122" s="3"/>
      <c r="B122" s="3"/>
      <c r="C122" s="15"/>
      <c r="D122" s="15"/>
      <c r="E122" s="3"/>
      <c r="F122" s="12"/>
      <c r="G122" s="1"/>
      <c r="H122" s="1"/>
      <c r="I122" s="1"/>
      <c r="J122" s="1"/>
      <c r="K122" s="1"/>
      <c r="L122" s="1"/>
      <c r="M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s="6" customFormat="1" x14ac:dyDescent="0.25">
      <c r="A123" s="3"/>
      <c r="B123" s="3"/>
      <c r="C123" s="15"/>
      <c r="D123" s="15"/>
      <c r="E123" s="3"/>
      <c r="F123" s="12"/>
      <c r="G123" s="1"/>
      <c r="H123" s="1"/>
      <c r="I123" s="1"/>
      <c r="J123" s="1"/>
      <c r="K123" s="1"/>
      <c r="L123" s="1"/>
      <c r="M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s="6" customFormat="1" x14ac:dyDescent="0.25">
      <c r="A124" s="3"/>
      <c r="B124" s="3"/>
      <c r="C124" s="15"/>
      <c r="D124" s="15"/>
      <c r="E124" s="3"/>
      <c r="F124" s="12"/>
      <c r="G124" s="1"/>
      <c r="H124" s="1"/>
      <c r="I124" s="1"/>
      <c r="J124" s="1"/>
      <c r="K124" s="1"/>
      <c r="L124" s="1"/>
      <c r="M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s="6" customFormat="1" x14ac:dyDescent="0.25">
      <c r="A125" s="3"/>
      <c r="B125" s="3"/>
      <c r="C125" s="15"/>
      <c r="D125" s="15"/>
      <c r="E125" s="3"/>
      <c r="F125" s="12"/>
      <c r="G125" s="1"/>
      <c r="H125" s="1"/>
      <c r="I125" s="1"/>
      <c r="J125" s="1"/>
      <c r="K125" s="1"/>
      <c r="L125" s="1"/>
      <c r="M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s="6" customFormat="1" x14ac:dyDescent="0.25">
      <c r="A126" s="3"/>
      <c r="B126" s="3"/>
      <c r="C126" s="15"/>
      <c r="D126" s="15"/>
      <c r="E126" s="3"/>
      <c r="F126" s="12"/>
      <c r="G126" s="1"/>
      <c r="H126" s="1"/>
      <c r="I126" s="1"/>
      <c r="J126" s="1"/>
      <c r="K126" s="1"/>
      <c r="L126" s="1"/>
      <c r="M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s="6" customFormat="1" x14ac:dyDescent="0.25">
      <c r="A127" s="3"/>
      <c r="B127" s="3"/>
      <c r="C127" s="15"/>
      <c r="D127" s="15"/>
      <c r="E127" s="3"/>
      <c r="F127" s="12"/>
      <c r="G127" s="1"/>
      <c r="H127" s="1"/>
      <c r="I127" s="1"/>
      <c r="J127" s="1"/>
      <c r="K127" s="1"/>
      <c r="L127" s="1"/>
      <c r="M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s="6" customFormat="1" x14ac:dyDescent="0.25">
      <c r="A128" s="3"/>
      <c r="B128" s="3"/>
      <c r="C128" s="15"/>
      <c r="D128" s="15"/>
      <c r="E128" s="3"/>
      <c r="F128" s="12"/>
      <c r="G128" s="1"/>
      <c r="H128" s="1"/>
      <c r="I128" s="1"/>
      <c r="J128" s="1"/>
      <c r="K128" s="1"/>
      <c r="L128" s="1"/>
      <c r="M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s="6" customFormat="1" x14ac:dyDescent="0.25">
      <c r="A129" s="3"/>
      <c r="B129" s="3"/>
      <c r="C129" s="15"/>
      <c r="D129" s="15"/>
      <c r="E129" s="3"/>
      <c r="F129" s="12"/>
      <c r="G129" s="1"/>
      <c r="H129" s="1"/>
      <c r="I129" s="1"/>
      <c r="J129" s="1"/>
      <c r="K129" s="1"/>
      <c r="L129" s="1"/>
      <c r="M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s="6" customFormat="1" x14ac:dyDescent="0.25">
      <c r="A130" s="3"/>
      <c r="B130" s="3"/>
      <c r="C130" s="15"/>
      <c r="D130" s="15"/>
      <c r="E130" s="3"/>
      <c r="F130" s="12"/>
      <c r="G130" s="1"/>
      <c r="H130" s="1"/>
      <c r="I130" s="1"/>
      <c r="J130" s="1"/>
      <c r="K130" s="1"/>
      <c r="L130" s="1"/>
      <c r="M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s="6" customFormat="1" x14ac:dyDescent="0.25">
      <c r="A131" s="3"/>
      <c r="B131" s="3"/>
      <c r="C131" s="15"/>
      <c r="D131" s="15"/>
      <c r="E131" s="3"/>
      <c r="F131" s="12"/>
      <c r="G131" s="1"/>
      <c r="H131" s="1"/>
      <c r="I131" s="1"/>
      <c r="J131" s="1"/>
      <c r="K131" s="1"/>
      <c r="L131" s="1"/>
      <c r="M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s="6" customFormat="1" x14ac:dyDescent="0.25">
      <c r="A132" s="3"/>
      <c r="B132" s="3"/>
      <c r="C132" s="15"/>
      <c r="D132" s="15"/>
      <c r="E132" s="3"/>
      <c r="F132" s="12"/>
      <c r="G132" s="1"/>
      <c r="H132" s="1"/>
      <c r="I132" s="1"/>
      <c r="J132" s="1"/>
      <c r="K132" s="1"/>
      <c r="L132" s="1"/>
      <c r="M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s="6" customFormat="1" x14ac:dyDescent="0.25">
      <c r="A133" s="3"/>
      <c r="B133" s="3"/>
      <c r="C133" s="15"/>
      <c r="D133" s="15"/>
      <c r="E133" s="3"/>
      <c r="F133" s="12"/>
      <c r="G133" s="1"/>
      <c r="H133" s="1"/>
      <c r="I133" s="1"/>
      <c r="J133" s="1"/>
      <c r="K133" s="1"/>
      <c r="L133" s="1"/>
      <c r="M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s="6" customFormat="1" x14ac:dyDescent="0.25">
      <c r="A134" s="3"/>
      <c r="B134" s="3"/>
      <c r="C134" s="15"/>
      <c r="D134" s="15"/>
      <c r="E134" s="3"/>
      <c r="F134" s="12"/>
      <c r="G134" s="1"/>
      <c r="H134" s="1"/>
      <c r="I134" s="1"/>
      <c r="J134" s="1"/>
      <c r="K134" s="1"/>
      <c r="L134" s="1"/>
      <c r="M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s="6" customFormat="1" x14ac:dyDescent="0.25">
      <c r="A135" s="3"/>
      <c r="B135" s="3"/>
      <c r="C135" s="15"/>
      <c r="D135" s="15"/>
      <c r="E135" s="3"/>
      <c r="F135" s="12"/>
      <c r="G135" s="1"/>
      <c r="H135" s="1"/>
      <c r="I135" s="1"/>
      <c r="J135" s="1"/>
      <c r="K135" s="1"/>
      <c r="L135" s="1"/>
      <c r="M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</sheetData>
  <sheetProtection algorithmName="SHA-512" hashValue="S1iOxlb/k8e3jnSgurAqj4kjArBnnkBCSZ4Jzqg1328eB9UFoOPLqxDmmdjNr/2Usl80TcyxoyMsvqT9MsuBIQ==" saltValue="1qmpZK7I/xDM3qNnrGuX4g==" spinCount="100000" sheet="1" formatCells="0" formatColumns="0" formatRows="0" insertColumns="0" sort="0" autoFilter="0" pivotTables="0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07227-999E-40AE-BC07-E7014ED76671}">
  <dimension ref="A1:R41"/>
  <sheetViews>
    <sheetView tabSelected="1" topLeftCell="B3" zoomScale="75" zoomScaleNormal="75" workbookViewId="0">
      <selection activeCell="H22" sqref="H22"/>
    </sheetView>
  </sheetViews>
  <sheetFormatPr defaultColWidth="9.28515625" defaultRowHeight="15.75" x14ac:dyDescent="0.25"/>
  <cols>
    <col min="1" max="1" width="3.7109375" style="3" customWidth="1"/>
    <col min="2" max="2" width="29.28515625" style="3" customWidth="1"/>
    <col min="3" max="3" width="35.5703125" style="3" customWidth="1"/>
    <col min="4" max="4" width="11.7109375" style="3" customWidth="1"/>
    <col min="5" max="5" width="1" style="6" customWidth="1"/>
    <col min="6" max="6" width="4" style="1" customWidth="1"/>
    <col min="7" max="7" width="35.42578125" style="1" bestFit="1" customWidth="1"/>
    <col min="8" max="8" width="13.5703125" style="1" bestFit="1" customWidth="1"/>
    <col min="9" max="12" width="12.7109375" style="1" customWidth="1"/>
    <col min="13" max="13" width="13.5703125" style="1" bestFit="1" customWidth="1"/>
    <col min="14" max="14" width="10.7109375" style="1" customWidth="1"/>
    <col min="15" max="17" width="9.28515625" style="1"/>
    <col min="18" max="18" width="1" style="6" customWidth="1"/>
    <col min="19" max="16384" width="9.28515625" style="1"/>
  </cols>
  <sheetData>
    <row r="1" spans="1:17" x14ac:dyDescent="0.25">
      <c r="A1" s="2" t="s">
        <v>3</v>
      </c>
      <c r="F1" s="16" t="s">
        <v>3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25">
      <c r="A2" s="2" t="s">
        <v>0</v>
      </c>
      <c r="F2" s="16" t="s">
        <v>0</v>
      </c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x14ac:dyDescent="0.25">
      <c r="A3" s="2" t="s">
        <v>17</v>
      </c>
      <c r="F3" s="16" t="s">
        <v>17</v>
      </c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25"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x14ac:dyDescent="0.25">
      <c r="A5" s="4" t="s">
        <v>1</v>
      </c>
      <c r="F5" s="18" t="s">
        <v>16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17" x14ac:dyDescent="0.25">
      <c r="A6" s="5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ht="15.75" customHeight="1" x14ac:dyDescent="0.25">
      <c r="A7" s="5" t="s">
        <v>4</v>
      </c>
      <c r="F7" s="17" t="s">
        <v>14</v>
      </c>
      <c r="G7" s="122" t="s">
        <v>18</v>
      </c>
      <c r="H7" s="122"/>
      <c r="I7" s="122"/>
      <c r="J7" s="122"/>
      <c r="K7" s="122"/>
      <c r="L7" s="122"/>
      <c r="M7" s="122"/>
      <c r="N7" s="122"/>
      <c r="O7" s="122"/>
      <c r="P7" s="122"/>
      <c r="Q7" s="122"/>
    </row>
    <row r="8" spans="1:17" x14ac:dyDescent="0.25">
      <c r="F8" s="17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</row>
    <row r="9" spans="1:17" x14ac:dyDescent="0.25">
      <c r="B9" s="124" t="s">
        <v>19</v>
      </c>
      <c r="C9" s="125"/>
      <c r="F9" s="17"/>
      <c r="G9" s="45"/>
      <c r="H9" s="17"/>
      <c r="I9" s="17"/>
      <c r="J9" s="17"/>
      <c r="K9" s="17"/>
      <c r="L9" s="46"/>
      <c r="M9" s="47"/>
      <c r="N9" s="47"/>
      <c r="O9" s="47"/>
      <c r="P9" s="47"/>
      <c r="Q9" s="47"/>
    </row>
    <row r="10" spans="1:17" x14ac:dyDescent="0.25">
      <c r="B10" s="8"/>
      <c r="C10" s="8"/>
      <c r="F10" s="17"/>
      <c r="G10" s="58" t="s">
        <v>20</v>
      </c>
      <c r="H10" s="17"/>
      <c r="I10" s="17"/>
      <c r="J10" s="17"/>
      <c r="K10" s="17"/>
      <c r="L10" s="59"/>
      <c r="M10" s="47"/>
      <c r="N10" s="47"/>
      <c r="O10" s="47"/>
      <c r="P10" s="47"/>
      <c r="Q10" s="47"/>
    </row>
    <row r="11" spans="1:17" x14ac:dyDescent="0.25">
      <c r="B11" s="2" t="s">
        <v>21</v>
      </c>
      <c r="F11" s="17"/>
      <c r="G11" s="45"/>
      <c r="H11" s="17"/>
      <c r="I11" s="17"/>
      <c r="J11" s="17"/>
      <c r="K11" s="17"/>
      <c r="L11" s="59"/>
      <c r="M11" s="47"/>
      <c r="N11" s="47"/>
      <c r="O11" s="47"/>
      <c r="P11" s="47"/>
      <c r="Q11" s="47"/>
    </row>
    <row r="12" spans="1:17" ht="15.75" customHeight="1" x14ac:dyDescent="0.25">
      <c r="B12" s="13" t="s">
        <v>22</v>
      </c>
      <c r="C12" s="60">
        <v>55</v>
      </c>
      <c r="G12" s="117" t="s">
        <v>235</v>
      </c>
      <c r="H12" s="118">
        <v>55</v>
      </c>
      <c r="I12" s="118">
        <f t="shared" ref="I12:N12" si="0">+H12+1</f>
        <v>56</v>
      </c>
      <c r="J12" s="118">
        <f t="shared" si="0"/>
        <v>57</v>
      </c>
      <c r="K12" s="118">
        <f t="shared" si="0"/>
        <v>58</v>
      </c>
      <c r="L12" s="118">
        <f t="shared" si="0"/>
        <v>59</v>
      </c>
      <c r="M12" s="118">
        <f t="shared" si="0"/>
        <v>60</v>
      </c>
      <c r="N12" s="118">
        <f t="shared" si="0"/>
        <v>61</v>
      </c>
      <c r="O12" s="50"/>
      <c r="P12" s="50"/>
      <c r="Q12" s="50"/>
    </row>
    <row r="13" spans="1:17" x14ac:dyDescent="0.25">
      <c r="B13" s="13" t="s">
        <v>23</v>
      </c>
      <c r="C13" s="60">
        <v>62</v>
      </c>
      <c r="G13" s="117" t="s">
        <v>219</v>
      </c>
      <c r="H13" s="118">
        <v>1</v>
      </c>
      <c r="I13" s="118">
        <v>2</v>
      </c>
      <c r="J13" s="118">
        <v>3</v>
      </c>
      <c r="K13" s="118">
        <v>4</v>
      </c>
      <c r="L13" s="118">
        <v>5</v>
      </c>
      <c r="M13" s="118">
        <v>6</v>
      </c>
      <c r="N13" s="118">
        <v>7</v>
      </c>
      <c r="O13" s="50"/>
      <c r="P13" s="50"/>
      <c r="Q13" s="50"/>
    </row>
    <row r="14" spans="1:17" x14ac:dyDescent="0.25">
      <c r="B14" s="13" t="s">
        <v>24</v>
      </c>
      <c r="C14" s="60">
        <v>7</v>
      </c>
      <c r="G14" s="117" t="s">
        <v>234</v>
      </c>
      <c r="H14" s="116">
        <f>C15</f>
        <v>100000</v>
      </c>
      <c r="I14" s="116">
        <f t="shared" ref="I14:N14" si="1">H14*(1+$C$16)</f>
        <v>102000</v>
      </c>
      <c r="J14" s="116">
        <f t="shared" si="1"/>
        <v>104040</v>
      </c>
      <c r="K14" s="116">
        <f t="shared" si="1"/>
        <v>106120.8</v>
      </c>
      <c r="L14" s="116">
        <f t="shared" si="1"/>
        <v>108243.216</v>
      </c>
      <c r="M14" s="116">
        <f t="shared" si="1"/>
        <v>110408.08032000001</v>
      </c>
      <c r="N14" s="116">
        <f t="shared" si="1"/>
        <v>112616.24192640001</v>
      </c>
      <c r="O14" s="115"/>
      <c r="P14" s="50"/>
      <c r="Q14" s="50"/>
    </row>
    <row r="15" spans="1:17" x14ac:dyDescent="0.25">
      <c r="B15" s="13" t="s">
        <v>25</v>
      </c>
      <c r="C15" s="61">
        <v>100000</v>
      </c>
      <c r="L15" s="51"/>
      <c r="M15" s="50"/>
      <c r="N15" s="50"/>
      <c r="O15" s="50"/>
      <c r="P15" s="50"/>
      <c r="Q15" s="50"/>
    </row>
    <row r="16" spans="1:17" x14ac:dyDescent="0.25">
      <c r="B16" s="13" t="s">
        <v>26</v>
      </c>
      <c r="C16" s="62">
        <v>0.02</v>
      </c>
      <c r="G16" s="113" t="s">
        <v>233</v>
      </c>
      <c r="I16" s="52"/>
      <c r="J16" s="52"/>
      <c r="K16" s="52"/>
      <c r="L16" s="52"/>
      <c r="M16" s="52"/>
      <c r="N16" s="52"/>
      <c r="O16" s="52"/>
      <c r="P16" s="52"/>
      <c r="Q16" s="52"/>
    </row>
    <row r="17" spans="1:18" x14ac:dyDescent="0.25">
      <c r="G17" s="1" t="s">
        <v>227</v>
      </c>
      <c r="H17" s="105">
        <f>(L14+M14+N14)/3</f>
        <v>110422.5127488</v>
      </c>
      <c r="I17" s="103"/>
      <c r="J17" s="114"/>
      <c r="K17" s="52"/>
      <c r="L17" s="52"/>
      <c r="M17" s="52"/>
      <c r="N17" s="52"/>
      <c r="O17" s="52"/>
      <c r="P17" s="52"/>
      <c r="Q17" s="52"/>
    </row>
    <row r="18" spans="1:18" x14ac:dyDescent="0.25">
      <c r="B18" s="2" t="s">
        <v>27</v>
      </c>
      <c r="G18" s="1" t="s">
        <v>232</v>
      </c>
      <c r="H18" s="49">
        <f>0.25%*12*(65-C13)</f>
        <v>0.09</v>
      </c>
      <c r="I18" s="103"/>
      <c r="J18" s="105"/>
      <c r="L18" s="51"/>
      <c r="M18" s="50"/>
      <c r="N18" s="50"/>
      <c r="O18" s="50"/>
      <c r="P18" s="50"/>
      <c r="Q18" s="50"/>
    </row>
    <row r="19" spans="1:18" x14ac:dyDescent="0.25">
      <c r="B19" s="126" t="s">
        <v>28</v>
      </c>
      <c r="C19" s="128" t="s">
        <v>29</v>
      </c>
      <c r="G19" s="99" t="s">
        <v>231</v>
      </c>
      <c r="H19" s="105">
        <f>0.75%*H17</f>
        <v>828.168845616</v>
      </c>
      <c r="I19" s="103"/>
    </row>
    <row r="20" spans="1:18" x14ac:dyDescent="0.25">
      <c r="B20" s="127"/>
      <c r="C20" s="129"/>
      <c r="G20" s="1" t="s">
        <v>230</v>
      </c>
      <c r="H20" s="105">
        <f>+H19*C14*(1-H18)</f>
        <v>5275.43554657392</v>
      </c>
      <c r="I20" s="103"/>
    </row>
    <row r="21" spans="1:18" x14ac:dyDescent="0.25">
      <c r="B21" s="13" t="s">
        <v>30</v>
      </c>
      <c r="C21" s="60" t="s">
        <v>31</v>
      </c>
    </row>
    <row r="22" spans="1:18" x14ac:dyDescent="0.25">
      <c r="B22" s="9"/>
      <c r="C22" s="63"/>
      <c r="G22" s="33" t="s">
        <v>229</v>
      </c>
      <c r="H22" s="104">
        <f>+H20/H17</f>
        <v>4.7774999999999998E-2</v>
      </c>
    </row>
    <row r="23" spans="1:18" s="17" customFormat="1" x14ac:dyDescent="0.25">
      <c r="A23" s="3"/>
      <c r="B23" s="2" t="s">
        <v>32</v>
      </c>
      <c r="C23" s="3"/>
      <c r="D23" s="3"/>
      <c r="E23" s="6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6"/>
    </row>
    <row r="24" spans="1:18" s="17" customFormat="1" x14ac:dyDescent="0.25">
      <c r="A24" s="3"/>
      <c r="B24" s="13" t="s">
        <v>33</v>
      </c>
      <c r="C24" s="60" t="s">
        <v>34</v>
      </c>
      <c r="D24" s="3"/>
      <c r="E24" s="6"/>
      <c r="F24" s="1"/>
      <c r="G24" s="113" t="s">
        <v>228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6"/>
    </row>
    <row r="25" spans="1:18" s="17" customFormat="1" x14ac:dyDescent="0.25">
      <c r="A25" s="3"/>
      <c r="B25" s="13" t="s">
        <v>35</v>
      </c>
      <c r="C25" s="64">
        <v>0.06</v>
      </c>
      <c r="D25" s="3"/>
      <c r="E25" s="6"/>
      <c r="F25" s="1"/>
      <c r="G25" s="1" t="s">
        <v>227</v>
      </c>
      <c r="H25" s="105">
        <f>SUM(L14:N14)/3</f>
        <v>110422.5127488</v>
      </c>
      <c r="I25" s="1"/>
      <c r="J25" s="1"/>
      <c r="K25" s="1"/>
      <c r="L25" s="1"/>
      <c r="M25" s="1"/>
      <c r="N25" s="1"/>
      <c r="O25" s="1"/>
      <c r="P25" s="1"/>
      <c r="Q25" s="1"/>
      <c r="R25" s="6"/>
    </row>
    <row r="26" spans="1:18" s="17" customFormat="1" x14ac:dyDescent="0.25">
      <c r="A26" s="3"/>
      <c r="B26" s="13" t="s">
        <v>36</v>
      </c>
      <c r="C26" s="60" t="s">
        <v>37</v>
      </c>
      <c r="D26" s="3"/>
      <c r="E26" s="6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6"/>
    </row>
    <row r="27" spans="1:18" s="17" customFormat="1" x14ac:dyDescent="0.25">
      <c r="A27" s="3"/>
      <c r="B27" s="13" t="s">
        <v>38</v>
      </c>
      <c r="C27" s="60">
        <v>17</v>
      </c>
      <c r="D27" s="3"/>
      <c r="E27" s="6"/>
      <c r="F27" s="1"/>
      <c r="G27" s="1"/>
      <c r="H27" s="1"/>
      <c r="I27" s="1"/>
      <c r="J27" s="1"/>
      <c r="K27" s="112" t="s">
        <v>226</v>
      </c>
      <c r="L27" s="1"/>
      <c r="M27" s="1"/>
      <c r="N27" s="1"/>
      <c r="O27" s="1"/>
      <c r="P27" s="1"/>
      <c r="Q27" s="1"/>
      <c r="R27" s="6"/>
    </row>
    <row r="28" spans="1:18" x14ac:dyDescent="0.25">
      <c r="K28" s="111">
        <v>6.8122690191918328E-2</v>
      </c>
      <c r="L28" s="1" t="s">
        <v>225</v>
      </c>
    </row>
    <row r="29" spans="1:18" x14ac:dyDescent="0.25">
      <c r="L29" s="1" t="s">
        <v>224</v>
      </c>
    </row>
    <row r="30" spans="1:18" ht="94.5" x14ac:dyDescent="0.25">
      <c r="J30" s="110" t="s">
        <v>223</v>
      </c>
      <c r="K30" s="110" t="s">
        <v>222</v>
      </c>
      <c r="L30" s="110" t="s">
        <v>221</v>
      </c>
      <c r="M30" s="110" t="s">
        <v>220</v>
      </c>
      <c r="P30" s="108"/>
      <c r="Q30" s="108"/>
    </row>
    <row r="31" spans="1:18" ht="31.5" x14ac:dyDescent="0.25">
      <c r="G31" s="99" t="s">
        <v>219</v>
      </c>
      <c r="H31" s="105" t="s">
        <v>218</v>
      </c>
      <c r="I31" s="1" t="s">
        <v>217</v>
      </c>
      <c r="J31" s="110" t="s">
        <v>216</v>
      </c>
      <c r="K31" s="110" t="s">
        <v>215</v>
      </c>
      <c r="L31" s="110" t="s">
        <v>214</v>
      </c>
      <c r="M31" s="1" t="s">
        <v>213</v>
      </c>
    </row>
    <row r="32" spans="1:18" x14ac:dyDescent="0.25">
      <c r="G32" s="1">
        <v>1</v>
      </c>
      <c r="H32" s="109">
        <f>H14</f>
        <v>100000</v>
      </c>
      <c r="I32" s="109">
        <v>0</v>
      </c>
      <c r="J32" s="109">
        <f t="shared" ref="J32:J38" si="2">+H32*3%</f>
        <v>3000</v>
      </c>
      <c r="K32" s="109">
        <f t="shared" ref="K32:K38" si="3">+H32*$K$28</f>
        <v>6812.2690191918327</v>
      </c>
      <c r="L32" s="109">
        <f t="shared" ref="L32:L38" si="4">+I32*$C$25+(J32+K32)*$C$25/2</f>
        <v>294.36807057575498</v>
      </c>
      <c r="M32" s="109">
        <f t="shared" ref="M32:M38" si="5">+I32+J32+K32+L32</f>
        <v>10106.637089767588</v>
      </c>
      <c r="N32" s="108"/>
      <c r="P32" s="108"/>
      <c r="Q32" s="107"/>
    </row>
    <row r="33" spans="7:17" x14ac:dyDescent="0.25">
      <c r="G33" s="1">
        <f t="shared" ref="G33:G38" si="6">+G32+1</f>
        <v>2</v>
      </c>
      <c r="H33" s="109">
        <f>I14</f>
        <v>102000</v>
      </c>
      <c r="I33" s="109">
        <f t="shared" ref="I33:I38" si="7">+M32</f>
        <v>10106.637089767588</v>
      </c>
      <c r="J33" s="109">
        <f t="shared" si="2"/>
        <v>3060</v>
      </c>
      <c r="K33" s="109">
        <f t="shared" si="3"/>
        <v>6948.5143995756698</v>
      </c>
      <c r="L33" s="109">
        <f t="shared" si="4"/>
        <v>906.65365737332536</v>
      </c>
      <c r="M33" s="109">
        <f t="shared" si="5"/>
        <v>21021.805146716582</v>
      </c>
      <c r="N33" s="108"/>
      <c r="O33" s="108"/>
      <c r="P33" s="108"/>
      <c r="Q33" s="107"/>
    </row>
    <row r="34" spans="7:17" x14ac:dyDescent="0.25">
      <c r="G34" s="1">
        <f t="shared" si="6"/>
        <v>3</v>
      </c>
      <c r="H34" s="109">
        <f>J14</f>
        <v>104040</v>
      </c>
      <c r="I34" s="109">
        <f t="shared" si="7"/>
        <v>21021.805146716582</v>
      </c>
      <c r="J34" s="109">
        <f t="shared" si="2"/>
        <v>3121.2</v>
      </c>
      <c r="K34" s="109">
        <f t="shared" si="3"/>
        <v>7087.4846875671828</v>
      </c>
      <c r="L34" s="109">
        <f t="shared" si="4"/>
        <v>1567.5688494300102</v>
      </c>
      <c r="M34" s="109">
        <f t="shared" si="5"/>
        <v>32798.058683713774</v>
      </c>
      <c r="N34" s="108"/>
      <c r="O34" s="108"/>
      <c r="P34" s="108"/>
      <c r="Q34" s="107"/>
    </row>
    <row r="35" spans="7:17" x14ac:dyDescent="0.25">
      <c r="G35" s="1">
        <f t="shared" si="6"/>
        <v>4</v>
      </c>
      <c r="H35" s="109">
        <f>K14</f>
        <v>106120.8</v>
      </c>
      <c r="I35" s="109">
        <f t="shared" si="7"/>
        <v>32798.058683713774</v>
      </c>
      <c r="J35" s="109">
        <f t="shared" si="2"/>
        <v>3183.6239999999998</v>
      </c>
      <c r="K35" s="109">
        <f t="shared" si="3"/>
        <v>7229.2343813185271</v>
      </c>
      <c r="L35" s="109">
        <f t="shared" si="4"/>
        <v>2280.2692724623821</v>
      </c>
      <c r="M35" s="109">
        <f t="shared" si="5"/>
        <v>45491.186337494692</v>
      </c>
      <c r="N35" s="108"/>
      <c r="O35" s="108"/>
      <c r="P35" s="108"/>
      <c r="Q35" s="107"/>
    </row>
    <row r="36" spans="7:17" x14ac:dyDescent="0.25">
      <c r="G36" s="1">
        <f t="shared" si="6"/>
        <v>5</v>
      </c>
      <c r="H36" s="109">
        <f>L14</f>
        <v>108243.216</v>
      </c>
      <c r="I36" s="109">
        <f t="shared" si="7"/>
        <v>45491.186337494692</v>
      </c>
      <c r="J36" s="109">
        <f t="shared" si="2"/>
        <v>3247.29648</v>
      </c>
      <c r="K36" s="109">
        <f t="shared" si="3"/>
        <v>7373.8190689448975</v>
      </c>
      <c r="L36" s="109">
        <f t="shared" si="4"/>
        <v>3048.1046467180281</v>
      </c>
      <c r="M36" s="109">
        <f t="shared" si="5"/>
        <v>59160.406533157613</v>
      </c>
      <c r="N36" s="108"/>
      <c r="O36" s="108"/>
      <c r="P36" s="108"/>
      <c r="Q36" s="107"/>
    </row>
    <row r="37" spans="7:17" x14ac:dyDescent="0.25">
      <c r="G37" s="1">
        <f t="shared" si="6"/>
        <v>6</v>
      </c>
      <c r="H37" s="109">
        <f>M14</f>
        <v>110408.08032000001</v>
      </c>
      <c r="I37" s="109">
        <f t="shared" si="7"/>
        <v>59160.406533157613</v>
      </c>
      <c r="J37" s="109">
        <f t="shared" si="2"/>
        <v>3312.2424096</v>
      </c>
      <c r="K37" s="109">
        <f t="shared" si="3"/>
        <v>7521.2954503237952</v>
      </c>
      <c r="L37" s="109">
        <f t="shared" si="4"/>
        <v>3874.6305277871706</v>
      </c>
      <c r="M37" s="109">
        <f t="shared" si="5"/>
        <v>73868.574920868588</v>
      </c>
      <c r="N37" s="108"/>
      <c r="O37" s="108"/>
      <c r="P37" s="108"/>
      <c r="Q37" s="107"/>
    </row>
    <row r="38" spans="7:17" x14ac:dyDescent="0.25">
      <c r="G38" s="1">
        <f t="shared" si="6"/>
        <v>7</v>
      </c>
      <c r="H38" s="109">
        <f>N14</f>
        <v>112616.24192640001</v>
      </c>
      <c r="I38" s="109">
        <f t="shared" si="7"/>
        <v>73868.574920868588</v>
      </c>
      <c r="J38" s="109">
        <f t="shared" si="2"/>
        <v>3378.487257792</v>
      </c>
      <c r="K38" s="109">
        <f t="shared" si="3"/>
        <v>7671.7213593302713</v>
      </c>
      <c r="L38" s="109">
        <f t="shared" si="4"/>
        <v>4763.6207537657838</v>
      </c>
      <c r="M38" s="109">
        <f t="shared" si="5"/>
        <v>89682.404291756655</v>
      </c>
      <c r="N38" s="108"/>
      <c r="O38" s="108"/>
      <c r="P38" s="108"/>
      <c r="Q38" s="107"/>
    </row>
    <row r="39" spans="7:17" x14ac:dyDescent="0.25">
      <c r="H39" s="106"/>
    </row>
    <row r="40" spans="7:17" x14ac:dyDescent="0.25">
      <c r="M40" s="105">
        <f>+M38/C27</f>
        <v>5275.4355465739209</v>
      </c>
      <c r="N40" s="1" t="s">
        <v>212</v>
      </c>
      <c r="Q40" s="103"/>
    </row>
    <row r="41" spans="7:17" x14ac:dyDescent="0.25">
      <c r="M41" s="104">
        <f>+M40/H25</f>
        <v>4.7775000000000005E-2</v>
      </c>
      <c r="N41" s="1" t="s">
        <v>211</v>
      </c>
      <c r="Q41" s="103"/>
    </row>
  </sheetData>
  <sheetProtection algorithmName="SHA-512" hashValue="Ju6gE48I9BgSkrBfGNCavkG7dsPK9BD85CCpI+boYGvak2OvU+6hmUacafOlfAXRcrs31SAKPBlrhM3OkSGBhQ==" saltValue="N74nXRKPKdqeuZ04m0Zpyg==" spinCount="100000" sheet="1" formatCells="0" formatColumns="0" formatRows="0" insertColumns="0" insertRows="0"/>
  <mergeCells count="4">
    <mergeCell ref="G7:Q8"/>
    <mergeCell ref="B9:C9"/>
    <mergeCell ref="B19:B20"/>
    <mergeCell ref="C19:C20"/>
  </mergeCells>
  <pageMargins left="0.7" right="0.7" top="0.75" bottom="0.75" header="0.3" footer="0.3"/>
  <pageSetup scale="84" orientation="portrait" horizontalDpi="4294967293" verticalDpi="300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Question 4</vt:lpstr>
      <vt:lpstr>Question 5</vt:lpstr>
      <vt:lpstr>Question 8</vt:lpstr>
      <vt:lpstr>Question 10</vt:lpstr>
      <vt:lpstr>'Question 8'!OLE_LINK1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Aleshia Zionce</dc:creator>
  <cp:lastModifiedBy>Aleshia Zionce</cp:lastModifiedBy>
  <cp:lastPrinted>2020-08-05T01:56:16Z</cp:lastPrinted>
  <dcterms:created xsi:type="dcterms:W3CDTF">2015-06-05T18:17:20Z</dcterms:created>
  <dcterms:modified xsi:type="dcterms:W3CDTF">2024-07-22T18:07:05Z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3f10a-881e-4653-a55e-02ca2cc829dc_Enabled">
    <vt:lpwstr>true</vt:lpwstr>
  </property>
  <property fmtid="{D5CDD505-2E9C-101B-9397-08002B2CF9AE}" pid="3" name="MSIP_Label_9043f10a-881e-4653-a55e-02ca2cc829dc_SetDate">
    <vt:lpwstr>2024-01-28T19:05:21Z</vt:lpwstr>
  </property>
  <property fmtid="{D5CDD505-2E9C-101B-9397-08002B2CF9AE}" pid="4" name="MSIP_Label_9043f10a-881e-4653-a55e-02ca2cc829dc_Method">
    <vt:lpwstr>Standard</vt:lpwstr>
  </property>
  <property fmtid="{D5CDD505-2E9C-101B-9397-08002B2CF9AE}" pid="5" name="MSIP_Label_9043f10a-881e-4653-a55e-02ca2cc829dc_Name">
    <vt:lpwstr>ADC_class_200</vt:lpwstr>
  </property>
  <property fmtid="{D5CDD505-2E9C-101B-9397-08002B2CF9AE}" pid="6" name="MSIP_Label_9043f10a-881e-4653-a55e-02ca2cc829dc_SiteId">
    <vt:lpwstr>94cfddbc-0627-494a-ad7a-29aea3aea832</vt:lpwstr>
  </property>
  <property fmtid="{D5CDD505-2E9C-101B-9397-08002B2CF9AE}" pid="7" name="MSIP_Label_9043f10a-881e-4653-a55e-02ca2cc829dc_ActionId">
    <vt:lpwstr>3544b69b-7eae-4dee-93e1-e37d194f446a</vt:lpwstr>
  </property>
  <property fmtid="{D5CDD505-2E9C-101B-9397-08002B2CF9AE}" pid="8" name="MSIP_Label_9043f10a-881e-4653-a55e-02ca2cc829dc_ContentBits">
    <vt:lpwstr>0</vt:lpwstr>
  </property>
  <property fmtid="{D5CDD505-2E9C-101B-9397-08002B2CF9AE}" pid="9" name="MSIP_Label_fe16f669-0f84-4927-9912-f58621dd5ede_Enabled">
    <vt:lpwstr>true</vt:lpwstr>
  </property>
  <property fmtid="{D5CDD505-2E9C-101B-9397-08002B2CF9AE}" pid="10" name="MSIP_Label_fe16f669-0f84-4927-9912-f58621dd5ede_SetDate">
    <vt:lpwstr>2024-06-05T18:03:37Z</vt:lpwstr>
  </property>
  <property fmtid="{D5CDD505-2E9C-101B-9397-08002B2CF9AE}" pid="11" name="MSIP_Label_fe16f669-0f84-4927-9912-f58621dd5ede_Method">
    <vt:lpwstr>Privileged</vt:lpwstr>
  </property>
  <property fmtid="{D5CDD505-2E9C-101B-9397-08002B2CF9AE}" pid="12" name="MSIP_Label_fe16f669-0f84-4927-9912-f58621dd5ede_Name">
    <vt:lpwstr>GWL - Confidential</vt:lpwstr>
  </property>
  <property fmtid="{D5CDD505-2E9C-101B-9397-08002B2CF9AE}" pid="13" name="MSIP_Label_fe16f669-0f84-4927-9912-f58621dd5ede_SiteId">
    <vt:lpwstr>eaa6cb52-58d7-45cd-8bd6-b1d2a8e61312</vt:lpwstr>
  </property>
  <property fmtid="{D5CDD505-2E9C-101B-9397-08002B2CF9AE}" pid="14" name="MSIP_Label_fe16f669-0f84-4927-9912-f58621dd5ede_ActionId">
    <vt:lpwstr>d0ef7bcd-bb0c-4879-9095-a6c3c0fad8b6</vt:lpwstr>
  </property>
  <property fmtid="{D5CDD505-2E9C-101B-9397-08002B2CF9AE}" pid="15" name="MSIP_Label_fe16f669-0f84-4927-9912-f58621dd5ede_ContentBits">
    <vt:lpwstr>0</vt:lpwstr>
  </property>
</Properties>
</file>